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-L\Desktop\"/>
    </mc:Choice>
  </mc:AlternateContent>
  <xr:revisionPtr revIDLastSave="0" documentId="13_ncr:1_{E99C6A52-8ABC-48D1-B932-FFA7D79BE6AF}" xr6:coauthVersionLast="47" xr6:coauthVersionMax="47" xr10:uidLastSave="{00000000-0000-0000-0000-000000000000}"/>
  <bookViews>
    <workbookView xWindow="-120" yWindow="-120" windowWidth="29040" windowHeight="16440" firstSheet="1" activeTab="1" xr2:uid="{ED17ACE3-B1A8-43B3-97BB-A98E9073F15D}"/>
  </bookViews>
  <sheets>
    <sheet name="雛形" sheetId="1" state="hidden" r:id="rId1"/>
    <sheet name="森本仕入れ" sheetId="13" r:id="rId2"/>
    <sheet name="札幌店" sheetId="2" r:id="rId3"/>
    <sheet name="仙台店" sheetId="3" r:id="rId4"/>
    <sheet name="松戸店" sheetId="4" r:id="rId5"/>
    <sheet name="高崎店" sheetId="5" r:id="rId6"/>
    <sheet name="秋葉原店" sheetId="12" r:id="rId7"/>
    <sheet name="横浜店" sheetId="6" r:id="rId8"/>
    <sheet name="甲府店" sheetId="7" r:id="rId9"/>
    <sheet name="岡山店" sheetId="8" r:id="rId10"/>
    <sheet name="松山店" sheetId="9" r:id="rId11"/>
    <sheet name="大阪店" sheetId="10" r:id="rId12"/>
    <sheet name="奈良店" sheetId="11" r:id="rId13"/>
  </sheets>
  <definedNames>
    <definedName name="_xlnm._FilterDatabase" localSheetId="1" hidden="1">森本仕入れ!$F$2:$F$748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0" i="13" l="1"/>
  <c r="M250" i="13" s="1"/>
  <c r="K249" i="13"/>
  <c r="M249" i="13" s="1"/>
  <c r="K248" i="13"/>
  <c r="K251" i="13"/>
  <c r="M251" i="13" s="1"/>
  <c r="K247" i="13"/>
  <c r="M247" i="13" s="1"/>
  <c r="J323" i="13"/>
  <c r="K323" i="13" s="1"/>
  <c r="M323" i="13" s="1"/>
  <c r="J324" i="13"/>
  <c r="K324" i="13" s="1"/>
  <c r="M324" i="13" s="1"/>
  <c r="J325" i="13"/>
  <c r="K325" i="13" s="1"/>
  <c r="M325" i="13" s="1"/>
  <c r="J319" i="13"/>
  <c r="J327" i="13"/>
  <c r="J326" i="13"/>
  <c r="K326" i="13" s="1"/>
  <c r="M326" i="13" s="1"/>
  <c r="J320" i="13"/>
  <c r="J317" i="13"/>
  <c r="J315" i="13"/>
  <c r="K315" i="13" s="1"/>
  <c r="M315" i="13" s="1"/>
  <c r="J314" i="13"/>
  <c r="J313" i="13"/>
  <c r="J311" i="13"/>
  <c r="K311" i="13" s="1"/>
  <c r="M311" i="13" s="1"/>
  <c r="J312" i="13"/>
  <c r="K312" i="13" s="1"/>
  <c r="M312" i="13" s="1"/>
  <c r="J310" i="13"/>
  <c r="J309" i="13"/>
  <c r="J308" i="13"/>
  <c r="J307" i="13"/>
  <c r="K307" i="13" s="1"/>
  <c r="M307" i="13" s="1"/>
  <c r="J305" i="13"/>
  <c r="J304" i="13"/>
  <c r="J303" i="13"/>
  <c r="J316" i="13"/>
  <c r="K317" i="13"/>
  <c r="M317" i="13" s="1"/>
  <c r="J318" i="13"/>
  <c r="K318" i="13" s="1"/>
  <c r="M318" i="13" s="1"/>
  <c r="J322" i="13"/>
  <c r="J321" i="13"/>
  <c r="K321" i="13" s="1"/>
  <c r="M321" i="13" s="1"/>
  <c r="K327" i="13"/>
  <c r="M327" i="13" s="1"/>
  <c r="K320" i="13"/>
  <c r="M320" i="13" s="1"/>
  <c r="K319" i="13"/>
  <c r="M319" i="13" s="1"/>
  <c r="K316" i="13"/>
  <c r="M316" i="13" s="1"/>
  <c r="K313" i="13"/>
  <c r="M313" i="13" s="1"/>
  <c r="K309" i="13"/>
  <c r="M309" i="13" s="1"/>
  <c r="K308" i="13"/>
  <c r="M308" i="13" s="1"/>
  <c r="J306" i="13"/>
  <c r="K306" i="13" s="1"/>
  <c r="M306" i="13" s="1"/>
  <c r="K305" i="13"/>
  <c r="M305" i="13" s="1"/>
  <c r="K304" i="13"/>
  <c r="M304" i="13" s="1"/>
  <c r="K303" i="13"/>
  <c r="M303" i="13" s="1"/>
  <c r="K310" i="13"/>
  <c r="M310" i="13" s="1"/>
  <c r="K314" i="13"/>
  <c r="M314" i="13" s="1"/>
  <c r="K322" i="13"/>
  <c r="M322" i="13" s="1"/>
  <c r="J298" i="13"/>
  <c r="J297" i="13"/>
  <c r="K297" i="13" s="1"/>
  <c r="K299" i="13"/>
  <c r="M299" i="13" s="1"/>
  <c r="K298" i="13"/>
  <c r="M298" i="13" s="1"/>
  <c r="J295" i="13"/>
  <c r="K295" i="13" s="1"/>
  <c r="M295" i="13" s="1"/>
  <c r="J294" i="13"/>
  <c r="K294" i="13" s="1"/>
  <c r="M294" i="13" s="1"/>
  <c r="S295" i="13" s="1"/>
  <c r="J293" i="13"/>
  <c r="K293" i="13" s="1"/>
  <c r="M293" i="13" s="1"/>
  <c r="S293" i="13" s="1"/>
  <c r="J290" i="13"/>
  <c r="K290" i="13" s="1"/>
  <c r="M290" i="13" s="1"/>
  <c r="J288" i="13"/>
  <c r="K288" i="13" s="1"/>
  <c r="M288" i="13" s="1"/>
  <c r="K289" i="13"/>
  <c r="M289" i="13" s="1"/>
  <c r="K291" i="13"/>
  <c r="M291" i="13" s="1"/>
  <c r="K279" i="13"/>
  <c r="M279" i="13" s="1"/>
  <c r="K287" i="13"/>
  <c r="M287" i="13" s="1"/>
  <c r="K286" i="13"/>
  <c r="M286" i="13" s="1"/>
  <c r="K285" i="13"/>
  <c r="M285" i="13" s="1"/>
  <c r="K284" i="13"/>
  <c r="M284" i="13" s="1"/>
  <c r="K283" i="13"/>
  <c r="M283" i="13" s="1"/>
  <c r="K282" i="13"/>
  <c r="M282" i="13" s="1"/>
  <c r="K281" i="13"/>
  <c r="M281" i="13" s="1"/>
  <c r="K280" i="13"/>
  <c r="M280" i="13" s="1"/>
  <c r="K278" i="13"/>
  <c r="M278" i="13" s="1"/>
  <c r="K277" i="13"/>
  <c r="M277" i="13" s="1"/>
  <c r="K276" i="13"/>
  <c r="M276" i="13" s="1"/>
  <c r="K275" i="13"/>
  <c r="M275" i="13" s="1"/>
  <c r="K274" i="13"/>
  <c r="M274" i="13" s="1"/>
  <c r="K273" i="13"/>
  <c r="M273" i="13" s="1"/>
  <c r="K272" i="13"/>
  <c r="M272" i="13" s="1"/>
  <c r="K271" i="13"/>
  <c r="M271" i="13" s="1"/>
  <c r="K270" i="13"/>
  <c r="M270" i="13" s="1"/>
  <c r="K269" i="13"/>
  <c r="M269" i="13" s="1"/>
  <c r="K268" i="13"/>
  <c r="M268" i="13" s="1"/>
  <c r="K267" i="13"/>
  <c r="M267" i="13" s="1"/>
  <c r="K266" i="13"/>
  <c r="M266" i="13" s="1"/>
  <c r="K265" i="13"/>
  <c r="M265" i="13" s="1"/>
  <c r="K264" i="13"/>
  <c r="M264" i="13" s="1"/>
  <c r="K263" i="13"/>
  <c r="M263" i="13" s="1"/>
  <c r="K262" i="13"/>
  <c r="M262" i="13" s="1"/>
  <c r="K261" i="13"/>
  <c r="M261" i="13" s="1"/>
  <c r="K260" i="13"/>
  <c r="M260" i="13" s="1"/>
  <c r="K259" i="13"/>
  <c r="M259" i="13" s="1"/>
  <c r="K258" i="13"/>
  <c r="M258" i="13" s="1"/>
  <c r="K257" i="13"/>
  <c r="M257" i="13" s="1"/>
  <c r="K256" i="13"/>
  <c r="M256" i="13" s="1"/>
  <c r="K255" i="13"/>
  <c r="M255" i="13" s="1"/>
  <c r="K254" i="13"/>
  <c r="M254" i="13" s="1"/>
  <c r="K253" i="13"/>
  <c r="M253" i="13" s="1"/>
  <c r="K252" i="13"/>
  <c r="M252" i="13" s="1"/>
  <c r="K246" i="13"/>
  <c r="M246" i="13" s="1"/>
  <c r="K245" i="13"/>
  <c r="M245" i="13" s="1"/>
  <c r="K244" i="13"/>
  <c r="M244" i="13" s="1"/>
  <c r="K243" i="13"/>
  <c r="M243" i="13" s="1"/>
  <c r="K242" i="13"/>
  <c r="M242" i="13" s="1"/>
  <c r="K241" i="13"/>
  <c r="M241" i="13" s="1"/>
  <c r="K240" i="13"/>
  <c r="M240" i="13" s="1"/>
  <c r="K239" i="13"/>
  <c r="M239" i="13" s="1"/>
  <c r="K238" i="13"/>
  <c r="M238" i="13" s="1"/>
  <c r="K237" i="13"/>
  <c r="M237" i="13" s="1"/>
  <c r="K236" i="13"/>
  <c r="M236" i="13" s="1"/>
  <c r="K235" i="13"/>
  <c r="M235" i="13" s="1"/>
  <c r="K234" i="13"/>
  <c r="M234" i="13" s="1"/>
  <c r="K233" i="13"/>
  <c r="M233" i="13" s="1"/>
  <c r="K232" i="13"/>
  <c r="M232" i="13" s="1"/>
  <c r="K231" i="13"/>
  <c r="M231" i="13" s="1"/>
  <c r="K230" i="13"/>
  <c r="M230" i="13" s="1"/>
  <c r="K229" i="13"/>
  <c r="M229" i="13" s="1"/>
  <c r="K228" i="13"/>
  <c r="M228" i="13" s="1"/>
  <c r="K227" i="13"/>
  <c r="M227" i="13" s="1"/>
  <c r="K226" i="13"/>
  <c r="M226" i="13" s="1"/>
  <c r="K225" i="13"/>
  <c r="M225" i="13" s="1"/>
  <c r="K224" i="13"/>
  <c r="M224" i="13" s="1"/>
  <c r="K223" i="13"/>
  <c r="M223" i="13" s="1"/>
  <c r="K222" i="13"/>
  <c r="M222" i="13" s="1"/>
  <c r="K221" i="13"/>
  <c r="M221" i="13" s="1"/>
  <c r="K220" i="13"/>
  <c r="M220" i="13" s="1"/>
  <c r="K219" i="13"/>
  <c r="M219" i="13" s="1"/>
  <c r="K218" i="13"/>
  <c r="M218" i="13" s="1"/>
  <c r="K217" i="13"/>
  <c r="M217" i="13" s="1"/>
  <c r="K216" i="13"/>
  <c r="M216" i="13" s="1"/>
  <c r="K215" i="13"/>
  <c r="M215" i="13" s="1"/>
  <c r="K214" i="13"/>
  <c r="M214" i="13" s="1"/>
  <c r="K213" i="13"/>
  <c r="M213" i="13" s="1"/>
  <c r="K212" i="13"/>
  <c r="M212" i="13" s="1"/>
  <c r="K211" i="13"/>
  <c r="M211" i="13" s="1"/>
  <c r="K210" i="13"/>
  <c r="M210" i="13" s="1"/>
  <c r="K209" i="13"/>
  <c r="M209" i="13" s="1"/>
  <c r="K737" i="13"/>
  <c r="K739" i="13"/>
  <c r="K736" i="13"/>
  <c r="K738" i="13"/>
  <c r="K740" i="13"/>
  <c r="K748" i="13"/>
  <c r="K747" i="13"/>
  <c r="K746" i="13"/>
  <c r="K745" i="13"/>
  <c r="K744" i="13"/>
  <c r="K743" i="13"/>
  <c r="K742" i="13"/>
  <c r="K741" i="13"/>
  <c r="I748" i="13"/>
  <c r="I747" i="13"/>
  <c r="I746" i="13"/>
  <c r="I745" i="13"/>
  <c r="I744" i="13"/>
  <c r="I743" i="13"/>
  <c r="I742" i="13"/>
  <c r="I741" i="13"/>
  <c r="I740" i="13"/>
  <c r="I739" i="13"/>
  <c r="I738" i="13"/>
  <c r="I737" i="13"/>
  <c r="K735" i="13"/>
  <c r="K734" i="13"/>
  <c r="K733" i="13"/>
  <c r="K732" i="13"/>
  <c r="K731" i="13"/>
  <c r="K730" i="13"/>
  <c r="K729" i="13"/>
  <c r="K728" i="13"/>
  <c r="K727" i="13"/>
  <c r="K726" i="13"/>
  <c r="K725" i="13"/>
  <c r="K724" i="13"/>
  <c r="I736" i="13"/>
  <c r="I735" i="13"/>
  <c r="I734" i="13"/>
  <c r="I733" i="13"/>
  <c r="I732" i="13"/>
  <c r="I731" i="13"/>
  <c r="I730" i="13"/>
  <c r="I729" i="13"/>
  <c r="I728" i="13"/>
  <c r="I727" i="13"/>
  <c r="I726" i="13"/>
  <c r="I725" i="13"/>
  <c r="I724" i="13"/>
  <c r="K719" i="13"/>
  <c r="K723" i="13"/>
  <c r="K722" i="13"/>
  <c r="K721" i="13"/>
  <c r="K720" i="13"/>
  <c r="K718" i="13"/>
  <c r="I723" i="13"/>
  <c r="I722" i="13"/>
  <c r="I721" i="13"/>
  <c r="I720" i="13"/>
  <c r="I719" i="13"/>
  <c r="I718" i="13"/>
  <c r="K717" i="13"/>
  <c r="K716" i="13"/>
  <c r="K715" i="13"/>
  <c r="K714" i="13"/>
  <c r="K713" i="13"/>
  <c r="K712" i="13"/>
  <c r="K711" i="13"/>
  <c r="K710" i="13"/>
  <c r="K709" i="13"/>
  <c r="I717" i="13"/>
  <c r="I716" i="13"/>
  <c r="I715" i="13"/>
  <c r="I714" i="13"/>
  <c r="I713" i="13"/>
  <c r="I712" i="13"/>
  <c r="I711" i="13"/>
  <c r="I710" i="13"/>
  <c r="I709" i="13"/>
  <c r="K708" i="13"/>
  <c r="K707" i="13"/>
  <c r="K706" i="13"/>
  <c r="K705" i="13"/>
  <c r="K704" i="13"/>
  <c r="K703" i="13"/>
  <c r="K702" i="13"/>
  <c r="K701" i="13"/>
  <c r="K700" i="13"/>
  <c r="K699" i="13"/>
  <c r="K698" i="13"/>
  <c r="K697" i="13"/>
  <c r="K696" i="13"/>
  <c r="I708" i="13"/>
  <c r="I707" i="13"/>
  <c r="I706" i="13"/>
  <c r="I705" i="13"/>
  <c r="I704" i="13"/>
  <c r="I703" i="13"/>
  <c r="I702" i="13"/>
  <c r="I701" i="13"/>
  <c r="I700" i="13"/>
  <c r="I699" i="13"/>
  <c r="I698" i="13"/>
  <c r="I697" i="13"/>
  <c r="I696" i="13"/>
  <c r="K695" i="13"/>
  <c r="K694" i="13"/>
  <c r="K693" i="13"/>
  <c r="K692" i="13"/>
  <c r="K691" i="13"/>
  <c r="I695" i="13"/>
  <c r="I694" i="13"/>
  <c r="I693" i="13"/>
  <c r="I692" i="13"/>
  <c r="I691" i="13"/>
  <c r="P691" i="13"/>
  <c r="Q691" i="13" s="1"/>
  <c r="R691" i="13" s="1"/>
  <c r="P692" i="13"/>
  <c r="Q692" i="13" s="1"/>
  <c r="R692" i="13" s="1"/>
  <c r="P693" i="13"/>
  <c r="Q693" i="13" s="1"/>
  <c r="R693" i="13" s="1"/>
  <c r="P694" i="13"/>
  <c r="Q694" i="13" s="1"/>
  <c r="R694" i="13" s="1"/>
  <c r="P695" i="13"/>
  <c r="Q695" i="13" s="1"/>
  <c r="R695" i="13" s="1"/>
  <c r="P696" i="13"/>
  <c r="Q696" i="13" s="1"/>
  <c r="R696" i="13" s="1"/>
  <c r="P697" i="13"/>
  <c r="Q697" i="13" s="1"/>
  <c r="R697" i="13" s="1"/>
  <c r="P698" i="13"/>
  <c r="Q698" i="13" s="1"/>
  <c r="R698" i="13" s="1"/>
  <c r="P699" i="13"/>
  <c r="Q699" i="13" s="1"/>
  <c r="R699" i="13" s="1"/>
  <c r="P700" i="13"/>
  <c r="Q700" i="13" s="1"/>
  <c r="R700" i="13" s="1"/>
  <c r="P701" i="13"/>
  <c r="Q701" i="13" s="1"/>
  <c r="R701" i="13" s="1"/>
  <c r="P702" i="13"/>
  <c r="Q702" i="13" s="1"/>
  <c r="R702" i="13" s="1"/>
  <c r="P703" i="13"/>
  <c r="Q703" i="13" s="1"/>
  <c r="R703" i="13" s="1"/>
  <c r="P704" i="13"/>
  <c r="Q704" i="13" s="1"/>
  <c r="R704" i="13" s="1"/>
  <c r="P705" i="13"/>
  <c r="Q705" i="13" s="1"/>
  <c r="R705" i="13" s="1"/>
  <c r="P706" i="13"/>
  <c r="Q706" i="13" s="1"/>
  <c r="R706" i="13" s="1"/>
  <c r="P707" i="13"/>
  <c r="Q707" i="13" s="1"/>
  <c r="R707" i="13" s="1"/>
  <c r="P708" i="13"/>
  <c r="Q708" i="13" s="1"/>
  <c r="R708" i="13" s="1"/>
  <c r="P709" i="13"/>
  <c r="Q709" i="13" s="1"/>
  <c r="R709" i="13" s="1"/>
  <c r="K690" i="13"/>
  <c r="P690" i="13"/>
  <c r="Q690" i="13" s="1"/>
  <c r="R690" i="13" s="1"/>
  <c r="K689" i="13"/>
  <c r="K688" i="13"/>
  <c r="K687" i="13"/>
  <c r="K686" i="13"/>
  <c r="K685" i="13"/>
  <c r="K684" i="13"/>
  <c r="I690" i="13"/>
  <c r="I689" i="13"/>
  <c r="I688" i="13"/>
  <c r="I687" i="13"/>
  <c r="I686" i="13"/>
  <c r="I685" i="13"/>
  <c r="I684" i="13"/>
  <c r="P645" i="13"/>
  <c r="Q645" i="13" s="1"/>
  <c r="R645" i="13" s="1"/>
  <c r="P646" i="13"/>
  <c r="Q646" i="13" s="1"/>
  <c r="R646" i="13" s="1"/>
  <c r="P647" i="13"/>
  <c r="Q647" i="13" s="1"/>
  <c r="R647" i="13" s="1"/>
  <c r="P648" i="13"/>
  <c r="Q648" i="13" s="1"/>
  <c r="R648" i="13" s="1"/>
  <c r="P649" i="13"/>
  <c r="Q649" i="13" s="1"/>
  <c r="R649" i="13" s="1"/>
  <c r="P650" i="13"/>
  <c r="Q650" i="13" s="1"/>
  <c r="R650" i="13" s="1"/>
  <c r="P651" i="13"/>
  <c r="Q651" i="13" s="1"/>
  <c r="R651" i="13" s="1"/>
  <c r="P652" i="13"/>
  <c r="Q652" i="13" s="1"/>
  <c r="R652" i="13" s="1"/>
  <c r="P653" i="13"/>
  <c r="Q653" i="13" s="1"/>
  <c r="R653" i="13" s="1"/>
  <c r="P654" i="13"/>
  <c r="Q654" i="13" s="1"/>
  <c r="R654" i="13" s="1"/>
  <c r="P655" i="13"/>
  <c r="Q655" i="13" s="1"/>
  <c r="R655" i="13" s="1"/>
  <c r="P656" i="13"/>
  <c r="Q656" i="13" s="1"/>
  <c r="R656" i="13" s="1"/>
  <c r="P657" i="13"/>
  <c r="Q657" i="13" s="1"/>
  <c r="R657" i="13" s="1"/>
  <c r="P658" i="13"/>
  <c r="Q658" i="13" s="1"/>
  <c r="R658" i="13" s="1"/>
  <c r="P659" i="13"/>
  <c r="Q659" i="13" s="1"/>
  <c r="R659" i="13" s="1"/>
  <c r="P660" i="13"/>
  <c r="Q660" i="13" s="1"/>
  <c r="R660" i="13" s="1"/>
  <c r="K683" i="13"/>
  <c r="K682" i="13"/>
  <c r="K681" i="13"/>
  <c r="K680" i="13"/>
  <c r="K679" i="13"/>
  <c r="K678" i="13"/>
  <c r="I683" i="13"/>
  <c r="I682" i="13"/>
  <c r="I681" i="13"/>
  <c r="I680" i="13"/>
  <c r="I678" i="13"/>
  <c r="I679" i="13"/>
  <c r="I677" i="13"/>
  <c r="I676" i="13"/>
  <c r="I675" i="13"/>
  <c r="I674" i="13"/>
  <c r="I673" i="13"/>
  <c r="I672" i="13"/>
  <c r="I671" i="13"/>
  <c r="I670" i="13"/>
  <c r="I669" i="13"/>
  <c r="I668" i="13"/>
  <c r="I667" i="13"/>
  <c r="K677" i="13"/>
  <c r="K676" i="13"/>
  <c r="K675" i="13"/>
  <c r="K674" i="13"/>
  <c r="I666" i="13"/>
  <c r="I665" i="13"/>
  <c r="I664" i="13"/>
  <c r="I663" i="13"/>
  <c r="I662" i="13"/>
  <c r="I661" i="13"/>
  <c r="I660" i="13"/>
  <c r="I659" i="13"/>
  <c r="I658" i="13"/>
  <c r="I657" i="13"/>
  <c r="I656" i="13"/>
  <c r="I655" i="13"/>
  <c r="K661" i="13"/>
  <c r="K662" i="13"/>
  <c r="K663" i="13"/>
  <c r="K664" i="13"/>
  <c r="K665" i="13"/>
  <c r="K666" i="13"/>
  <c r="K667" i="13"/>
  <c r="K668" i="13"/>
  <c r="K669" i="13"/>
  <c r="K670" i="13"/>
  <c r="K671" i="13"/>
  <c r="K672" i="13"/>
  <c r="K673" i="13"/>
  <c r="K652" i="13"/>
  <c r="K653" i="13"/>
  <c r="I654" i="13"/>
  <c r="I653" i="13"/>
  <c r="I652" i="13"/>
  <c r="K654" i="13"/>
  <c r="K655" i="13"/>
  <c r="M655" i="13" s="1"/>
  <c r="K656" i="13"/>
  <c r="K657" i="13"/>
  <c r="K658" i="13"/>
  <c r="K659" i="13"/>
  <c r="M659" i="13" s="1"/>
  <c r="K660" i="13"/>
  <c r="K645" i="13"/>
  <c r="K646" i="13"/>
  <c r="K647" i="13"/>
  <c r="K648" i="13"/>
  <c r="K649" i="13"/>
  <c r="K650" i="13"/>
  <c r="K651" i="13"/>
  <c r="I647" i="13"/>
  <c r="I648" i="13"/>
  <c r="I649" i="13"/>
  <c r="I650" i="13"/>
  <c r="I651" i="13"/>
  <c r="I646" i="13"/>
  <c r="I645" i="13"/>
  <c r="K644" i="13"/>
  <c r="P644" i="13"/>
  <c r="Q644" i="13" s="1"/>
  <c r="R644" i="13" s="1"/>
  <c r="K643" i="13"/>
  <c r="P643" i="13"/>
  <c r="Q643" i="13" s="1"/>
  <c r="R643" i="13" s="1"/>
  <c r="K642" i="13"/>
  <c r="P642" i="13"/>
  <c r="Q642" i="13" s="1"/>
  <c r="R642" i="13" s="1"/>
  <c r="K641" i="13"/>
  <c r="P641" i="13"/>
  <c r="Q641" i="13" s="1"/>
  <c r="R641" i="13" s="1"/>
  <c r="K640" i="13"/>
  <c r="P640" i="13"/>
  <c r="Q640" i="13" s="1"/>
  <c r="R640" i="13" s="1"/>
  <c r="K639" i="13"/>
  <c r="P639" i="13"/>
  <c r="Q639" i="13" s="1"/>
  <c r="R639" i="13" s="1"/>
  <c r="I644" i="13"/>
  <c r="I643" i="13"/>
  <c r="I642" i="13"/>
  <c r="I641" i="13"/>
  <c r="I640" i="13"/>
  <c r="I639" i="13"/>
  <c r="K631" i="13"/>
  <c r="K632" i="13"/>
  <c r="K633" i="13"/>
  <c r="K634" i="13"/>
  <c r="K635" i="13"/>
  <c r="K636" i="13"/>
  <c r="K637" i="13"/>
  <c r="K638" i="13"/>
  <c r="K630" i="13"/>
  <c r="P638" i="13"/>
  <c r="Q638" i="13" s="1"/>
  <c r="R638" i="13" s="1"/>
  <c r="P637" i="13"/>
  <c r="Q637" i="13" s="1"/>
  <c r="R637" i="13" s="1"/>
  <c r="P636" i="13"/>
  <c r="Q636" i="13" s="1"/>
  <c r="R636" i="13" s="1"/>
  <c r="P635" i="13"/>
  <c r="Q635" i="13" s="1"/>
  <c r="R635" i="13" s="1"/>
  <c r="P634" i="13"/>
  <c r="Q634" i="13" s="1"/>
  <c r="R634" i="13" s="1"/>
  <c r="P633" i="13"/>
  <c r="Q633" i="13" s="1"/>
  <c r="R633" i="13" s="1"/>
  <c r="P632" i="13"/>
  <c r="Q632" i="13" s="1"/>
  <c r="R632" i="13" s="1"/>
  <c r="I638" i="13"/>
  <c r="I637" i="13"/>
  <c r="I636" i="13"/>
  <c r="I635" i="13"/>
  <c r="I634" i="13"/>
  <c r="I633" i="13"/>
  <c r="I632" i="13"/>
  <c r="I631" i="13"/>
  <c r="I630" i="13"/>
  <c r="M630" i="13" s="1"/>
  <c r="K625" i="13"/>
  <c r="K624" i="13"/>
  <c r="K627" i="13"/>
  <c r="K626" i="13"/>
  <c r="K628" i="13"/>
  <c r="K629" i="13"/>
  <c r="I629" i="13"/>
  <c r="I628" i="13"/>
  <c r="I627" i="13"/>
  <c r="I626" i="13"/>
  <c r="I625" i="13"/>
  <c r="I624" i="13"/>
  <c r="K623" i="13"/>
  <c r="I623" i="13"/>
  <c r="K622" i="13"/>
  <c r="K621" i="13"/>
  <c r="K620" i="13"/>
  <c r="K619" i="13"/>
  <c r="K618" i="13"/>
  <c r="K617" i="13"/>
  <c r="K616" i="13"/>
  <c r="K615" i="13"/>
  <c r="K614" i="13"/>
  <c r="K613" i="13"/>
  <c r="I622" i="13"/>
  <c r="I621" i="13"/>
  <c r="I620" i="13"/>
  <c r="I619" i="13"/>
  <c r="I618" i="13"/>
  <c r="I617" i="13"/>
  <c r="I616" i="13"/>
  <c r="I615" i="13"/>
  <c r="I614" i="13"/>
  <c r="I613" i="13"/>
  <c r="I612" i="13"/>
  <c r="P76" i="13"/>
  <c r="Q76" i="13" s="1"/>
  <c r="R76" i="13" s="1"/>
  <c r="P77" i="13"/>
  <c r="Q77" i="13" s="1"/>
  <c r="R77" i="13" s="1"/>
  <c r="P78" i="13"/>
  <c r="Q78" i="13" s="1"/>
  <c r="R78" i="13" s="1"/>
  <c r="P79" i="13"/>
  <c r="Q79" i="13" s="1"/>
  <c r="R79" i="13" s="1"/>
  <c r="P80" i="13"/>
  <c r="Q80" i="13" s="1"/>
  <c r="R80" i="13" s="1"/>
  <c r="P81" i="13"/>
  <c r="Q81" i="13" s="1"/>
  <c r="R81" i="13" s="1"/>
  <c r="P82" i="13"/>
  <c r="Q82" i="13" s="1"/>
  <c r="R82" i="13" s="1"/>
  <c r="P83" i="13"/>
  <c r="Q83" i="13" s="1"/>
  <c r="R83" i="13" s="1"/>
  <c r="P84" i="13"/>
  <c r="Q84" i="13" s="1"/>
  <c r="R84" i="13" s="1"/>
  <c r="P85" i="13"/>
  <c r="Q85" i="13" s="1"/>
  <c r="R85" i="13" s="1"/>
  <c r="P86" i="13"/>
  <c r="Q86" i="13" s="1"/>
  <c r="R86" i="13" s="1"/>
  <c r="P87" i="13"/>
  <c r="Q87" i="13" s="1"/>
  <c r="R87" i="13" s="1"/>
  <c r="P88" i="13"/>
  <c r="Q88" i="13" s="1"/>
  <c r="R88" i="13" s="1"/>
  <c r="P89" i="13"/>
  <c r="Q89" i="13" s="1"/>
  <c r="R89" i="13" s="1"/>
  <c r="P90" i="13"/>
  <c r="Q90" i="13" s="1"/>
  <c r="R90" i="13" s="1"/>
  <c r="P91" i="13"/>
  <c r="Q91" i="13" s="1"/>
  <c r="R91" i="13" s="1"/>
  <c r="P92" i="13"/>
  <c r="Q92" i="13" s="1"/>
  <c r="R92" i="13" s="1"/>
  <c r="P93" i="13"/>
  <c r="Q93" i="13" s="1"/>
  <c r="R93" i="13" s="1"/>
  <c r="P94" i="13"/>
  <c r="Q94" i="13" s="1"/>
  <c r="R94" i="13" s="1"/>
  <c r="P95" i="13"/>
  <c r="Q95" i="13" s="1"/>
  <c r="R95" i="13" s="1"/>
  <c r="P96" i="13"/>
  <c r="Q96" i="13" s="1"/>
  <c r="R96" i="13" s="1"/>
  <c r="P97" i="13"/>
  <c r="Q97" i="13" s="1"/>
  <c r="R97" i="13" s="1"/>
  <c r="P98" i="13"/>
  <c r="Q98" i="13" s="1"/>
  <c r="R98" i="13" s="1"/>
  <c r="P99" i="13"/>
  <c r="Q99" i="13" s="1"/>
  <c r="R99" i="13" s="1"/>
  <c r="P100" i="13"/>
  <c r="Q100" i="13" s="1"/>
  <c r="R100" i="13" s="1"/>
  <c r="P101" i="13"/>
  <c r="Q101" i="13" s="1"/>
  <c r="R101" i="13" s="1"/>
  <c r="P102" i="13"/>
  <c r="Q102" i="13" s="1"/>
  <c r="R102" i="13" s="1"/>
  <c r="P103" i="13"/>
  <c r="Q103" i="13" s="1"/>
  <c r="R103" i="13" s="1"/>
  <c r="P104" i="13"/>
  <c r="Q104" i="13" s="1"/>
  <c r="R104" i="13" s="1"/>
  <c r="P105" i="13"/>
  <c r="Q105" i="13" s="1"/>
  <c r="R105" i="13" s="1"/>
  <c r="P106" i="13"/>
  <c r="Q106" i="13" s="1"/>
  <c r="R106" i="13" s="1"/>
  <c r="P107" i="13"/>
  <c r="Q107" i="13" s="1"/>
  <c r="R107" i="13" s="1"/>
  <c r="P108" i="13"/>
  <c r="Q108" i="13" s="1"/>
  <c r="R108" i="13" s="1"/>
  <c r="P109" i="13"/>
  <c r="Q109" i="13" s="1"/>
  <c r="R109" i="13" s="1"/>
  <c r="P110" i="13"/>
  <c r="Q110" i="13" s="1"/>
  <c r="R110" i="13" s="1"/>
  <c r="P111" i="13"/>
  <c r="Q111" i="13" s="1"/>
  <c r="R111" i="13" s="1"/>
  <c r="P112" i="13"/>
  <c r="Q112" i="13" s="1"/>
  <c r="R112" i="13" s="1"/>
  <c r="P113" i="13"/>
  <c r="Q113" i="13" s="1"/>
  <c r="R113" i="13" s="1"/>
  <c r="P114" i="13"/>
  <c r="Q114" i="13" s="1"/>
  <c r="R114" i="13" s="1"/>
  <c r="P115" i="13"/>
  <c r="Q115" i="13" s="1"/>
  <c r="R115" i="13" s="1"/>
  <c r="P116" i="13"/>
  <c r="Q116" i="13" s="1"/>
  <c r="R116" i="13" s="1"/>
  <c r="P117" i="13"/>
  <c r="Q117" i="13" s="1"/>
  <c r="R117" i="13" s="1"/>
  <c r="P118" i="13"/>
  <c r="Q118" i="13" s="1"/>
  <c r="R118" i="13" s="1"/>
  <c r="P119" i="13"/>
  <c r="Q119" i="13" s="1"/>
  <c r="R119" i="13" s="1"/>
  <c r="P120" i="13"/>
  <c r="Q120" i="13" s="1"/>
  <c r="R120" i="13" s="1"/>
  <c r="P121" i="13"/>
  <c r="Q121" i="13" s="1"/>
  <c r="R121" i="13" s="1"/>
  <c r="P122" i="13"/>
  <c r="Q122" i="13" s="1"/>
  <c r="R122" i="13" s="1"/>
  <c r="P123" i="13"/>
  <c r="Q123" i="13" s="1"/>
  <c r="R123" i="13" s="1"/>
  <c r="P124" i="13"/>
  <c r="Q124" i="13" s="1"/>
  <c r="R124" i="13" s="1"/>
  <c r="P125" i="13"/>
  <c r="Q125" i="13" s="1"/>
  <c r="R125" i="13" s="1"/>
  <c r="P126" i="13"/>
  <c r="Q126" i="13" s="1"/>
  <c r="R126" i="13" s="1"/>
  <c r="P127" i="13"/>
  <c r="Q127" i="13" s="1"/>
  <c r="R127" i="13" s="1"/>
  <c r="P128" i="13"/>
  <c r="Q128" i="13" s="1"/>
  <c r="R128" i="13" s="1"/>
  <c r="P129" i="13"/>
  <c r="Q129" i="13" s="1"/>
  <c r="R129" i="13" s="1"/>
  <c r="P130" i="13"/>
  <c r="Q130" i="13" s="1"/>
  <c r="R130" i="13" s="1"/>
  <c r="P131" i="13"/>
  <c r="Q131" i="13" s="1"/>
  <c r="R131" i="13" s="1"/>
  <c r="P132" i="13"/>
  <c r="Q132" i="13" s="1"/>
  <c r="R132" i="13" s="1"/>
  <c r="P133" i="13"/>
  <c r="Q133" i="13" s="1"/>
  <c r="R133" i="13" s="1"/>
  <c r="P134" i="13"/>
  <c r="Q134" i="13" s="1"/>
  <c r="R134" i="13" s="1"/>
  <c r="P135" i="13"/>
  <c r="Q135" i="13" s="1"/>
  <c r="R135" i="13" s="1"/>
  <c r="P136" i="13"/>
  <c r="Q136" i="13" s="1"/>
  <c r="R136" i="13" s="1"/>
  <c r="P137" i="13"/>
  <c r="Q137" i="13" s="1"/>
  <c r="R137" i="13" s="1"/>
  <c r="P138" i="13"/>
  <c r="Q138" i="13" s="1"/>
  <c r="R138" i="13" s="1"/>
  <c r="P139" i="13"/>
  <c r="Q139" i="13" s="1"/>
  <c r="R139" i="13" s="1"/>
  <c r="P140" i="13"/>
  <c r="Q140" i="13" s="1"/>
  <c r="R140" i="13" s="1"/>
  <c r="P141" i="13"/>
  <c r="Q141" i="13" s="1"/>
  <c r="R141" i="13" s="1"/>
  <c r="P142" i="13"/>
  <c r="Q142" i="13" s="1"/>
  <c r="R142" i="13" s="1"/>
  <c r="P143" i="13"/>
  <c r="Q143" i="13" s="1"/>
  <c r="R143" i="13" s="1"/>
  <c r="P144" i="13"/>
  <c r="Q144" i="13" s="1"/>
  <c r="R144" i="13" s="1"/>
  <c r="P145" i="13"/>
  <c r="Q145" i="13" s="1"/>
  <c r="R145" i="13" s="1"/>
  <c r="P146" i="13"/>
  <c r="Q146" i="13" s="1"/>
  <c r="R146" i="13" s="1"/>
  <c r="P147" i="13"/>
  <c r="Q147" i="13" s="1"/>
  <c r="R147" i="13" s="1"/>
  <c r="P148" i="13"/>
  <c r="Q148" i="13" s="1"/>
  <c r="R148" i="13" s="1"/>
  <c r="P149" i="13"/>
  <c r="Q149" i="13" s="1"/>
  <c r="R149" i="13" s="1"/>
  <c r="P150" i="13"/>
  <c r="Q150" i="13" s="1"/>
  <c r="R150" i="13" s="1"/>
  <c r="P151" i="13"/>
  <c r="Q151" i="13" s="1"/>
  <c r="R151" i="13" s="1"/>
  <c r="P152" i="13"/>
  <c r="Q152" i="13" s="1"/>
  <c r="R152" i="13" s="1"/>
  <c r="P153" i="13"/>
  <c r="Q153" i="13" s="1"/>
  <c r="R153" i="13" s="1"/>
  <c r="P154" i="13"/>
  <c r="Q154" i="13" s="1"/>
  <c r="R154" i="13" s="1"/>
  <c r="P155" i="13"/>
  <c r="Q155" i="13" s="1"/>
  <c r="R155" i="13" s="1"/>
  <c r="P156" i="13"/>
  <c r="Q156" i="13" s="1"/>
  <c r="R156" i="13" s="1"/>
  <c r="P157" i="13"/>
  <c r="Q157" i="13" s="1"/>
  <c r="R157" i="13" s="1"/>
  <c r="P158" i="13"/>
  <c r="Q158" i="13" s="1"/>
  <c r="R158" i="13" s="1"/>
  <c r="P159" i="13"/>
  <c r="Q159" i="13" s="1"/>
  <c r="R159" i="13" s="1"/>
  <c r="P160" i="13"/>
  <c r="Q160" i="13" s="1"/>
  <c r="R160" i="13" s="1"/>
  <c r="P161" i="13"/>
  <c r="Q161" i="13" s="1"/>
  <c r="R161" i="13" s="1"/>
  <c r="P162" i="13"/>
  <c r="Q162" i="13" s="1"/>
  <c r="R162" i="13" s="1"/>
  <c r="P163" i="13"/>
  <c r="Q163" i="13" s="1"/>
  <c r="R163" i="13" s="1"/>
  <c r="P164" i="13"/>
  <c r="Q164" i="13" s="1"/>
  <c r="R164" i="13" s="1"/>
  <c r="P165" i="13"/>
  <c r="Q165" i="13" s="1"/>
  <c r="R165" i="13" s="1"/>
  <c r="P166" i="13"/>
  <c r="Q166" i="13" s="1"/>
  <c r="R166" i="13" s="1"/>
  <c r="P167" i="13"/>
  <c r="Q167" i="13" s="1"/>
  <c r="R167" i="13" s="1"/>
  <c r="P168" i="13"/>
  <c r="Q168" i="13" s="1"/>
  <c r="R168" i="13" s="1"/>
  <c r="P169" i="13"/>
  <c r="Q169" i="13" s="1"/>
  <c r="R169" i="13" s="1"/>
  <c r="P170" i="13"/>
  <c r="Q170" i="13" s="1"/>
  <c r="R170" i="13" s="1"/>
  <c r="P171" i="13"/>
  <c r="Q171" i="13" s="1"/>
  <c r="R171" i="13" s="1"/>
  <c r="P172" i="13"/>
  <c r="Q172" i="13" s="1"/>
  <c r="R172" i="13" s="1"/>
  <c r="P173" i="13"/>
  <c r="Q173" i="13" s="1"/>
  <c r="R173" i="13" s="1"/>
  <c r="P174" i="13"/>
  <c r="Q174" i="13" s="1"/>
  <c r="R174" i="13" s="1"/>
  <c r="P175" i="13"/>
  <c r="Q175" i="13" s="1"/>
  <c r="R175" i="13" s="1"/>
  <c r="P176" i="13"/>
  <c r="Q176" i="13" s="1"/>
  <c r="R176" i="13" s="1"/>
  <c r="P177" i="13"/>
  <c r="Q177" i="13" s="1"/>
  <c r="R177" i="13" s="1"/>
  <c r="P178" i="13"/>
  <c r="Q178" i="13" s="1"/>
  <c r="R178" i="13" s="1"/>
  <c r="P179" i="13"/>
  <c r="Q179" i="13" s="1"/>
  <c r="R179" i="13" s="1"/>
  <c r="P180" i="13"/>
  <c r="Q180" i="13" s="1"/>
  <c r="R180" i="13" s="1"/>
  <c r="P181" i="13"/>
  <c r="Q181" i="13" s="1"/>
  <c r="R181" i="13" s="1"/>
  <c r="P182" i="13"/>
  <c r="Q182" i="13" s="1"/>
  <c r="R182" i="13" s="1"/>
  <c r="P183" i="13"/>
  <c r="Q183" i="13" s="1"/>
  <c r="R183" i="13" s="1"/>
  <c r="P184" i="13"/>
  <c r="Q184" i="13" s="1"/>
  <c r="R184" i="13" s="1"/>
  <c r="P185" i="13"/>
  <c r="Q185" i="13" s="1"/>
  <c r="R185" i="13" s="1"/>
  <c r="P186" i="13"/>
  <c r="Q186" i="13" s="1"/>
  <c r="R186" i="13" s="1"/>
  <c r="P187" i="13"/>
  <c r="Q187" i="13" s="1"/>
  <c r="R187" i="13" s="1"/>
  <c r="P188" i="13"/>
  <c r="Q188" i="13" s="1"/>
  <c r="R188" i="13" s="1"/>
  <c r="P189" i="13"/>
  <c r="Q189" i="13" s="1"/>
  <c r="R189" i="13" s="1"/>
  <c r="P190" i="13"/>
  <c r="Q190" i="13" s="1"/>
  <c r="R190" i="13" s="1"/>
  <c r="P191" i="13"/>
  <c r="Q191" i="13" s="1"/>
  <c r="R191" i="13" s="1"/>
  <c r="P192" i="13"/>
  <c r="Q192" i="13" s="1"/>
  <c r="R192" i="13" s="1"/>
  <c r="P193" i="13"/>
  <c r="Q193" i="13" s="1"/>
  <c r="R193" i="13" s="1"/>
  <c r="P194" i="13"/>
  <c r="Q194" i="13" s="1"/>
  <c r="R194" i="13" s="1"/>
  <c r="P195" i="13"/>
  <c r="Q195" i="13" s="1"/>
  <c r="R195" i="13" s="1"/>
  <c r="P196" i="13"/>
  <c r="Q196" i="13" s="1"/>
  <c r="R196" i="13" s="1"/>
  <c r="P197" i="13"/>
  <c r="Q197" i="13" s="1"/>
  <c r="R197" i="13" s="1"/>
  <c r="P198" i="13"/>
  <c r="Q198" i="13" s="1"/>
  <c r="R198" i="13" s="1"/>
  <c r="P199" i="13"/>
  <c r="Q199" i="13" s="1"/>
  <c r="R199" i="13" s="1"/>
  <c r="P200" i="13"/>
  <c r="Q200" i="13" s="1"/>
  <c r="R200" i="13" s="1"/>
  <c r="P201" i="13"/>
  <c r="Q201" i="13" s="1"/>
  <c r="R201" i="13" s="1"/>
  <c r="P202" i="13"/>
  <c r="Q202" i="13" s="1"/>
  <c r="R202" i="13" s="1"/>
  <c r="P203" i="13"/>
  <c r="Q203" i="13" s="1"/>
  <c r="R203" i="13" s="1"/>
  <c r="P204" i="13"/>
  <c r="Q204" i="13" s="1"/>
  <c r="R204" i="13" s="1"/>
  <c r="P205" i="13"/>
  <c r="Q205" i="13" s="1"/>
  <c r="R205" i="13" s="1"/>
  <c r="P206" i="13"/>
  <c r="Q206" i="13" s="1"/>
  <c r="R206" i="13" s="1"/>
  <c r="P207" i="13"/>
  <c r="Q207" i="13" s="1"/>
  <c r="R207" i="13" s="1"/>
  <c r="P337" i="13"/>
  <c r="Q337" i="13" s="1"/>
  <c r="R337" i="13" s="1"/>
  <c r="P338" i="13"/>
  <c r="Q338" i="13" s="1"/>
  <c r="R338" i="13" s="1"/>
  <c r="P339" i="13"/>
  <c r="Q339" i="13" s="1"/>
  <c r="R339" i="13" s="1"/>
  <c r="P340" i="13"/>
  <c r="Q340" i="13" s="1"/>
  <c r="R340" i="13" s="1"/>
  <c r="P341" i="13"/>
  <c r="Q341" i="13" s="1"/>
  <c r="R341" i="13" s="1"/>
  <c r="P342" i="13"/>
  <c r="Q342" i="13" s="1"/>
  <c r="R342" i="13" s="1"/>
  <c r="P343" i="13"/>
  <c r="Q343" i="13" s="1"/>
  <c r="R343" i="13" s="1"/>
  <c r="P344" i="13"/>
  <c r="Q344" i="13" s="1"/>
  <c r="R344" i="13" s="1"/>
  <c r="P345" i="13"/>
  <c r="Q345" i="13" s="1"/>
  <c r="R345" i="13" s="1"/>
  <c r="P346" i="13"/>
  <c r="Q346" i="13" s="1"/>
  <c r="R346" i="13" s="1"/>
  <c r="P347" i="13"/>
  <c r="Q347" i="13" s="1"/>
  <c r="R347" i="13" s="1"/>
  <c r="P348" i="13"/>
  <c r="Q348" i="13" s="1"/>
  <c r="R348" i="13" s="1"/>
  <c r="P349" i="13"/>
  <c r="Q349" i="13" s="1"/>
  <c r="R349" i="13" s="1"/>
  <c r="P350" i="13"/>
  <c r="Q350" i="13" s="1"/>
  <c r="R350" i="13" s="1"/>
  <c r="P351" i="13"/>
  <c r="Q351" i="13" s="1"/>
  <c r="R351" i="13" s="1"/>
  <c r="P352" i="13"/>
  <c r="Q352" i="13" s="1"/>
  <c r="R352" i="13" s="1"/>
  <c r="P353" i="13"/>
  <c r="Q353" i="13" s="1"/>
  <c r="R353" i="13" s="1"/>
  <c r="P354" i="13"/>
  <c r="Q354" i="13" s="1"/>
  <c r="R354" i="13" s="1"/>
  <c r="P355" i="13"/>
  <c r="Q355" i="13" s="1"/>
  <c r="R355" i="13" s="1"/>
  <c r="P356" i="13"/>
  <c r="Q356" i="13" s="1"/>
  <c r="R356" i="13" s="1"/>
  <c r="P357" i="13"/>
  <c r="Q357" i="13" s="1"/>
  <c r="R357" i="13" s="1"/>
  <c r="P358" i="13"/>
  <c r="Q358" i="13" s="1"/>
  <c r="R358" i="13" s="1"/>
  <c r="P359" i="13"/>
  <c r="Q359" i="13" s="1"/>
  <c r="R359" i="13" s="1"/>
  <c r="P360" i="13"/>
  <c r="Q360" i="13" s="1"/>
  <c r="R360" i="13" s="1"/>
  <c r="P361" i="13"/>
  <c r="Q361" i="13" s="1"/>
  <c r="R361" i="13" s="1"/>
  <c r="P362" i="13"/>
  <c r="Q362" i="13" s="1"/>
  <c r="R362" i="13" s="1"/>
  <c r="P363" i="13"/>
  <c r="Q363" i="13" s="1"/>
  <c r="R363" i="13" s="1"/>
  <c r="P364" i="13"/>
  <c r="Q364" i="13" s="1"/>
  <c r="R364" i="13" s="1"/>
  <c r="P365" i="13"/>
  <c r="Q365" i="13" s="1"/>
  <c r="R365" i="13" s="1"/>
  <c r="P366" i="13"/>
  <c r="Q366" i="13" s="1"/>
  <c r="R366" i="13" s="1"/>
  <c r="P367" i="13"/>
  <c r="Q367" i="13" s="1"/>
  <c r="R367" i="13" s="1"/>
  <c r="P368" i="13"/>
  <c r="Q368" i="13" s="1"/>
  <c r="R368" i="13" s="1"/>
  <c r="P369" i="13"/>
  <c r="Q369" i="13" s="1"/>
  <c r="R369" i="13" s="1"/>
  <c r="P370" i="13"/>
  <c r="Q370" i="13" s="1"/>
  <c r="R370" i="13" s="1"/>
  <c r="P371" i="13"/>
  <c r="Q371" i="13" s="1"/>
  <c r="R371" i="13" s="1"/>
  <c r="P372" i="13"/>
  <c r="Q372" i="13" s="1"/>
  <c r="R372" i="13" s="1"/>
  <c r="P373" i="13"/>
  <c r="Q373" i="13" s="1"/>
  <c r="R373" i="13" s="1"/>
  <c r="P374" i="13"/>
  <c r="Q374" i="13" s="1"/>
  <c r="R374" i="13" s="1"/>
  <c r="P375" i="13"/>
  <c r="Q375" i="13" s="1"/>
  <c r="R375" i="13" s="1"/>
  <c r="P376" i="13"/>
  <c r="Q376" i="13" s="1"/>
  <c r="R376" i="13" s="1"/>
  <c r="P377" i="13"/>
  <c r="Q377" i="13" s="1"/>
  <c r="R377" i="13" s="1"/>
  <c r="P378" i="13"/>
  <c r="Q378" i="13" s="1"/>
  <c r="R378" i="13" s="1"/>
  <c r="P379" i="13"/>
  <c r="Q379" i="13" s="1"/>
  <c r="R379" i="13" s="1"/>
  <c r="P380" i="13"/>
  <c r="Q380" i="13" s="1"/>
  <c r="R380" i="13" s="1"/>
  <c r="P381" i="13"/>
  <c r="Q381" i="13" s="1"/>
  <c r="R381" i="13" s="1"/>
  <c r="P382" i="13"/>
  <c r="Q382" i="13" s="1"/>
  <c r="R382" i="13" s="1"/>
  <c r="P383" i="13"/>
  <c r="Q383" i="13" s="1"/>
  <c r="R383" i="13" s="1"/>
  <c r="P384" i="13"/>
  <c r="Q384" i="13" s="1"/>
  <c r="R384" i="13" s="1"/>
  <c r="P385" i="13"/>
  <c r="Q385" i="13" s="1"/>
  <c r="R385" i="13" s="1"/>
  <c r="P386" i="13"/>
  <c r="Q386" i="13" s="1"/>
  <c r="R386" i="13" s="1"/>
  <c r="P387" i="13"/>
  <c r="Q387" i="13" s="1"/>
  <c r="R387" i="13" s="1"/>
  <c r="P388" i="13"/>
  <c r="Q388" i="13" s="1"/>
  <c r="R388" i="13" s="1"/>
  <c r="P389" i="13"/>
  <c r="Q389" i="13" s="1"/>
  <c r="R389" i="13" s="1"/>
  <c r="P390" i="13"/>
  <c r="Q390" i="13" s="1"/>
  <c r="R390" i="13" s="1"/>
  <c r="P391" i="13"/>
  <c r="Q391" i="13" s="1"/>
  <c r="R391" i="13" s="1"/>
  <c r="P392" i="13"/>
  <c r="Q392" i="13" s="1"/>
  <c r="R392" i="13" s="1"/>
  <c r="P393" i="13"/>
  <c r="Q393" i="13" s="1"/>
  <c r="R393" i="13" s="1"/>
  <c r="P394" i="13"/>
  <c r="Q394" i="13" s="1"/>
  <c r="R394" i="13" s="1"/>
  <c r="P395" i="13"/>
  <c r="Q395" i="13" s="1"/>
  <c r="R395" i="13" s="1"/>
  <c r="P396" i="13"/>
  <c r="Q396" i="13" s="1"/>
  <c r="R396" i="13" s="1"/>
  <c r="P397" i="13"/>
  <c r="Q397" i="13" s="1"/>
  <c r="R397" i="13" s="1"/>
  <c r="P398" i="13"/>
  <c r="Q398" i="13" s="1"/>
  <c r="R398" i="13" s="1"/>
  <c r="P399" i="13"/>
  <c r="Q399" i="13" s="1"/>
  <c r="R399" i="13" s="1"/>
  <c r="P400" i="13"/>
  <c r="Q400" i="13" s="1"/>
  <c r="R400" i="13" s="1"/>
  <c r="P401" i="13"/>
  <c r="Q401" i="13" s="1"/>
  <c r="R401" i="13" s="1"/>
  <c r="P402" i="13"/>
  <c r="Q402" i="13" s="1"/>
  <c r="R402" i="13" s="1"/>
  <c r="P403" i="13"/>
  <c r="Q403" i="13" s="1"/>
  <c r="R403" i="13" s="1"/>
  <c r="P404" i="13"/>
  <c r="Q404" i="13" s="1"/>
  <c r="R404" i="13" s="1"/>
  <c r="P405" i="13"/>
  <c r="Q405" i="13" s="1"/>
  <c r="R405" i="13" s="1"/>
  <c r="P406" i="13"/>
  <c r="Q406" i="13" s="1"/>
  <c r="R406" i="13" s="1"/>
  <c r="P407" i="13"/>
  <c r="Q407" i="13" s="1"/>
  <c r="R407" i="13" s="1"/>
  <c r="P408" i="13"/>
  <c r="Q408" i="13" s="1"/>
  <c r="R408" i="13" s="1"/>
  <c r="P409" i="13"/>
  <c r="Q409" i="13" s="1"/>
  <c r="R409" i="13" s="1"/>
  <c r="P410" i="13"/>
  <c r="Q410" i="13" s="1"/>
  <c r="R410" i="13" s="1"/>
  <c r="P411" i="13"/>
  <c r="Q411" i="13" s="1"/>
  <c r="R411" i="13" s="1"/>
  <c r="P412" i="13"/>
  <c r="Q412" i="13" s="1"/>
  <c r="R412" i="13" s="1"/>
  <c r="P413" i="13"/>
  <c r="Q413" i="13" s="1"/>
  <c r="R413" i="13" s="1"/>
  <c r="P414" i="13"/>
  <c r="Q414" i="13" s="1"/>
  <c r="R414" i="13" s="1"/>
  <c r="P415" i="13"/>
  <c r="Q415" i="13" s="1"/>
  <c r="R415" i="13" s="1"/>
  <c r="P416" i="13"/>
  <c r="Q416" i="13" s="1"/>
  <c r="R416" i="13" s="1"/>
  <c r="P417" i="13"/>
  <c r="Q417" i="13" s="1"/>
  <c r="R417" i="13" s="1"/>
  <c r="P418" i="13"/>
  <c r="Q418" i="13" s="1"/>
  <c r="R418" i="13" s="1"/>
  <c r="P419" i="13"/>
  <c r="Q419" i="13" s="1"/>
  <c r="R419" i="13" s="1"/>
  <c r="P420" i="13"/>
  <c r="Q420" i="13" s="1"/>
  <c r="R420" i="13" s="1"/>
  <c r="P421" i="13"/>
  <c r="Q421" i="13" s="1"/>
  <c r="R421" i="13" s="1"/>
  <c r="P422" i="13"/>
  <c r="Q422" i="13" s="1"/>
  <c r="R422" i="13" s="1"/>
  <c r="P423" i="13"/>
  <c r="Q423" i="13" s="1"/>
  <c r="R423" i="13" s="1"/>
  <c r="P424" i="13"/>
  <c r="Q424" i="13" s="1"/>
  <c r="R424" i="13" s="1"/>
  <c r="P425" i="13"/>
  <c r="Q425" i="13" s="1"/>
  <c r="R425" i="13" s="1"/>
  <c r="P426" i="13"/>
  <c r="Q426" i="13" s="1"/>
  <c r="R426" i="13" s="1"/>
  <c r="P427" i="13"/>
  <c r="Q427" i="13" s="1"/>
  <c r="R427" i="13" s="1"/>
  <c r="P428" i="13"/>
  <c r="Q428" i="13" s="1"/>
  <c r="R428" i="13" s="1"/>
  <c r="P429" i="13"/>
  <c r="Q429" i="13" s="1"/>
  <c r="R429" i="13" s="1"/>
  <c r="P430" i="13"/>
  <c r="Q430" i="13" s="1"/>
  <c r="R430" i="13" s="1"/>
  <c r="P431" i="13"/>
  <c r="Q431" i="13" s="1"/>
  <c r="R431" i="13" s="1"/>
  <c r="P432" i="13"/>
  <c r="Q432" i="13" s="1"/>
  <c r="R432" i="13" s="1"/>
  <c r="P433" i="13"/>
  <c r="Q433" i="13" s="1"/>
  <c r="R433" i="13" s="1"/>
  <c r="P434" i="13"/>
  <c r="Q434" i="13" s="1"/>
  <c r="R434" i="13" s="1"/>
  <c r="P435" i="13"/>
  <c r="Q435" i="13" s="1"/>
  <c r="R435" i="13" s="1"/>
  <c r="P436" i="13"/>
  <c r="Q436" i="13" s="1"/>
  <c r="R436" i="13" s="1"/>
  <c r="P437" i="13"/>
  <c r="Q437" i="13" s="1"/>
  <c r="R437" i="13" s="1"/>
  <c r="P438" i="13"/>
  <c r="Q438" i="13" s="1"/>
  <c r="R438" i="13" s="1"/>
  <c r="P439" i="13"/>
  <c r="Q439" i="13" s="1"/>
  <c r="R439" i="13" s="1"/>
  <c r="P440" i="13"/>
  <c r="Q440" i="13" s="1"/>
  <c r="R440" i="13" s="1"/>
  <c r="P441" i="13"/>
  <c r="Q441" i="13" s="1"/>
  <c r="R441" i="13" s="1"/>
  <c r="P442" i="13"/>
  <c r="Q442" i="13" s="1"/>
  <c r="R442" i="13" s="1"/>
  <c r="P443" i="13"/>
  <c r="Q443" i="13" s="1"/>
  <c r="R443" i="13" s="1"/>
  <c r="P444" i="13"/>
  <c r="Q444" i="13" s="1"/>
  <c r="R444" i="13" s="1"/>
  <c r="P445" i="13"/>
  <c r="Q445" i="13" s="1"/>
  <c r="R445" i="13" s="1"/>
  <c r="P446" i="13"/>
  <c r="Q446" i="13" s="1"/>
  <c r="R446" i="13" s="1"/>
  <c r="P447" i="13"/>
  <c r="Q447" i="13" s="1"/>
  <c r="R447" i="13" s="1"/>
  <c r="P448" i="13"/>
  <c r="Q448" i="13" s="1"/>
  <c r="R448" i="13" s="1"/>
  <c r="P449" i="13"/>
  <c r="Q449" i="13" s="1"/>
  <c r="R449" i="13" s="1"/>
  <c r="P450" i="13"/>
  <c r="Q450" i="13" s="1"/>
  <c r="R450" i="13" s="1"/>
  <c r="P451" i="13"/>
  <c r="Q451" i="13" s="1"/>
  <c r="R451" i="13" s="1"/>
  <c r="P452" i="13"/>
  <c r="Q452" i="13" s="1"/>
  <c r="R452" i="13" s="1"/>
  <c r="P453" i="13"/>
  <c r="Q453" i="13" s="1"/>
  <c r="R453" i="13" s="1"/>
  <c r="P454" i="13"/>
  <c r="Q454" i="13" s="1"/>
  <c r="R454" i="13" s="1"/>
  <c r="P455" i="13"/>
  <c r="Q455" i="13" s="1"/>
  <c r="R455" i="13" s="1"/>
  <c r="P456" i="13"/>
  <c r="Q456" i="13" s="1"/>
  <c r="R456" i="13" s="1"/>
  <c r="P457" i="13"/>
  <c r="Q457" i="13" s="1"/>
  <c r="R457" i="13" s="1"/>
  <c r="P458" i="13"/>
  <c r="Q458" i="13" s="1"/>
  <c r="R458" i="13" s="1"/>
  <c r="P459" i="13"/>
  <c r="Q459" i="13" s="1"/>
  <c r="R459" i="13" s="1"/>
  <c r="P460" i="13"/>
  <c r="Q460" i="13" s="1"/>
  <c r="R460" i="13" s="1"/>
  <c r="P461" i="13"/>
  <c r="Q461" i="13" s="1"/>
  <c r="R461" i="13" s="1"/>
  <c r="P462" i="13"/>
  <c r="Q462" i="13" s="1"/>
  <c r="R462" i="13" s="1"/>
  <c r="P463" i="13"/>
  <c r="Q463" i="13" s="1"/>
  <c r="R463" i="13" s="1"/>
  <c r="P464" i="13"/>
  <c r="Q464" i="13" s="1"/>
  <c r="R464" i="13" s="1"/>
  <c r="P465" i="13"/>
  <c r="Q465" i="13" s="1"/>
  <c r="R465" i="13" s="1"/>
  <c r="P466" i="13"/>
  <c r="Q466" i="13" s="1"/>
  <c r="R466" i="13" s="1"/>
  <c r="P467" i="13"/>
  <c r="Q467" i="13" s="1"/>
  <c r="R467" i="13" s="1"/>
  <c r="P468" i="13"/>
  <c r="Q468" i="13" s="1"/>
  <c r="R468" i="13" s="1"/>
  <c r="P469" i="13"/>
  <c r="Q469" i="13" s="1"/>
  <c r="R469" i="13" s="1"/>
  <c r="P470" i="13"/>
  <c r="Q470" i="13" s="1"/>
  <c r="R470" i="13" s="1"/>
  <c r="P471" i="13"/>
  <c r="Q471" i="13" s="1"/>
  <c r="R471" i="13" s="1"/>
  <c r="P472" i="13"/>
  <c r="Q472" i="13" s="1"/>
  <c r="R472" i="13" s="1"/>
  <c r="P473" i="13"/>
  <c r="Q473" i="13" s="1"/>
  <c r="R473" i="13" s="1"/>
  <c r="P474" i="13"/>
  <c r="Q474" i="13" s="1"/>
  <c r="R474" i="13" s="1"/>
  <c r="P475" i="13"/>
  <c r="Q475" i="13" s="1"/>
  <c r="R475" i="13" s="1"/>
  <c r="P476" i="13"/>
  <c r="Q476" i="13" s="1"/>
  <c r="R476" i="13" s="1"/>
  <c r="P477" i="13"/>
  <c r="Q477" i="13" s="1"/>
  <c r="R477" i="13" s="1"/>
  <c r="P478" i="13"/>
  <c r="Q478" i="13" s="1"/>
  <c r="R478" i="13" s="1"/>
  <c r="P480" i="13"/>
  <c r="Q480" i="13" s="1"/>
  <c r="R480" i="13" s="1"/>
  <c r="P482" i="13"/>
  <c r="Q482" i="13" s="1"/>
  <c r="R482" i="13" s="1"/>
  <c r="P483" i="13"/>
  <c r="Q483" i="13" s="1"/>
  <c r="R483" i="13" s="1"/>
  <c r="P484" i="13"/>
  <c r="Q484" i="13" s="1"/>
  <c r="R484" i="13" s="1"/>
  <c r="P485" i="13"/>
  <c r="Q485" i="13" s="1"/>
  <c r="R485" i="13" s="1"/>
  <c r="P486" i="13"/>
  <c r="Q486" i="13" s="1"/>
  <c r="R486" i="13" s="1"/>
  <c r="P487" i="13"/>
  <c r="Q487" i="13" s="1"/>
  <c r="R487" i="13" s="1"/>
  <c r="P488" i="13"/>
  <c r="Q488" i="13" s="1"/>
  <c r="R488" i="13" s="1"/>
  <c r="P489" i="13"/>
  <c r="Q489" i="13" s="1"/>
  <c r="R489" i="13" s="1"/>
  <c r="P490" i="13"/>
  <c r="Q490" i="13" s="1"/>
  <c r="R490" i="13" s="1"/>
  <c r="P491" i="13"/>
  <c r="Q491" i="13" s="1"/>
  <c r="R491" i="13" s="1"/>
  <c r="P492" i="13"/>
  <c r="Q492" i="13" s="1"/>
  <c r="R492" i="13" s="1"/>
  <c r="P494" i="13"/>
  <c r="Q494" i="13" s="1"/>
  <c r="R494" i="13" s="1"/>
  <c r="P495" i="13"/>
  <c r="Q495" i="13" s="1"/>
  <c r="R495" i="13" s="1"/>
  <c r="P496" i="13"/>
  <c r="Q496" i="13" s="1"/>
  <c r="R496" i="13" s="1"/>
  <c r="P497" i="13"/>
  <c r="Q497" i="13" s="1"/>
  <c r="R497" i="13" s="1"/>
  <c r="P498" i="13"/>
  <c r="Q498" i="13" s="1"/>
  <c r="R498" i="13" s="1"/>
  <c r="P499" i="13"/>
  <c r="Q499" i="13" s="1"/>
  <c r="R499" i="13" s="1"/>
  <c r="P500" i="13"/>
  <c r="Q500" i="13" s="1"/>
  <c r="R500" i="13" s="1"/>
  <c r="P501" i="13"/>
  <c r="Q501" i="13" s="1"/>
  <c r="R501" i="13" s="1"/>
  <c r="P502" i="13"/>
  <c r="Q502" i="13" s="1"/>
  <c r="R502" i="13" s="1"/>
  <c r="P503" i="13"/>
  <c r="Q503" i="13" s="1"/>
  <c r="R503" i="13" s="1"/>
  <c r="P504" i="13"/>
  <c r="Q504" i="13" s="1"/>
  <c r="R504" i="13" s="1"/>
  <c r="P505" i="13"/>
  <c r="Q505" i="13" s="1"/>
  <c r="R505" i="13" s="1"/>
  <c r="P506" i="13"/>
  <c r="Q506" i="13" s="1"/>
  <c r="R506" i="13" s="1"/>
  <c r="P507" i="13"/>
  <c r="Q507" i="13" s="1"/>
  <c r="R507" i="13" s="1"/>
  <c r="P508" i="13"/>
  <c r="Q508" i="13" s="1"/>
  <c r="R508" i="13" s="1"/>
  <c r="P509" i="13"/>
  <c r="Q509" i="13" s="1"/>
  <c r="R509" i="13" s="1"/>
  <c r="P510" i="13"/>
  <c r="Q510" i="13" s="1"/>
  <c r="R510" i="13" s="1"/>
  <c r="P511" i="13"/>
  <c r="Q511" i="13" s="1"/>
  <c r="R511" i="13" s="1"/>
  <c r="P512" i="13"/>
  <c r="Q512" i="13" s="1"/>
  <c r="R512" i="13" s="1"/>
  <c r="P513" i="13"/>
  <c r="Q513" i="13" s="1"/>
  <c r="R513" i="13" s="1"/>
  <c r="P514" i="13"/>
  <c r="Q514" i="13" s="1"/>
  <c r="R514" i="13" s="1"/>
  <c r="P515" i="13"/>
  <c r="Q515" i="13" s="1"/>
  <c r="R515" i="13" s="1"/>
  <c r="P516" i="13"/>
  <c r="Q516" i="13" s="1"/>
  <c r="R516" i="13" s="1"/>
  <c r="P517" i="13"/>
  <c r="Q517" i="13" s="1"/>
  <c r="R517" i="13" s="1"/>
  <c r="P518" i="13"/>
  <c r="Q518" i="13" s="1"/>
  <c r="R518" i="13" s="1"/>
  <c r="P519" i="13"/>
  <c r="Q519" i="13" s="1"/>
  <c r="R519" i="13" s="1"/>
  <c r="P520" i="13"/>
  <c r="Q520" i="13" s="1"/>
  <c r="R520" i="13" s="1"/>
  <c r="P521" i="13"/>
  <c r="Q521" i="13" s="1"/>
  <c r="R521" i="13" s="1"/>
  <c r="P522" i="13"/>
  <c r="Q522" i="13" s="1"/>
  <c r="R522" i="13" s="1"/>
  <c r="P523" i="13"/>
  <c r="Q523" i="13" s="1"/>
  <c r="R523" i="13" s="1"/>
  <c r="P524" i="13"/>
  <c r="Q524" i="13" s="1"/>
  <c r="R524" i="13" s="1"/>
  <c r="P525" i="13"/>
  <c r="Q525" i="13" s="1"/>
  <c r="R525" i="13" s="1"/>
  <c r="P526" i="13"/>
  <c r="Q526" i="13" s="1"/>
  <c r="R526" i="13" s="1"/>
  <c r="P527" i="13"/>
  <c r="Q527" i="13" s="1"/>
  <c r="R527" i="13" s="1"/>
  <c r="P528" i="13"/>
  <c r="Q528" i="13" s="1"/>
  <c r="R528" i="13" s="1"/>
  <c r="P529" i="13"/>
  <c r="Q529" i="13" s="1"/>
  <c r="R529" i="13" s="1"/>
  <c r="P530" i="13"/>
  <c r="Q530" i="13" s="1"/>
  <c r="R530" i="13" s="1"/>
  <c r="P531" i="13"/>
  <c r="Q531" i="13" s="1"/>
  <c r="R531" i="13" s="1"/>
  <c r="P532" i="13"/>
  <c r="Q532" i="13" s="1"/>
  <c r="R532" i="13" s="1"/>
  <c r="P533" i="13"/>
  <c r="Q533" i="13" s="1"/>
  <c r="R533" i="13" s="1"/>
  <c r="P534" i="13"/>
  <c r="Q534" i="13" s="1"/>
  <c r="R534" i="13" s="1"/>
  <c r="P535" i="13"/>
  <c r="Q535" i="13" s="1"/>
  <c r="R535" i="13" s="1"/>
  <c r="P536" i="13"/>
  <c r="Q536" i="13" s="1"/>
  <c r="R536" i="13" s="1"/>
  <c r="P537" i="13"/>
  <c r="Q537" i="13" s="1"/>
  <c r="R537" i="13" s="1"/>
  <c r="P538" i="13"/>
  <c r="Q538" i="13" s="1"/>
  <c r="R538" i="13" s="1"/>
  <c r="P539" i="13"/>
  <c r="Q539" i="13" s="1"/>
  <c r="R539" i="13" s="1"/>
  <c r="P540" i="13"/>
  <c r="Q540" i="13" s="1"/>
  <c r="R540" i="13" s="1"/>
  <c r="P541" i="13"/>
  <c r="Q541" i="13" s="1"/>
  <c r="R541" i="13" s="1"/>
  <c r="P542" i="13"/>
  <c r="Q542" i="13" s="1"/>
  <c r="R542" i="13" s="1"/>
  <c r="P543" i="13"/>
  <c r="Q543" i="13" s="1"/>
  <c r="R543" i="13" s="1"/>
  <c r="P544" i="13"/>
  <c r="Q544" i="13" s="1"/>
  <c r="R544" i="13" s="1"/>
  <c r="P545" i="13"/>
  <c r="Q545" i="13" s="1"/>
  <c r="R545" i="13" s="1"/>
  <c r="P546" i="13"/>
  <c r="Q546" i="13" s="1"/>
  <c r="R546" i="13" s="1"/>
  <c r="P547" i="13"/>
  <c r="Q547" i="13" s="1"/>
  <c r="R547" i="13" s="1"/>
  <c r="P548" i="13"/>
  <c r="Q548" i="13" s="1"/>
  <c r="R548" i="13" s="1"/>
  <c r="P549" i="13"/>
  <c r="Q549" i="13" s="1"/>
  <c r="R549" i="13" s="1"/>
  <c r="P550" i="13"/>
  <c r="Q550" i="13" s="1"/>
  <c r="R550" i="13" s="1"/>
  <c r="P551" i="13"/>
  <c r="Q551" i="13" s="1"/>
  <c r="R551" i="13" s="1"/>
  <c r="P552" i="13"/>
  <c r="Q552" i="13" s="1"/>
  <c r="R552" i="13" s="1"/>
  <c r="P553" i="13"/>
  <c r="Q553" i="13" s="1"/>
  <c r="R553" i="13" s="1"/>
  <c r="P554" i="13"/>
  <c r="Q554" i="13" s="1"/>
  <c r="R554" i="13" s="1"/>
  <c r="P555" i="13"/>
  <c r="Q555" i="13" s="1"/>
  <c r="R555" i="13" s="1"/>
  <c r="P556" i="13"/>
  <c r="Q556" i="13" s="1"/>
  <c r="R556" i="13" s="1"/>
  <c r="P557" i="13"/>
  <c r="Q557" i="13" s="1"/>
  <c r="R557" i="13" s="1"/>
  <c r="P558" i="13"/>
  <c r="Q558" i="13" s="1"/>
  <c r="R558" i="13" s="1"/>
  <c r="P559" i="13"/>
  <c r="Q559" i="13" s="1"/>
  <c r="R559" i="13" s="1"/>
  <c r="P560" i="13"/>
  <c r="Q560" i="13" s="1"/>
  <c r="R560" i="13" s="1"/>
  <c r="P561" i="13"/>
  <c r="Q561" i="13" s="1"/>
  <c r="R561" i="13" s="1"/>
  <c r="P562" i="13"/>
  <c r="Q562" i="13" s="1"/>
  <c r="R562" i="13" s="1"/>
  <c r="P564" i="13"/>
  <c r="Q564" i="13" s="1"/>
  <c r="R564" i="13" s="1"/>
  <c r="P565" i="13"/>
  <c r="Q565" i="13" s="1"/>
  <c r="R565" i="13" s="1"/>
  <c r="P566" i="13"/>
  <c r="Q566" i="13" s="1"/>
  <c r="R566" i="13" s="1"/>
  <c r="P567" i="13"/>
  <c r="Q567" i="13" s="1"/>
  <c r="R567" i="13" s="1"/>
  <c r="P568" i="13"/>
  <c r="Q568" i="13" s="1"/>
  <c r="R568" i="13" s="1"/>
  <c r="P569" i="13"/>
  <c r="Q569" i="13" s="1"/>
  <c r="R569" i="13" s="1"/>
  <c r="P570" i="13"/>
  <c r="Q570" i="13" s="1"/>
  <c r="R570" i="13" s="1"/>
  <c r="P571" i="13"/>
  <c r="Q571" i="13" s="1"/>
  <c r="R571" i="13" s="1"/>
  <c r="P572" i="13"/>
  <c r="Q572" i="13" s="1"/>
  <c r="R572" i="13" s="1"/>
  <c r="P573" i="13"/>
  <c r="Q573" i="13" s="1"/>
  <c r="R573" i="13" s="1"/>
  <c r="P577" i="13"/>
  <c r="Q577" i="13" s="1"/>
  <c r="R577" i="13" s="1"/>
  <c r="P578" i="13"/>
  <c r="Q578" i="13" s="1"/>
  <c r="R578" i="13" s="1"/>
  <c r="P579" i="13"/>
  <c r="Q579" i="13" s="1"/>
  <c r="R579" i="13" s="1"/>
  <c r="P580" i="13"/>
  <c r="Q580" i="13" s="1"/>
  <c r="R580" i="13" s="1"/>
  <c r="P581" i="13"/>
  <c r="Q581" i="13" s="1"/>
  <c r="R581" i="13" s="1"/>
  <c r="P582" i="13"/>
  <c r="Q582" i="13" s="1"/>
  <c r="R582" i="13" s="1"/>
  <c r="P583" i="13"/>
  <c r="Q583" i="13" s="1"/>
  <c r="R583" i="13" s="1"/>
  <c r="P584" i="13"/>
  <c r="Q584" i="13" s="1"/>
  <c r="R584" i="13" s="1"/>
  <c r="P585" i="13"/>
  <c r="Q585" i="13" s="1"/>
  <c r="R585" i="13" s="1"/>
  <c r="P586" i="13"/>
  <c r="Q586" i="13" s="1"/>
  <c r="R586" i="13" s="1"/>
  <c r="P587" i="13"/>
  <c r="Q587" i="13" s="1"/>
  <c r="R587" i="13" s="1"/>
  <c r="P588" i="13"/>
  <c r="Q588" i="13" s="1"/>
  <c r="R588" i="13" s="1"/>
  <c r="P589" i="13"/>
  <c r="Q589" i="13" s="1"/>
  <c r="R589" i="13" s="1"/>
  <c r="P590" i="13"/>
  <c r="Q590" i="13" s="1"/>
  <c r="R590" i="13" s="1"/>
  <c r="P591" i="13"/>
  <c r="Q591" i="13" s="1"/>
  <c r="R591" i="13" s="1"/>
  <c r="P592" i="13"/>
  <c r="Q592" i="13" s="1"/>
  <c r="R592" i="13" s="1"/>
  <c r="P593" i="13"/>
  <c r="Q593" i="13" s="1"/>
  <c r="R593" i="13" s="1"/>
  <c r="P594" i="13"/>
  <c r="Q594" i="13" s="1"/>
  <c r="R594" i="13" s="1"/>
  <c r="P595" i="13"/>
  <c r="Q595" i="13" s="1"/>
  <c r="R595" i="13" s="1"/>
  <c r="P596" i="13"/>
  <c r="Q596" i="13" s="1"/>
  <c r="R596" i="13" s="1"/>
  <c r="P597" i="13"/>
  <c r="Q597" i="13" s="1"/>
  <c r="R597" i="13" s="1"/>
  <c r="P598" i="13"/>
  <c r="Q598" i="13" s="1"/>
  <c r="R598" i="13" s="1"/>
  <c r="P599" i="13"/>
  <c r="Q599" i="13" s="1"/>
  <c r="R599" i="13" s="1"/>
  <c r="P600" i="13"/>
  <c r="Q600" i="13" s="1"/>
  <c r="R600" i="13" s="1"/>
  <c r="P601" i="13"/>
  <c r="Q601" i="13" s="1"/>
  <c r="R601" i="13" s="1"/>
  <c r="P602" i="13"/>
  <c r="Q602" i="13" s="1"/>
  <c r="R602" i="13" s="1"/>
  <c r="P603" i="13"/>
  <c r="Q603" i="13" s="1"/>
  <c r="R603" i="13" s="1"/>
  <c r="P604" i="13"/>
  <c r="Q604" i="13" s="1"/>
  <c r="R604" i="13" s="1"/>
  <c r="P605" i="13"/>
  <c r="Q605" i="13" s="1"/>
  <c r="R605" i="13" s="1"/>
  <c r="P606" i="13"/>
  <c r="Q606" i="13" s="1"/>
  <c r="R606" i="13" s="1"/>
  <c r="P607" i="13"/>
  <c r="Q607" i="13" s="1"/>
  <c r="R607" i="13" s="1"/>
  <c r="P608" i="13"/>
  <c r="Q608" i="13" s="1"/>
  <c r="R608" i="13" s="1"/>
  <c r="P609" i="13"/>
  <c r="Q609" i="13" s="1"/>
  <c r="R609" i="13" s="1"/>
  <c r="P610" i="13"/>
  <c r="Q610" i="13" s="1"/>
  <c r="R610" i="13" s="1"/>
  <c r="P611" i="13"/>
  <c r="Q611" i="13" s="1"/>
  <c r="R611" i="13" s="1"/>
  <c r="P612" i="13"/>
  <c r="Q612" i="13" s="1"/>
  <c r="R612" i="13" s="1"/>
  <c r="P613" i="13"/>
  <c r="Q613" i="13" s="1"/>
  <c r="R613" i="13" s="1"/>
  <c r="P614" i="13"/>
  <c r="Q614" i="13" s="1"/>
  <c r="R614" i="13" s="1"/>
  <c r="P615" i="13"/>
  <c r="Q615" i="13" s="1"/>
  <c r="R615" i="13" s="1"/>
  <c r="P616" i="13"/>
  <c r="Q616" i="13" s="1"/>
  <c r="R616" i="13" s="1"/>
  <c r="P617" i="13"/>
  <c r="Q617" i="13" s="1"/>
  <c r="R617" i="13" s="1"/>
  <c r="P618" i="13"/>
  <c r="Q618" i="13" s="1"/>
  <c r="R618" i="13" s="1"/>
  <c r="P619" i="13"/>
  <c r="Q619" i="13" s="1"/>
  <c r="R619" i="13" s="1"/>
  <c r="P620" i="13"/>
  <c r="Q620" i="13" s="1"/>
  <c r="R620" i="13" s="1"/>
  <c r="P621" i="13"/>
  <c r="Q621" i="13" s="1"/>
  <c r="R621" i="13" s="1"/>
  <c r="P622" i="13"/>
  <c r="Q622" i="13" s="1"/>
  <c r="R622" i="13" s="1"/>
  <c r="P623" i="13"/>
  <c r="Q623" i="13" s="1"/>
  <c r="R623" i="13" s="1"/>
  <c r="P624" i="13"/>
  <c r="Q624" i="13" s="1"/>
  <c r="R624" i="13" s="1"/>
  <c r="P625" i="13"/>
  <c r="Q625" i="13" s="1"/>
  <c r="R625" i="13" s="1"/>
  <c r="P626" i="13"/>
  <c r="Q626" i="13" s="1"/>
  <c r="R626" i="13" s="1"/>
  <c r="P627" i="13"/>
  <c r="Q627" i="13" s="1"/>
  <c r="R627" i="13" s="1"/>
  <c r="P628" i="13"/>
  <c r="Q628" i="13" s="1"/>
  <c r="R628" i="13" s="1"/>
  <c r="P629" i="13"/>
  <c r="Q629" i="13" s="1"/>
  <c r="R629" i="13" s="1"/>
  <c r="P630" i="13"/>
  <c r="Q630" i="13" s="1"/>
  <c r="R630" i="13" s="1"/>
  <c r="P631" i="13"/>
  <c r="Q631" i="13" s="1"/>
  <c r="R631" i="13" s="1"/>
  <c r="O5" i="13"/>
  <c r="P5" i="13" s="1"/>
  <c r="Q5" i="13" s="1"/>
  <c r="R5" i="13" s="1"/>
  <c r="I611" i="13"/>
  <c r="I610" i="13"/>
  <c r="I609" i="13"/>
  <c r="I608" i="13"/>
  <c r="I607" i="13"/>
  <c r="I606" i="13"/>
  <c r="I605" i="13"/>
  <c r="I604" i="13"/>
  <c r="I603" i="13"/>
  <c r="I602" i="13"/>
  <c r="I601" i="13"/>
  <c r="I600" i="13"/>
  <c r="I599" i="13"/>
  <c r="I598" i="13"/>
  <c r="I597" i="13"/>
  <c r="I596" i="13"/>
  <c r="I595" i="13"/>
  <c r="I594" i="13"/>
  <c r="I593" i="13"/>
  <c r="I592" i="13"/>
  <c r="I591" i="13"/>
  <c r="I590" i="13"/>
  <c r="I589" i="13"/>
  <c r="I588" i="13"/>
  <c r="I587" i="13"/>
  <c r="I586" i="13"/>
  <c r="I585" i="13"/>
  <c r="I584" i="13"/>
  <c r="I582" i="13"/>
  <c r="I583" i="13"/>
  <c r="I581" i="13"/>
  <c r="I580" i="13"/>
  <c r="I579" i="13"/>
  <c r="I578" i="13"/>
  <c r="I577" i="13"/>
  <c r="I576" i="13"/>
  <c r="J576" i="13" s="1"/>
  <c r="I575" i="13"/>
  <c r="J575" i="13" s="1"/>
  <c r="I574" i="13"/>
  <c r="J574" i="13" s="1"/>
  <c r="I573" i="13"/>
  <c r="I572" i="13"/>
  <c r="I571" i="13"/>
  <c r="I570" i="13"/>
  <c r="I569" i="13"/>
  <c r="I568" i="13"/>
  <c r="I567" i="13"/>
  <c r="I566" i="13"/>
  <c r="I565" i="13"/>
  <c r="I564" i="13"/>
  <c r="I563" i="13"/>
  <c r="J563" i="13" s="1"/>
  <c r="I562" i="13"/>
  <c r="K561" i="13"/>
  <c r="I561" i="13"/>
  <c r="I556" i="13"/>
  <c r="I560" i="13"/>
  <c r="I559" i="13"/>
  <c r="I558" i="13"/>
  <c r="I557" i="13"/>
  <c r="I555" i="13"/>
  <c r="I554" i="13"/>
  <c r="I553" i="13"/>
  <c r="I552" i="13"/>
  <c r="I551" i="13"/>
  <c r="I550" i="13"/>
  <c r="I549" i="13"/>
  <c r="I548" i="13"/>
  <c r="I547" i="13"/>
  <c r="K546" i="13"/>
  <c r="K545" i="13"/>
  <c r="I546" i="13"/>
  <c r="I545" i="13"/>
  <c r="I544" i="13"/>
  <c r="I543" i="13"/>
  <c r="I542" i="13"/>
  <c r="I541" i="13"/>
  <c r="K541" i="13"/>
  <c r="K542" i="13"/>
  <c r="K543" i="13"/>
  <c r="K544" i="13"/>
  <c r="K547" i="13"/>
  <c r="K548" i="13"/>
  <c r="K549" i="13"/>
  <c r="K550" i="13"/>
  <c r="K551" i="13"/>
  <c r="K552" i="13"/>
  <c r="K553" i="13"/>
  <c r="K554" i="13"/>
  <c r="K555" i="13"/>
  <c r="K556" i="13"/>
  <c r="K557" i="13"/>
  <c r="K558" i="13"/>
  <c r="K559" i="13"/>
  <c r="K560" i="13"/>
  <c r="K562" i="13"/>
  <c r="K564" i="13"/>
  <c r="K565" i="13"/>
  <c r="K566" i="13"/>
  <c r="K567" i="13"/>
  <c r="K568" i="13"/>
  <c r="K569" i="13"/>
  <c r="M569" i="13" s="1"/>
  <c r="K570" i="13"/>
  <c r="K571" i="13"/>
  <c r="M571" i="13" s="1"/>
  <c r="K572" i="13"/>
  <c r="K573" i="13"/>
  <c r="M573" i="13" s="1"/>
  <c r="K577" i="13"/>
  <c r="K578" i="13"/>
  <c r="K579" i="13"/>
  <c r="K580" i="13"/>
  <c r="K581" i="13"/>
  <c r="K582" i="13"/>
  <c r="M582" i="13" s="1"/>
  <c r="K583" i="13"/>
  <c r="M583" i="13" s="1"/>
  <c r="K584" i="13"/>
  <c r="K585" i="13"/>
  <c r="K586" i="13"/>
  <c r="K587" i="13"/>
  <c r="K588" i="13"/>
  <c r="K589" i="13"/>
  <c r="K590" i="13"/>
  <c r="K591" i="13"/>
  <c r="K592" i="13"/>
  <c r="K593" i="13"/>
  <c r="K594" i="13"/>
  <c r="K595" i="13"/>
  <c r="K596" i="13"/>
  <c r="K597" i="13"/>
  <c r="K598" i="13"/>
  <c r="K599" i="13"/>
  <c r="K600" i="13"/>
  <c r="K601" i="13"/>
  <c r="K602" i="13"/>
  <c r="K603" i="13"/>
  <c r="K604" i="13"/>
  <c r="K605" i="13"/>
  <c r="K606" i="13"/>
  <c r="K607" i="13"/>
  <c r="K608" i="13"/>
  <c r="K609" i="13"/>
  <c r="K610" i="13"/>
  <c r="K611" i="13"/>
  <c r="K612" i="13"/>
  <c r="K540" i="13"/>
  <c r="K539" i="13"/>
  <c r="K538" i="13"/>
  <c r="K537" i="13"/>
  <c r="K536" i="13"/>
  <c r="I540" i="13"/>
  <c r="I539" i="13"/>
  <c r="I538" i="13"/>
  <c r="I537" i="13"/>
  <c r="I536" i="13"/>
  <c r="K535" i="13"/>
  <c r="K534" i="13"/>
  <c r="K533" i="13"/>
  <c r="K532" i="13"/>
  <c r="K531" i="13"/>
  <c r="K530" i="13"/>
  <c r="K529" i="13"/>
  <c r="I535" i="13"/>
  <c r="I534" i="13"/>
  <c r="I533" i="13"/>
  <c r="I532" i="13"/>
  <c r="I531" i="13"/>
  <c r="I530" i="13"/>
  <c r="I529" i="13"/>
  <c r="K505" i="13"/>
  <c r="K506" i="13"/>
  <c r="K507" i="13"/>
  <c r="K508" i="13"/>
  <c r="K509" i="13"/>
  <c r="K510" i="13"/>
  <c r="K504" i="13"/>
  <c r="K528" i="13"/>
  <c r="K527" i="13"/>
  <c r="K526" i="13"/>
  <c r="K525" i="13"/>
  <c r="K524" i="13"/>
  <c r="K523" i="13"/>
  <c r="K522" i="13"/>
  <c r="K521" i="13"/>
  <c r="K520" i="13"/>
  <c r="K519" i="13"/>
  <c r="K518" i="13"/>
  <c r="I528" i="13"/>
  <c r="I527" i="13"/>
  <c r="I526" i="13"/>
  <c r="I525" i="13"/>
  <c r="I524" i="13"/>
  <c r="I523" i="13"/>
  <c r="I522" i="13"/>
  <c r="I521" i="13"/>
  <c r="I520" i="13"/>
  <c r="I519" i="13"/>
  <c r="I518" i="13"/>
  <c r="K517" i="13"/>
  <c r="K516" i="13"/>
  <c r="K515" i="13"/>
  <c r="K514" i="13"/>
  <c r="K513" i="13"/>
  <c r="K512" i="13"/>
  <c r="K511" i="13"/>
  <c r="K503" i="13"/>
  <c r="K502" i="13"/>
  <c r="K501" i="13"/>
  <c r="K500" i="13"/>
  <c r="K499" i="13"/>
  <c r="K498" i="13"/>
  <c r="I517" i="13"/>
  <c r="I516" i="13"/>
  <c r="I515" i="13"/>
  <c r="I514" i="13"/>
  <c r="I513" i="13"/>
  <c r="I512" i="13"/>
  <c r="I511" i="13"/>
  <c r="I510" i="13"/>
  <c r="I509" i="13"/>
  <c r="I508" i="13"/>
  <c r="I507" i="13"/>
  <c r="I506" i="13"/>
  <c r="I505" i="13"/>
  <c r="I504" i="13"/>
  <c r="I503" i="13"/>
  <c r="I502" i="13"/>
  <c r="I501" i="13"/>
  <c r="I500" i="13"/>
  <c r="I499" i="13"/>
  <c r="I498" i="13"/>
  <c r="M498" i="13" s="1"/>
  <c r="K497" i="13"/>
  <c r="K496" i="13"/>
  <c r="K495" i="13"/>
  <c r="K494" i="13"/>
  <c r="K492" i="13"/>
  <c r="K491" i="13"/>
  <c r="I497" i="13"/>
  <c r="I496" i="13"/>
  <c r="I495" i="13"/>
  <c r="I494" i="13"/>
  <c r="I493" i="13"/>
  <c r="I492" i="13"/>
  <c r="J493" i="13" s="1"/>
  <c r="K493" i="13" s="1"/>
  <c r="I491" i="13"/>
  <c r="K490" i="13"/>
  <c r="K489" i="13"/>
  <c r="K488" i="13"/>
  <c r="K487" i="13"/>
  <c r="K486" i="13"/>
  <c r="K485" i="13"/>
  <c r="K484" i="13"/>
  <c r="I490" i="13"/>
  <c r="I489" i="13"/>
  <c r="I488" i="13"/>
  <c r="I487" i="13"/>
  <c r="I486" i="13"/>
  <c r="I485" i="13"/>
  <c r="I484" i="13"/>
  <c r="I483" i="13"/>
  <c r="K477" i="13"/>
  <c r="K472" i="13"/>
  <c r="K473" i="13"/>
  <c r="K474" i="13"/>
  <c r="K475" i="13"/>
  <c r="K476" i="13"/>
  <c r="K478" i="13"/>
  <c r="K480" i="13"/>
  <c r="K482" i="13"/>
  <c r="K483" i="13"/>
  <c r="I482" i="13"/>
  <c r="I481" i="13"/>
  <c r="J481" i="13" s="1"/>
  <c r="K481" i="13" s="1"/>
  <c r="M481" i="13" s="1"/>
  <c r="I480" i="13"/>
  <c r="I479" i="13"/>
  <c r="J479" i="13" s="1"/>
  <c r="K479" i="13" s="1"/>
  <c r="M479" i="13" s="1"/>
  <c r="I478" i="13"/>
  <c r="M478" i="13" s="1"/>
  <c r="I477" i="13"/>
  <c r="K471" i="13"/>
  <c r="K470" i="13"/>
  <c r="K469" i="13"/>
  <c r="I476" i="13"/>
  <c r="I475" i="13"/>
  <c r="I474" i="13"/>
  <c r="I473" i="13"/>
  <c r="I472" i="13"/>
  <c r="I471" i="13"/>
  <c r="I470" i="13"/>
  <c r="I469" i="13"/>
  <c r="K468" i="13"/>
  <c r="K467" i="13"/>
  <c r="K466" i="13"/>
  <c r="K465" i="13"/>
  <c r="K464" i="13"/>
  <c r="I468" i="13"/>
  <c r="I467" i="13"/>
  <c r="I466" i="13"/>
  <c r="I465" i="13"/>
  <c r="I464" i="13"/>
  <c r="I463" i="13"/>
  <c r="I462" i="13"/>
  <c r="I461" i="13"/>
  <c r="I460" i="13"/>
  <c r="I459" i="13"/>
  <c r="I458" i="13"/>
  <c r="I457" i="13"/>
  <c r="I456" i="13"/>
  <c r="I455" i="13"/>
  <c r="I454" i="13"/>
  <c r="I453" i="13"/>
  <c r="I452" i="13"/>
  <c r="I451" i="13"/>
  <c r="I450" i="13"/>
  <c r="I449" i="13"/>
  <c r="I448" i="13"/>
  <c r="I447" i="13"/>
  <c r="I446" i="13"/>
  <c r="I445" i="13"/>
  <c r="I444" i="13"/>
  <c r="K434" i="13"/>
  <c r="I443" i="13"/>
  <c r="I442" i="13"/>
  <c r="I441" i="13"/>
  <c r="I440" i="13"/>
  <c r="I439" i="13"/>
  <c r="I438" i="13"/>
  <c r="I437" i="13"/>
  <c r="I436" i="13"/>
  <c r="I435" i="13"/>
  <c r="I434" i="13"/>
  <c r="I433" i="13"/>
  <c r="I432" i="13"/>
  <c r="I431" i="13"/>
  <c r="I430" i="13"/>
  <c r="K430" i="13"/>
  <c r="K431" i="13"/>
  <c r="K432" i="13"/>
  <c r="K433" i="13"/>
  <c r="K435" i="13"/>
  <c r="K436" i="13"/>
  <c r="M436" i="13" s="1"/>
  <c r="K437" i="13"/>
  <c r="K438" i="13"/>
  <c r="K439" i="13"/>
  <c r="K440" i="13"/>
  <c r="M440" i="13" s="1"/>
  <c r="K441" i="13"/>
  <c r="K442" i="13"/>
  <c r="K443" i="13"/>
  <c r="K444" i="13"/>
  <c r="K445" i="13"/>
  <c r="K446" i="13"/>
  <c r="K447" i="13"/>
  <c r="K448" i="13"/>
  <c r="K449" i="13"/>
  <c r="K450" i="13"/>
  <c r="K451" i="13"/>
  <c r="K452" i="13"/>
  <c r="K453" i="13"/>
  <c r="K454" i="13"/>
  <c r="K455" i="13"/>
  <c r="K456" i="13"/>
  <c r="K457" i="13"/>
  <c r="K458" i="13"/>
  <c r="K459" i="13"/>
  <c r="K460" i="13"/>
  <c r="K461" i="13"/>
  <c r="K462" i="13"/>
  <c r="K463" i="13"/>
  <c r="K418" i="13"/>
  <c r="K417" i="13"/>
  <c r="K410" i="13"/>
  <c r="K411" i="13"/>
  <c r="K412" i="13"/>
  <c r="K413" i="13"/>
  <c r="K414" i="13"/>
  <c r="K415" i="13"/>
  <c r="K416" i="13"/>
  <c r="K419" i="13"/>
  <c r="K420" i="13"/>
  <c r="K421" i="13"/>
  <c r="K422" i="13"/>
  <c r="K423" i="13"/>
  <c r="K424" i="13"/>
  <c r="M424" i="13" s="1"/>
  <c r="K425" i="13"/>
  <c r="K426" i="13"/>
  <c r="K427" i="13"/>
  <c r="M427" i="13" s="1"/>
  <c r="K428" i="13"/>
  <c r="M428" i="13" s="1"/>
  <c r="K429" i="13"/>
  <c r="M429" i="13" s="1"/>
  <c r="I423" i="13"/>
  <c r="I426" i="13"/>
  <c r="I425" i="13"/>
  <c r="I422" i="13"/>
  <c r="I421" i="13"/>
  <c r="I420" i="13"/>
  <c r="I419" i="13"/>
  <c r="I418" i="13"/>
  <c r="I417" i="13"/>
  <c r="I416" i="13"/>
  <c r="I415" i="13"/>
  <c r="I414" i="13"/>
  <c r="I413" i="13"/>
  <c r="I412" i="13"/>
  <c r="I411" i="13"/>
  <c r="I410" i="13"/>
  <c r="K409" i="13"/>
  <c r="K399" i="13"/>
  <c r="K398" i="13"/>
  <c r="M398" i="13" s="1"/>
  <c r="K396" i="13"/>
  <c r="K397" i="13"/>
  <c r="K408" i="13"/>
  <c r="K407" i="13"/>
  <c r="K406" i="13"/>
  <c r="K405" i="13"/>
  <c r="K404" i="13"/>
  <c r="K403" i="13"/>
  <c r="K402" i="13"/>
  <c r="K401" i="13"/>
  <c r="K400" i="13"/>
  <c r="I409" i="13"/>
  <c r="I408" i="13"/>
  <c r="I407" i="13"/>
  <c r="I406" i="13"/>
  <c r="I405" i="13"/>
  <c r="I404" i="13"/>
  <c r="I403" i="13"/>
  <c r="I402" i="13"/>
  <c r="I401" i="13"/>
  <c r="I400" i="13"/>
  <c r="I399" i="13"/>
  <c r="K380" i="13"/>
  <c r="I380" i="13"/>
  <c r="K379" i="13"/>
  <c r="I379" i="13"/>
  <c r="K378" i="13"/>
  <c r="I378" i="13"/>
  <c r="K377" i="13"/>
  <c r="I377" i="13"/>
  <c r="K376" i="13"/>
  <c r="I376" i="13"/>
  <c r="K375" i="13"/>
  <c r="I375" i="13"/>
  <c r="K374" i="13"/>
  <c r="I374" i="13"/>
  <c r="K373" i="13"/>
  <c r="I373" i="13"/>
  <c r="K372" i="13"/>
  <c r="I372" i="13"/>
  <c r="K371" i="13"/>
  <c r="I371" i="13"/>
  <c r="K370" i="13"/>
  <c r="I370" i="13"/>
  <c r="K369" i="13"/>
  <c r="I369" i="13"/>
  <c r="K368" i="13"/>
  <c r="I368" i="13"/>
  <c r="K367" i="13"/>
  <c r="I367" i="13"/>
  <c r="K366" i="13"/>
  <c r="I366" i="13"/>
  <c r="K350" i="13"/>
  <c r="I350" i="13"/>
  <c r="K349" i="13"/>
  <c r="I349" i="13"/>
  <c r="K348" i="13"/>
  <c r="I348" i="13"/>
  <c r="K347" i="13"/>
  <c r="I347" i="13"/>
  <c r="K346" i="13"/>
  <c r="I346" i="13"/>
  <c r="K345" i="13"/>
  <c r="I345" i="13"/>
  <c r="K344" i="13"/>
  <c r="I344" i="13"/>
  <c r="K395" i="13"/>
  <c r="K394" i="13"/>
  <c r="K393" i="13"/>
  <c r="K392" i="13"/>
  <c r="K391" i="13"/>
  <c r="K390" i="13"/>
  <c r="K389" i="13"/>
  <c r="K388" i="13"/>
  <c r="K387" i="13"/>
  <c r="K386" i="13"/>
  <c r="K385" i="13"/>
  <c r="I397" i="13"/>
  <c r="I396" i="13"/>
  <c r="I395" i="13"/>
  <c r="I394" i="13"/>
  <c r="I393" i="13"/>
  <c r="I392" i="13"/>
  <c r="I391" i="13"/>
  <c r="I390" i="13"/>
  <c r="I389" i="13"/>
  <c r="I388" i="13"/>
  <c r="I387" i="13"/>
  <c r="I386" i="13"/>
  <c r="I385" i="13"/>
  <c r="I361" i="13"/>
  <c r="I362" i="13"/>
  <c r="I363" i="13"/>
  <c r="I364" i="13"/>
  <c r="I365" i="13"/>
  <c r="I360" i="13"/>
  <c r="I359" i="13"/>
  <c r="I358" i="13"/>
  <c r="I357" i="13"/>
  <c r="I356" i="13"/>
  <c r="I355" i="13"/>
  <c r="I354" i="13"/>
  <c r="I353" i="13"/>
  <c r="I352" i="13"/>
  <c r="I351" i="13"/>
  <c r="K358" i="13"/>
  <c r="K359" i="13"/>
  <c r="K360" i="13"/>
  <c r="K361" i="13"/>
  <c r="K362" i="13"/>
  <c r="K363" i="13"/>
  <c r="K364" i="13"/>
  <c r="K365" i="13"/>
  <c r="I384" i="13"/>
  <c r="I383" i="13"/>
  <c r="I382" i="13"/>
  <c r="I381" i="13"/>
  <c r="K381" i="13"/>
  <c r="K382" i="13"/>
  <c r="K383" i="13"/>
  <c r="K384" i="13"/>
  <c r="K351" i="13"/>
  <c r="K352" i="13"/>
  <c r="K353" i="13"/>
  <c r="K354" i="13"/>
  <c r="K355" i="13"/>
  <c r="K356" i="13"/>
  <c r="K357" i="13"/>
  <c r="K339" i="13"/>
  <c r="K340" i="13"/>
  <c r="K341" i="13"/>
  <c r="K342" i="13"/>
  <c r="K343" i="13"/>
  <c r="I343" i="13"/>
  <c r="I342" i="13"/>
  <c r="I340" i="13"/>
  <c r="I339" i="13"/>
  <c r="I341" i="13"/>
  <c r="I338" i="13"/>
  <c r="K338" i="13"/>
  <c r="I337" i="13"/>
  <c r="K337" i="13"/>
  <c r="K205" i="13"/>
  <c r="K206" i="13"/>
  <c r="K207" i="13"/>
  <c r="K204" i="13"/>
  <c r="I207" i="13"/>
  <c r="I206" i="13"/>
  <c r="M206" i="13" s="1"/>
  <c r="I205" i="13"/>
  <c r="I204" i="13"/>
  <c r="K196" i="13"/>
  <c r="K197" i="13"/>
  <c r="K198" i="13"/>
  <c r="K199" i="13"/>
  <c r="K200" i="13"/>
  <c r="K201" i="13"/>
  <c r="K202" i="13"/>
  <c r="K203" i="13"/>
  <c r="I203" i="13"/>
  <c r="I202" i="13"/>
  <c r="I201" i="13"/>
  <c r="I200" i="13"/>
  <c r="I199" i="13"/>
  <c r="I198" i="13"/>
  <c r="I197" i="13"/>
  <c r="I196" i="13"/>
  <c r="K185" i="13"/>
  <c r="K186" i="13"/>
  <c r="K191" i="13"/>
  <c r="K194" i="13"/>
  <c r="K184" i="13"/>
  <c r="K187" i="13"/>
  <c r="K188" i="13"/>
  <c r="K189" i="13"/>
  <c r="K190" i="13"/>
  <c r="K192" i="13"/>
  <c r="K193" i="13"/>
  <c r="K195" i="13"/>
  <c r="I195" i="13"/>
  <c r="I194" i="13"/>
  <c r="I193" i="13"/>
  <c r="I192" i="13"/>
  <c r="I191" i="13"/>
  <c r="I190" i="13"/>
  <c r="I189" i="13"/>
  <c r="I188" i="13"/>
  <c r="I187" i="13"/>
  <c r="I186" i="13"/>
  <c r="I185" i="13"/>
  <c r="I184" i="13"/>
  <c r="I183" i="13"/>
  <c r="K183" i="13"/>
  <c r="M193" i="13"/>
  <c r="K182" i="13"/>
  <c r="K181" i="13"/>
  <c r="K180" i="13"/>
  <c r="K179" i="13"/>
  <c r="K178" i="13"/>
  <c r="I182" i="13"/>
  <c r="I181" i="13"/>
  <c r="I180" i="13"/>
  <c r="I179" i="13"/>
  <c r="I178" i="13"/>
  <c r="K177" i="13"/>
  <c r="K176" i="13"/>
  <c r="K175" i="13"/>
  <c r="K174" i="13"/>
  <c r="K173" i="13"/>
  <c r="K172" i="13"/>
  <c r="I177" i="13"/>
  <c r="I176" i="13"/>
  <c r="I175" i="13"/>
  <c r="I174" i="13"/>
  <c r="I173" i="13"/>
  <c r="I172" i="13"/>
  <c r="I168" i="13"/>
  <c r="K171" i="13"/>
  <c r="K170" i="13"/>
  <c r="K169" i="13"/>
  <c r="K168" i="13"/>
  <c r="M168" i="13" s="1"/>
  <c r="K167" i="13"/>
  <c r="K166" i="13"/>
  <c r="K165" i="13"/>
  <c r="K164" i="13"/>
  <c r="K163" i="13"/>
  <c r="K162" i="13"/>
  <c r="K161" i="13"/>
  <c r="K160" i="13"/>
  <c r="K159" i="13"/>
  <c r="I171" i="13"/>
  <c r="I170" i="13"/>
  <c r="I169" i="13"/>
  <c r="I167" i="13"/>
  <c r="I166" i="13"/>
  <c r="I165" i="13"/>
  <c r="I164" i="13"/>
  <c r="I163" i="13"/>
  <c r="I162" i="13"/>
  <c r="I161" i="13"/>
  <c r="I160" i="13"/>
  <c r="I159" i="13"/>
  <c r="K158" i="13"/>
  <c r="K157" i="13"/>
  <c r="K156" i="13"/>
  <c r="K155" i="13"/>
  <c r="K154" i="13"/>
  <c r="K153" i="13"/>
  <c r="K152" i="13"/>
  <c r="K151" i="13"/>
  <c r="K150" i="13"/>
  <c r="I158" i="13"/>
  <c r="I157" i="13"/>
  <c r="I156" i="13"/>
  <c r="I155" i="13"/>
  <c r="I154" i="13"/>
  <c r="I153" i="13"/>
  <c r="I152" i="13"/>
  <c r="I151" i="13"/>
  <c r="I150" i="13"/>
  <c r="K143" i="13"/>
  <c r="K145" i="13"/>
  <c r="K146" i="13"/>
  <c r="K147" i="13"/>
  <c r="K148" i="13"/>
  <c r="K149" i="13"/>
  <c r="K144" i="13"/>
  <c r="I146" i="13"/>
  <c r="I147" i="13"/>
  <c r="I148" i="13"/>
  <c r="I149" i="13"/>
  <c r="I145" i="13"/>
  <c r="I144" i="13"/>
  <c r="I143" i="13"/>
  <c r="K142" i="13"/>
  <c r="K141" i="13"/>
  <c r="K140" i="13"/>
  <c r="K139" i="13"/>
  <c r="I142" i="13"/>
  <c r="I141" i="13"/>
  <c r="I140" i="13"/>
  <c r="I139" i="13"/>
  <c r="I138" i="13"/>
  <c r="I137" i="13"/>
  <c r="I136" i="13"/>
  <c r="I135" i="13"/>
  <c r="I134" i="13"/>
  <c r="I126" i="13"/>
  <c r="I123" i="13"/>
  <c r="I122" i="13"/>
  <c r="K122" i="13"/>
  <c r="K114" i="13"/>
  <c r="M114" i="13" s="1"/>
  <c r="K132" i="13"/>
  <c r="M132" i="13" s="1"/>
  <c r="K133" i="13"/>
  <c r="M133" i="13" s="1"/>
  <c r="K134" i="13"/>
  <c r="M134" i="13" s="1"/>
  <c r="K135" i="13"/>
  <c r="K136" i="13"/>
  <c r="M136" i="13" s="1"/>
  <c r="K137" i="13"/>
  <c r="K138" i="13"/>
  <c r="M138" i="13" s="1"/>
  <c r="K123" i="13"/>
  <c r="K124" i="13"/>
  <c r="M124" i="13" s="1"/>
  <c r="K125" i="13"/>
  <c r="M125" i="13" s="1"/>
  <c r="K126" i="13"/>
  <c r="K127" i="13"/>
  <c r="M127" i="13" s="1"/>
  <c r="K128" i="13"/>
  <c r="M128" i="13" s="1"/>
  <c r="K129" i="13"/>
  <c r="K130" i="13"/>
  <c r="K131" i="13"/>
  <c r="K115" i="13"/>
  <c r="M115" i="13" s="1"/>
  <c r="K116" i="13"/>
  <c r="M116" i="13" s="1"/>
  <c r="K117" i="13"/>
  <c r="M117" i="13" s="1"/>
  <c r="K118" i="13"/>
  <c r="M118" i="13" s="1"/>
  <c r="K119" i="13"/>
  <c r="M119" i="13" s="1"/>
  <c r="K120" i="13"/>
  <c r="M120" i="13" s="1"/>
  <c r="K121" i="13"/>
  <c r="M121" i="13" s="1"/>
  <c r="I131" i="13"/>
  <c r="I130" i="13"/>
  <c r="I129" i="13"/>
  <c r="I113" i="13"/>
  <c r="I112" i="13"/>
  <c r="I111" i="13"/>
  <c r="I106" i="13"/>
  <c r="K111" i="13"/>
  <c r="I110" i="13"/>
  <c r="I109" i="13"/>
  <c r="I108" i="13"/>
  <c r="I107" i="13"/>
  <c r="I105" i="13"/>
  <c r="I104" i="13"/>
  <c r="I103" i="13"/>
  <c r="I102" i="13"/>
  <c r="I101" i="13"/>
  <c r="I100" i="13"/>
  <c r="I99" i="13"/>
  <c r="I98" i="13"/>
  <c r="I97" i="13"/>
  <c r="I96" i="13"/>
  <c r="I95" i="13"/>
  <c r="I94" i="13"/>
  <c r="I93" i="13"/>
  <c r="I92" i="13"/>
  <c r="I91" i="13"/>
  <c r="I90" i="13"/>
  <c r="I89" i="13"/>
  <c r="I88" i="13"/>
  <c r="I87" i="13"/>
  <c r="I86" i="13"/>
  <c r="I85" i="13"/>
  <c r="I84" i="13"/>
  <c r="I83" i="13"/>
  <c r="I82" i="13"/>
  <c r="I81" i="13"/>
  <c r="I80" i="13"/>
  <c r="I79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M106" i="13" s="1"/>
  <c r="K107" i="13"/>
  <c r="K108" i="13"/>
  <c r="K109" i="13"/>
  <c r="M109" i="13" s="1"/>
  <c r="K110" i="13"/>
  <c r="K112" i="13"/>
  <c r="K113" i="13"/>
  <c r="K78" i="13"/>
  <c r="K77" i="13"/>
  <c r="K76" i="13"/>
  <c r="I78" i="13"/>
  <c r="I77" i="13"/>
  <c r="I76" i="13"/>
  <c r="I75" i="13"/>
  <c r="I74" i="13"/>
  <c r="I73" i="13"/>
  <c r="I72" i="13"/>
  <c r="I71" i="13"/>
  <c r="I69" i="13"/>
  <c r="I68" i="13"/>
  <c r="I67" i="13"/>
  <c r="I66" i="13"/>
  <c r="I65" i="13"/>
  <c r="I64" i="13"/>
  <c r="I63" i="13"/>
  <c r="I62" i="13"/>
  <c r="I61" i="13"/>
  <c r="I60" i="13"/>
  <c r="I59" i="13"/>
  <c r="I58" i="13"/>
  <c r="K55" i="13"/>
  <c r="I57" i="13"/>
  <c r="I56" i="13"/>
  <c r="I55" i="13"/>
  <c r="I54" i="13"/>
  <c r="I53" i="13"/>
  <c r="I52" i="13"/>
  <c r="I51" i="13"/>
  <c r="I50" i="13"/>
  <c r="I49" i="13"/>
  <c r="I48" i="13"/>
  <c r="I47" i="13"/>
  <c r="J47" i="13" s="1"/>
  <c r="K47" i="13" s="1"/>
  <c r="I46" i="13"/>
  <c r="I45" i="13"/>
  <c r="I44" i="13"/>
  <c r="I43" i="13"/>
  <c r="I42" i="13"/>
  <c r="I41" i="13"/>
  <c r="I40" i="13"/>
  <c r="I39" i="13"/>
  <c r="I38" i="13"/>
  <c r="I37" i="13"/>
  <c r="I36" i="13"/>
  <c r="K36" i="13"/>
  <c r="K37" i="13"/>
  <c r="K38" i="13"/>
  <c r="K39" i="13"/>
  <c r="K40" i="13"/>
  <c r="K41" i="13"/>
  <c r="K42" i="13"/>
  <c r="K43" i="13"/>
  <c r="K44" i="13"/>
  <c r="K45" i="13"/>
  <c r="K46" i="13"/>
  <c r="K48" i="13"/>
  <c r="K49" i="13"/>
  <c r="K50" i="13"/>
  <c r="M50" i="13" s="1"/>
  <c r="K51" i="13"/>
  <c r="K52" i="13"/>
  <c r="M52" i="13" s="1"/>
  <c r="K53" i="13"/>
  <c r="K54" i="13"/>
  <c r="M54" i="13" s="1"/>
  <c r="K56" i="13"/>
  <c r="K57" i="13"/>
  <c r="K58" i="13"/>
  <c r="K59" i="13"/>
  <c r="K60" i="13"/>
  <c r="M60" i="13" s="1"/>
  <c r="K61" i="13"/>
  <c r="K62" i="13"/>
  <c r="K63" i="13"/>
  <c r="K64" i="13"/>
  <c r="M64" i="13" s="1"/>
  <c r="K65" i="13"/>
  <c r="K66" i="13"/>
  <c r="K67" i="13"/>
  <c r="K68" i="13"/>
  <c r="M68" i="13" s="1"/>
  <c r="K69" i="13"/>
  <c r="K70" i="13"/>
  <c r="M70" i="13" s="1"/>
  <c r="K71" i="13"/>
  <c r="K72" i="13"/>
  <c r="K73" i="13"/>
  <c r="K74" i="13"/>
  <c r="K75" i="13"/>
  <c r="K23" i="13"/>
  <c r="K24" i="13"/>
  <c r="K25" i="13"/>
  <c r="K26" i="13"/>
  <c r="K28" i="13"/>
  <c r="K29" i="13"/>
  <c r="K30" i="13"/>
  <c r="M30" i="13" s="1"/>
  <c r="K31" i="13"/>
  <c r="K32" i="13"/>
  <c r="K33" i="13"/>
  <c r="K34" i="13"/>
  <c r="K35" i="13"/>
  <c r="I35" i="13"/>
  <c r="I34" i="13"/>
  <c r="I33" i="13"/>
  <c r="I32" i="13"/>
  <c r="I31" i="13"/>
  <c r="I29" i="13"/>
  <c r="I28" i="13"/>
  <c r="J21" i="13"/>
  <c r="K21" i="13" s="1"/>
  <c r="J22" i="13"/>
  <c r="K22" i="13" s="1"/>
  <c r="I21" i="13"/>
  <c r="I27" i="13"/>
  <c r="J27" i="13" s="1"/>
  <c r="K27" i="13" s="1"/>
  <c r="M27" i="13" s="1"/>
  <c r="I26" i="13"/>
  <c r="I25" i="13"/>
  <c r="I24" i="13"/>
  <c r="M24" i="13" s="1"/>
  <c r="I22" i="13"/>
  <c r="M22" i="13"/>
  <c r="M14" i="13"/>
  <c r="I23" i="13"/>
  <c r="K15" i="13"/>
  <c r="K16" i="13"/>
  <c r="K17" i="13"/>
  <c r="K18" i="13"/>
  <c r="K19" i="13"/>
  <c r="K20" i="13"/>
  <c r="I20" i="13"/>
  <c r="I19" i="13"/>
  <c r="I18" i="13"/>
  <c r="I17" i="13"/>
  <c r="I16" i="13"/>
  <c r="I15" i="13"/>
  <c r="I14" i="13"/>
  <c r="K6" i="13"/>
  <c r="K7" i="13"/>
  <c r="K8" i="13"/>
  <c r="M8" i="13" s="1"/>
  <c r="K9" i="13"/>
  <c r="M9" i="13" s="1"/>
  <c r="K10" i="13"/>
  <c r="M10" i="13" s="1"/>
  <c r="K11" i="13"/>
  <c r="M11" i="13" s="1"/>
  <c r="K12" i="13"/>
  <c r="K13" i="13"/>
  <c r="I13" i="13"/>
  <c r="I12" i="13"/>
  <c r="I7" i="13"/>
  <c r="I6" i="13"/>
  <c r="I5" i="13"/>
  <c r="O748" i="13"/>
  <c r="P748" i="13" s="1"/>
  <c r="Q748" i="13" s="1"/>
  <c r="R748" i="13" s="1"/>
  <c r="O747" i="13"/>
  <c r="P747" i="13" s="1"/>
  <c r="Q747" i="13" s="1"/>
  <c r="R747" i="13" s="1"/>
  <c r="O746" i="13"/>
  <c r="P746" i="13" s="1"/>
  <c r="Q746" i="13" s="1"/>
  <c r="R746" i="13" s="1"/>
  <c r="O745" i="13"/>
  <c r="P745" i="13" s="1"/>
  <c r="Q745" i="13" s="1"/>
  <c r="R745" i="13" s="1"/>
  <c r="O744" i="13"/>
  <c r="P744" i="13" s="1"/>
  <c r="Q744" i="13" s="1"/>
  <c r="R744" i="13" s="1"/>
  <c r="O743" i="13"/>
  <c r="P743" i="13" s="1"/>
  <c r="Q743" i="13" s="1"/>
  <c r="R743" i="13" s="1"/>
  <c r="O742" i="13"/>
  <c r="P742" i="13" s="1"/>
  <c r="Q742" i="13" s="1"/>
  <c r="R742" i="13" s="1"/>
  <c r="O741" i="13"/>
  <c r="P741" i="13" s="1"/>
  <c r="Q741" i="13" s="1"/>
  <c r="R741" i="13" s="1"/>
  <c r="O740" i="13"/>
  <c r="P740" i="13" s="1"/>
  <c r="Q740" i="13" s="1"/>
  <c r="R740" i="13" s="1"/>
  <c r="O739" i="13"/>
  <c r="P739" i="13" s="1"/>
  <c r="Q739" i="13" s="1"/>
  <c r="R739" i="13" s="1"/>
  <c r="O738" i="13"/>
  <c r="P738" i="13" s="1"/>
  <c r="Q738" i="13" s="1"/>
  <c r="R738" i="13" s="1"/>
  <c r="O737" i="13"/>
  <c r="P737" i="13" s="1"/>
  <c r="Q737" i="13" s="1"/>
  <c r="R737" i="13" s="1"/>
  <c r="O736" i="13"/>
  <c r="P736" i="13" s="1"/>
  <c r="Q736" i="13" s="1"/>
  <c r="R736" i="13" s="1"/>
  <c r="P735" i="13"/>
  <c r="Q735" i="13" s="1"/>
  <c r="R735" i="13" s="1"/>
  <c r="P734" i="13"/>
  <c r="Q734" i="13" s="1"/>
  <c r="R734" i="13" s="1"/>
  <c r="P733" i="13"/>
  <c r="Q733" i="13" s="1"/>
  <c r="R733" i="13" s="1"/>
  <c r="P732" i="13"/>
  <c r="Q732" i="13" s="1"/>
  <c r="R732" i="13" s="1"/>
  <c r="P731" i="13"/>
  <c r="Q731" i="13" s="1"/>
  <c r="R731" i="13" s="1"/>
  <c r="P730" i="13"/>
  <c r="Q730" i="13" s="1"/>
  <c r="R730" i="13" s="1"/>
  <c r="P729" i="13"/>
  <c r="Q729" i="13" s="1"/>
  <c r="R729" i="13" s="1"/>
  <c r="P728" i="13"/>
  <c r="Q728" i="13" s="1"/>
  <c r="R728" i="13" s="1"/>
  <c r="P727" i="13"/>
  <c r="Q727" i="13" s="1"/>
  <c r="R727" i="13" s="1"/>
  <c r="P726" i="13"/>
  <c r="Q726" i="13" s="1"/>
  <c r="R726" i="13" s="1"/>
  <c r="P725" i="13"/>
  <c r="Q725" i="13" s="1"/>
  <c r="R725" i="13" s="1"/>
  <c r="P724" i="13"/>
  <c r="Q724" i="13" s="1"/>
  <c r="R724" i="13" s="1"/>
  <c r="P723" i="13"/>
  <c r="Q723" i="13" s="1"/>
  <c r="R723" i="13" s="1"/>
  <c r="P722" i="13"/>
  <c r="Q722" i="13" s="1"/>
  <c r="R722" i="13" s="1"/>
  <c r="P721" i="13"/>
  <c r="Q721" i="13" s="1"/>
  <c r="R721" i="13" s="1"/>
  <c r="P720" i="13"/>
  <c r="Q720" i="13" s="1"/>
  <c r="R720" i="13" s="1"/>
  <c r="P719" i="13"/>
  <c r="Q719" i="13" s="1"/>
  <c r="R719" i="13" s="1"/>
  <c r="P718" i="13"/>
  <c r="Q718" i="13" s="1"/>
  <c r="R718" i="13" s="1"/>
  <c r="P717" i="13"/>
  <c r="Q717" i="13" s="1"/>
  <c r="R717" i="13" s="1"/>
  <c r="P716" i="13"/>
  <c r="Q716" i="13" s="1"/>
  <c r="R716" i="13" s="1"/>
  <c r="P715" i="13"/>
  <c r="Q715" i="13" s="1"/>
  <c r="R715" i="13" s="1"/>
  <c r="P714" i="13"/>
  <c r="Q714" i="13" s="1"/>
  <c r="R714" i="13" s="1"/>
  <c r="P713" i="13"/>
  <c r="Q713" i="13" s="1"/>
  <c r="R713" i="13" s="1"/>
  <c r="P712" i="13"/>
  <c r="Q712" i="13" s="1"/>
  <c r="R712" i="13" s="1"/>
  <c r="P711" i="13"/>
  <c r="Q711" i="13" s="1"/>
  <c r="R711" i="13" s="1"/>
  <c r="P710" i="13"/>
  <c r="Q710" i="13" s="1"/>
  <c r="R710" i="13" s="1"/>
  <c r="P689" i="13"/>
  <c r="Q689" i="13" s="1"/>
  <c r="R689" i="13" s="1"/>
  <c r="P688" i="13"/>
  <c r="Q688" i="13" s="1"/>
  <c r="R688" i="13" s="1"/>
  <c r="P687" i="13"/>
  <c r="Q687" i="13" s="1"/>
  <c r="R687" i="13" s="1"/>
  <c r="P686" i="13"/>
  <c r="Q686" i="13" s="1"/>
  <c r="R686" i="13" s="1"/>
  <c r="P685" i="13"/>
  <c r="Q685" i="13" s="1"/>
  <c r="R685" i="13" s="1"/>
  <c r="P684" i="13"/>
  <c r="Q684" i="13" s="1"/>
  <c r="R684" i="13" s="1"/>
  <c r="P683" i="13"/>
  <c r="Q683" i="13" s="1"/>
  <c r="R683" i="13" s="1"/>
  <c r="P682" i="13"/>
  <c r="Q682" i="13" s="1"/>
  <c r="R682" i="13" s="1"/>
  <c r="P681" i="13"/>
  <c r="Q681" i="13" s="1"/>
  <c r="R681" i="13" s="1"/>
  <c r="P680" i="13"/>
  <c r="Q680" i="13" s="1"/>
  <c r="R680" i="13" s="1"/>
  <c r="P679" i="13"/>
  <c r="Q679" i="13" s="1"/>
  <c r="R679" i="13" s="1"/>
  <c r="P678" i="13"/>
  <c r="Q678" i="13" s="1"/>
  <c r="R678" i="13" s="1"/>
  <c r="P677" i="13"/>
  <c r="Q677" i="13" s="1"/>
  <c r="R677" i="13" s="1"/>
  <c r="P676" i="13"/>
  <c r="Q676" i="13" s="1"/>
  <c r="R676" i="13" s="1"/>
  <c r="P675" i="13"/>
  <c r="Q675" i="13" s="1"/>
  <c r="R675" i="13" s="1"/>
  <c r="P674" i="13"/>
  <c r="Q674" i="13" s="1"/>
  <c r="R674" i="13" s="1"/>
  <c r="P673" i="13"/>
  <c r="Q673" i="13" s="1"/>
  <c r="R673" i="13" s="1"/>
  <c r="P672" i="13"/>
  <c r="Q672" i="13" s="1"/>
  <c r="R672" i="13" s="1"/>
  <c r="P671" i="13"/>
  <c r="Q671" i="13" s="1"/>
  <c r="R671" i="13" s="1"/>
  <c r="P670" i="13"/>
  <c r="Q670" i="13" s="1"/>
  <c r="R670" i="13" s="1"/>
  <c r="P669" i="13"/>
  <c r="Q669" i="13" s="1"/>
  <c r="R669" i="13" s="1"/>
  <c r="P668" i="13"/>
  <c r="Q668" i="13" s="1"/>
  <c r="R668" i="13" s="1"/>
  <c r="P667" i="13"/>
  <c r="Q667" i="13" s="1"/>
  <c r="R667" i="13" s="1"/>
  <c r="P666" i="13"/>
  <c r="Q666" i="13" s="1"/>
  <c r="R666" i="13" s="1"/>
  <c r="P665" i="13"/>
  <c r="Q665" i="13" s="1"/>
  <c r="R665" i="13" s="1"/>
  <c r="P664" i="13"/>
  <c r="Q664" i="13" s="1"/>
  <c r="R664" i="13" s="1"/>
  <c r="P663" i="13"/>
  <c r="Q663" i="13" s="1"/>
  <c r="R663" i="13" s="1"/>
  <c r="P662" i="13"/>
  <c r="Q662" i="13" s="1"/>
  <c r="R662" i="13" s="1"/>
  <c r="P661" i="13"/>
  <c r="Q661" i="13" s="1"/>
  <c r="R661" i="13" s="1"/>
  <c r="O75" i="13"/>
  <c r="P75" i="13" s="1"/>
  <c r="Q75" i="13" s="1"/>
  <c r="R75" i="13" s="1"/>
  <c r="O74" i="13"/>
  <c r="P74" i="13" s="1"/>
  <c r="Q74" i="13" s="1"/>
  <c r="R74" i="13" s="1"/>
  <c r="O73" i="13"/>
  <c r="P73" i="13" s="1"/>
  <c r="Q73" i="13" s="1"/>
  <c r="R73" i="13" s="1"/>
  <c r="O72" i="13"/>
  <c r="P72" i="13" s="1"/>
  <c r="Q72" i="13" s="1"/>
  <c r="R72" i="13" s="1"/>
  <c r="O71" i="13"/>
  <c r="P71" i="13" s="1"/>
  <c r="Q71" i="13" s="1"/>
  <c r="R71" i="13" s="1"/>
  <c r="O70" i="13"/>
  <c r="P70" i="13" s="1"/>
  <c r="Q70" i="13" s="1"/>
  <c r="R70" i="13" s="1"/>
  <c r="O69" i="13"/>
  <c r="P69" i="13" s="1"/>
  <c r="Q69" i="13" s="1"/>
  <c r="R69" i="13" s="1"/>
  <c r="O68" i="13"/>
  <c r="P68" i="13" s="1"/>
  <c r="Q68" i="13" s="1"/>
  <c r="R68" i="13" s="1"/>
  <c r="O67" i="13"/>
  <c r="P67" i="13" s="1"/>
  <c r="Q67" i="13" s="1"/>
  <c r="R67" i="13" s="1"/>
  <c r="O66" i="13"/>
  <c r="P66" i="13" s="1"/>
  <c r="Q66" i="13" s="1"/>
  <c r="R66" i="13" s="1"/>
  <c r="O65" i="13"/>
  <c r="P65" i="13" s="1"/>
  <c r="Q65" i="13" s="1"/>
  <c r="R65" i="13" s="1"/>
  <c r="O64" i="13"/>
  <c r="P64" i="13" s="1"/>
  <c r="Q64" i="13" s="1"/>
  <c r="R64" i="13" s="1"/>
  <c r="O63" i="13"/>
  <c r="P63" i="13" s="1"/>
  <c r="Q63" i="13" s="1"/>
  <c r="R63" i="13" s="1"/>
  <c r="O62" i="13"/>
  <c r="P62" i="13" s="1"/>
  <c r="Q62" i="13" s="1"/>
  <c r="R62" i="13" s="1"/>
  <c r="O61" i="13"/>
  <c r="P61" i="13" s="1"/>
  <c r="Q61" i="13" s="1"/>
  <c r="R61" i="13" s="1"/>
  <c r="O60" i="13"/>
  <c r="P60" i="13" s="1"/>
  <c r="Q60" i="13" s="1"/>
  <c r="R60" i="13" s="1"/>
  <c r="O59" i="13"/>
  <c r="P59" i="13" s="1"/>
  <c r="Q59" i="13" s="1"/>
  <c r="R59" i="13" s="1"/>
  <c r="O58" i="13"/>
  <c r="P58" i="13" s="1"/>
  <c r="Q58" i="13" s="1"/>
  <c r="R58" i="13" s="1"/>
  <c r="O57" i="13"/>
  <c r="P57" i="13" s="1"/>
  <c r="Q57" i="13" s="1"/>
  <c r="R57" i="13" s="1"/>
  <c r="O56" i="13"/>
  <c r="P56" i="13" s="1"/>
  <c r="Q56" i="13" s="1"/>
  <c r="R56" i="13" s="1"/>
  <c r="O55" i="13"/>
  <c r="P55" i="13" s="1"/>
  <c r="Q55" i="13" s="1"/>
  <c r="R55" i="13" s="1"/>
  <c r="O54" i="13"/>
  <c r="P54" i="13" s="1"/>
  <c r="Q54" i="13" s="1"/>
  <c r="R54" i="13" s="1"/>
  <c r="O53" i="13"/>
  <c r="P53" i="13" s="1"/>
  <c r="Q53" i="13" s="1"/>
  <c r="R53" i="13" s="1"/>
  <c r="O52" i="13"/>
  <c r="P52" i="13" s="1"/>
  <c r="Q52" i="13" s="1"/>
  <c r="R52" i="13" s="1"/>
  <c r="O51" i="13"/>
  <c r="P51" i="13" s="1"/>
  <c r="Q51" i="13" s="1"/>
  <c r="R51" i="13" s="1"/>
  <c r="O50" i="13"/>
  <c r="P50" i="13" s="1"/>
  <c r="Q50" i="13" s="1"/>
  <c r="R50" i="13" s="1"/>
  <c r="O49" i="13"/>
  <c r="P49" i="13" s="1"/>
  <c r="Q49" i="13" s="1"/>
  <c r="R49" i="13" s="1"/>
  <c r="O48" i="13"/>
  <c r="P48" i="13" s="1"/>
  <c r="Q48" i="13" s="1"/>
  <c r="R48" i="13" s="1"/>
  <c r="O47" i="13"/>
  <c r="O46" i="13"/>
  <c r="P46" i="13" s="1"/>
  <c r="Q46" i="13" s="1"/>
  <c r="R46" i="13" s="1"/>
  <c r="O45" i="13"/>
  <c r="P45" i="13" s="1"/>
  <c r="Q45" i="13" s="1"/>
  <c r="R45" i="13" s="1"/>
  <c r="O44" i="13"/>
  <c r="P44" i="13" s="1"/>
  <c r="Q44" i="13" s="1"/>
  <c r="R44" i="13" s="1"/>
  <c r="O43" i="13"/>
  <c r="P43" i="13" s="1"/>
  <c r="Q43" i="13" s="1"/>
  <c r="R43" i="13" s="1"/>
  <c r="O42" i="13"/>
  <c r="P42" i="13" s="1"/>
  <c r="Q42" i="13" s="1"/>
  <c r="R42" i="13" s="1"/>
  <c r="O41" i="13"/>
  <c r="P41" i="13" s="1"/>
  <c r="Q41" i="13" s="1"/>
  <c r="R41" i="13" s="1"/>
  <c r="O40" i="13"/>
  <c r="P40" i="13" s="1"/>
  <c r="Q40" i="13" s="1"/>
  <c r="R40" i="13" s="1"/>
  <c r="O39" i="13"/>
  <c r="P39" i="13" s="1"/>
  <c r="Q39" i="13" s="1"/>
  <c r="R39" i="13" s="1"/>
  <c r="O38" i="13"/>
  <c r="P38" i="13" s="1"/>
  <c r="Q38" i="13" s="1"/>
  <c r="R38" i="13" s="1"/>
  <c r="O37" i="13"/>
  <c r="P37" i="13" s="1"/>
  <c r="Q37" i="13" s="1"/>
  <c r="R37" i="13" s="1"/>
  <c r="O36" i="13"/>
  <c r="P36" i="13" s="1"/>
  <c r="Q36" i="13" s="1"/>
  <c r="R36" i="13" s="1"/>
  <c r="O35" i="13"/>
  <c r="P35" i="13" s="1"/>
  <c r="Q35" i="13" s="1"/>
  <c r="R35" i="13" s="1"/>
  <c r="O34" i="13"/>
  <c r="P34" i="13" s="1"/>
  <c r="Q34" i="13" s="1"/>
  <c r="R34" i="13" s="1"/>
  <c r="O33" i="13"/>
  <c r="P33" i="13" s="1"/>
  <c r="Q33" i="13" s="1"/>
  <c r="R33" i="13" s="1"/>
  <c r="O32" i="13"/>
  <c r="P32" i="13" s="1"/>
  <c r="Q32" i="13" s="1"/>
  <c r="R32" i="13" s="1"/>
  <c r="O31" i="13"/>
  <c r="P31" i="13" s="1"/>
  <c r="Q31" i="13" s="1"/>
  <c r="R31" i="13" s="1"/>
  <c r="O30" i="13"/>
  <c r="P30" i="13" s="1"/>
  <c r="Q30" i="13" s="1"/>
  <c r="R30" i="13" s="1"/>
  <c r="O29" i="13"/>
  <c r="P29" i="13" s="1"/>
  <c r="Q29" i="13" s="1"/>
  <c r="R29" i="13" s="1"/>
  <c r="O28" i="13"/>
  <c r="P28" i="13" s="1"/>
  <c r="Q28" i="13" s="1"/>
  <c r="R28" i="13" s="1"/>
  <c r="O27" i="13"/>
  <c r="O26" i="13"/>
  <c r="P26" i="13" s="1"/>
  <c r="Q26" i="13" s="1"/>
  <c r="R26" i="13" s="1"/>
  <c r="O25" i="13"/>
  <c r="P25" i="13" s="1"/>
  <c r="Q25" i="13" s="1"/>
  <c r="R25" i="13" s="1"/>
  <c r="O24" i="13"/>
  <c r="P24" i="13" s="1"/>
  <c r="Q24" i="13" s="1"/>
  <c r="R24" i="13" s="1"/>
  <c r="O23" i="13"/>
  <c r="P23" i="13" s="1"/>
  <c r="Q23" i="13" s="1"/>
  <c r="R23" i="13" s="1"/>
  <c r="O22" i="13"/>
  <c r="O21" i="13"/>
  <c r="O20" i="13"/>
  <c r="P20" i="13" s="1"/>
  <c r="Q20" i="13" s="1"/>
  <c r="R20" i="13" s="1"/>
  <c r="O19" i="13"/>
  <c r="P19" i="13" s="1"/>
  <c r="Q19" i="13" s="1"/>
  <c r="R19" i="13" s="1"/>
  <c r="O18" i="13"/>
  <c r="P18" i="13" s="1"/>
  <c r="Q18" i="13" s="1"/>
  <c r="R18" i="13" s="1"/>
  <c r="O17" i="13"/>
  <c r="P17" i="13" s="1"/>
  <c r="Q17" i="13" s="1"/>
  <c r="R17" i="13" s="1"/>
  <c r="O16" i="13"/>
  <c r="P16" i="13" s="1"/>
  <c r="Q16" i="13" s="1"/>
  <c r="R16" i="13" s="1"/>
  <c r="O15" i="13"/>
  <c r="P15" i="13" s="1"/>
  <c r="Q15" i="13" s="1"/>
  <c r="R15" i="13" s="1"/>
  <c r="O14" i="13"/>
  <c r="O13" i="13"/>
  <c r="P13" i="13" s="1"/>
  <c r="Q13" i="13" s="1"/>
  <c r="R13" i="13" s="1"/>
  <c r="O12" i="13"/>
  <c r="P12" i="13" s="1"/>
  <c r="Q12" i="13" s="1"/>
  <c r="R12" i="13" s="1"/>
  <c r="O11" i="13"/>
  <c r="P11" i="13" s="1"/>
  <c r="Q11" i="13" s="1"/>
  <c r="R11" i="13" s="1"/>
  <c r="O10" i="13"/>
  <c r="P10" i="13" s="1"/>
  <c r="Q10" i="13" s="1"/>
  <c r="R10" i="13" s="1"/>
  <c r="O9" i="13"/>
  <c r="P9" i="13" s="1"/>
  <c r="Q9" i="13" s="1"/>
  <c r="R9" i="13" s="1"/>
  <c r="O8" i="13"/>
  <c r="P8" i="13" s="1"/>
  <c r="Q8" i="13" s="1"/>
  <c r="R8" i="13" s="1"/>
  <c r="O7" i="13"/>
  <c r="P7" i="13" s="1"/>
  <c r="Q7" i="13" s="1"/>
  <c r="R7" i="13" s="1"/>
  <c r="O6" i="13"/>
  <c r="P6" i="13" s="1"/>
  <c r="Q6" i="13" s="1"/>
  <c r="R6" i="13" s="1"/>
  <c r="K5" i="13"/>
  <c r="M150" i="2"/>
  <c r="M149" i="2"/>
  <c r="M148" i="2"/>
  <c r="M147" i="2"/>
  <c r="M146" i="2"/>
  <c r="M145" i="2"/>
  <c r="M144" i="2"/>
  <c r="M143" i="2"/>
  <c r="M142" i="2"/>
  <c r="M136" i="2"/>
  <c r="M137" i="2"/>
  <c r="M138" i="2"/>
  <c r="M139" i="2"/>
  <c r="M140" i="2"/>
  <c r="M141" i="2"/>
  <c r="M131" i="2"/>
  <c r="M132" i="2"/>
  <c r="M133" i="2"/>
  <c r="M134" i="2"/>
  <c r="M135" i="2"/>
  <c r="M130" i="2"/>
  <c r="M128" i="2"/>
  <c r="M127" i="2"/>
  <c r="M126" i="2"/>
  <c r="M124" i="2"/>
  <c r="M125" i="2"/>
  <c r="M123" i="2"/>
  <c r="M122" i="2"/>
  <c r="O125" i="2"/>
  <c r="P125" i="2"/>
  <c r="Q125" i="2" s="1"/>
  <c r="R125" i="2" s="1"/>
  <c r="O126" i="2"/>
  <c r="P126" i="2" s="1"/>
  <c r="Q126" i="2" s="1"/>
  <c r="R126" i="2" s="1"/>
  <c r="O127" i="2"/>
  <c r="P127" i="2"/>
  <c r="Q127" i="2" s="1"/>
  <c r="R127" i="2" s="1"/>
  <c r="O128" i="2"/>
  <c r="P128" i="2"/>
  <c r="Q128" i="2" s="1"/>
  <c r="R128" i="2" s="1"/>
  <c r="O129" i="2"/>
  <c r="P129" i="2"/>
  <c r="Q129" i="2" s="1"/>
  <c r="R129" i="2" s="1"/>
  <c r="O130" i="2"/>
  <c r="P130" i="2" s="1"/>
  <c r="Q130" i="2" s="1"/>
  <c r="R130" i="2" s="1"/>
  <c r="O131" i="2"/>
  <c r="P131" i="2" s="1"/>
  <c r="Q131" i="2" s="1"/>
  <c r="R131" i="2" s="1"/>
  <c r="O132" i="2"/>
  <c r="P132" i="2" s="1"/>
  <c r="Q132" i="2" s="1"/>
  <c r="R132" i="2" s="1"/>
  <c r="O133" i="2"/>
  <c r="P133" i="2"/>
  <c r="Q133" i="2" s="1"/>
  <c r="R133" i="2" s="1"/>
  <c r="O134" i="2"/>
  <c r="P134" i="2" s="1"/>
  <c r="Q134" i="2" s="1"/>
  <c r="R134" i="2" s="1"/>
  <c r="O135" i="2"/>
  <c r="P135" i="2" s="1"/>
  <c r="Q135" i="2" s="1"/>
  <c r="R135" i="2" s="1"/>
  <c r="O136" i="2"/>
  <c r="P136" i="2" s="1"/>
  <c r="Q136" i="2" s="1"/>
  <c r="R136" i="2" s="1"/>
  <c r="O137" i="2"/>
  <c r="P137" i="2"/>
  <c r="Q137" i="2" s="1"/>
  <c r="R137" i="2" s="1"/>
  <c r="O138" i="2"/>
  <c r="P138" i="2"/>
  <c r="Q138" i="2" s="1"/>
  <c r="R138" i="2" s="1"/>
  <c r="O139" i="2"/>
  <c r="P139" i="2" s="1"/>
  <c r="Q139" i="2" s="1"/>
  <c r="R139" i="2" s="1"/>
  <c r="O140" i="2"/>
  <c r="P140" i="2" s="1"/>
  <c r="Q140" i="2" s="1"/>
  <c r="R140" i="2" s="1"/>
  <c r="O141" i="2"/>
  <c r="P141" i="2" s="1"/>
  <c r="Q141" i="2" s="1"/>
  <c r="R141" i="2" s="1"/>
  <c r="O142" i="2"/>
  <c r="P142" i="2" s="1"/>
  <c r="Q142" i="2" s="1"/>
  <c r="R142" i="2" s="1"/>
  <c r="O143" i="2"/>
  <c r="P143" i="2" s="1"/>
  <c r="Q143" i="2" s="1"/>
  <c r="R143" i="2" s="1"/>
  <c r="O144" i="2"/>
  <c r="P144" i="2" s="1"/>
  <c r="Q144" i="2" s="1"/>
  <c r="R144" i="2" s="1"/>
  <c r="O145" i="2"/>
  <c r="P145" i="2" s="1"/>
  <c r="Q145" i="2" s="1"/>
  <c r="R145" i="2" s="1"/>
  <c r="O146" i="2"/>
  <c r="P146" i="2"/>
  <c r="Q146" i="2" s="1"/>
  <c r="R146" i="2" s="1"/>
  <c r="O147" i="2"/>
  <c r="P147" i="2" s="1"/>
  <c r="Q147" i="2" s="1"/>
  <c r="R147" i="2" s="1"/>
  <c r="O148" i="2"/>
  <c r="P148" i="2" s="1"/>
  <c r="Q148" i="2" s="1"/>
  <c r="R148" i="2" s="1"/>
  <c r="O149" i="2"/>
  <c r="P149" i="2"/>
  <c r="Q149" i="2" s="1"/>
  <c r="R149" i="2" s="1"/>
  <c r="O150" i="2"/>
  <c r="P150" i="2"/>
  <c r="Q150" i="2" s="1"/>
  <c r="R150" i="2" s="1"/>
  <c r="O151" i="2"/>
  <c r="P151" i="2"/>
  <c r="Q151" i="2" s="1"/>
  <c r="R151" i="2" s="1"/>
  <c r="O152" i="2"/>
  <c r="P152" i="2"/>
  <c r="Q152" i="2"/>
  <c r="R152" i="2" s="1"/>
  <c r="O153" i="2"/>
  <c r="P153" i="2"/>
  <c r="Q153" i="2" s="1"/>
  <c r="R153" i="2" s="1"/>
  <c r="O154" i="2"/>
  <c r="P154" i="2"/>
  <c r="Q154" i="2"/>
  <c r="R154" i="2" s="1"/>
  <c r="O155" i="2"/>
  <c r="P155" i="2"/>
  <c r="Q155" i="2" s="1"/>
  <c r="R155" i="2" s="1"/>
  <c r="O156" i="2"/>
  <c r="P156" i="2"/>
  <c r="Q156" i="2"/>
  <c r="R156" i="2" s="1"/>
  <c r="O157" i="2"/>
  <c r="P157" i="2"/>
  <c r="Q157" i="2" s="1"/>
  <c r="R157" i="2" s="1"/>
  <c r="O158" i="2"/>
  <c r="P158" i="2"/>
  <c r="Q158" i="2"/>
  <c r="R158" i="2" s="1"/>
  <c r="O159" i="2"/>
  <c r="P159" i="2"/>
  <c r="Q159" i="2" s="1"/>
  <c r="R159" i="2" s="1"/>
  <c r="O160" i="2"/>
  <c r="P160" i="2"/>
  <c r="Q160" i="2"/>
  <c r="R160" i="2" s="1"/>
  <c r="O161" i="2"/>
  <c r="P161" i="2"/>
  <c r="Q161" i="2" s="1"/>
  <c r="R161" i="2" s="1"/>
  <c r="O162" i="2"/>
  <c r="P162" i="2"/>
  <c r="Q162" i="2"/>
  <c r="R162" i="2" s="1"/>
  <c r="O163" i="2"/>
  <c r="P163" i="2"/>
  <c r="Q163" i="2" s="1"/>
  <c r="R163" i="2" s="1"/>
  <c r="O164" i="2"/>
  <c r="P164" i="2"/>
  <c r="Q164" i="2"/>
  <c r="R164" i="2" s="1"/>
  <c r="O165" i="2"/>
  <c r="P165" i="2"/>
  <c r="Q165" i="2" s="1"/>
  <c r="R165" i="2" s="1"/>
  <c r="K116" i="2"/>
  <c r="K117" i="2"/>
  <c r="K118" i="2"/>
  <c r="K119" i="2"/>
  <c r="K120" i="2"/>
  <c r="K121" i="2"/>
  <c r="M121" i="2" s="1"/>
  <c r="K115" i="2"/>
  <c r="M117" i="2"/>
  <c r="M119" i="2"/>
  <c r="M116" i="2"/>
  <c r="M118" i="2"/>
  <c r="M120" i="2"/>
  <c r="M11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10" i="2"/>
  <c r="M111" i="2"/>
  <c r="M112" i="2"/>
  <c r="M113" i="2"/>
  <c r="M114" i="2"/>
  <c r="M95" i="2"/>
  <c r="P104" i="2"/>
  <c r="Q104" i="2" s="1"/>
  <c r="R104" i="2" s="1"/>
  <c r="O104" i="2"/>
  <c r="O119" i="2"/>
  <c r="P119" i="2" s="1"/>
  <c r="Q119" i="2" s="1"/>
  <c r="R119" i="2" s="1"/>
  <c r="O118" i="2"/>
  <c r="P118" i="2" s="1"/>
  <c r="Q118" i="2" s="1"/>
  <c r="R118" i="2" s="1"/>
  <c r="O117" i="2"/>
  <c r="P117" i="2" s="1"/>
  <c r="Q117" i="2" s="1"/>
  <c r="R117" i="2" s="1"/>
  <c r="O116" i="2"/>
  <c r="P116" i="2" s="1"/>
  <c r="Q116" i="2" s="1"/>
  <c r="R116" i="2" s="1"/>
  <c r="O115" i="2"/>
  <c r="P115" i="2" s="1"/>
  <c r="Q115" i="2" s="1"/>
  <c r="R115" i="2" s="1"/>
  <c r="O114" i="2"/>
  <c r="P114" i="2" s="1"/>
  <c r="Q114" i="2" s="1"/>
  <c r="R114" i="2" s="1"/>
  <c r="O113" i="2"/>
  <c r="P113" i="2" s="1"/>
  <c r="Q113" i="2" s="1"/>
  <c r="R113" i="2" s="1"/>
  <c r="O103" i="2"/>
  <c r="P103" i="2" s="1"/>
  <c r="Q103" i="2" s="1"/>
  <c r="R103" i="2" s="1"/>
  <c r="O102" i="2"/>
  <c r="P102" i="2" s="1"/>
  <c r="Q102" i="2" s="1"/>
  <c r="R102" i="2" s="1"/>
  <c r="K78" i="2"/>
  <c r="K77" i="2"/>
  <c r="K76" i="2"/>
  <c r="K75" i="2"/>
  <c r="K74" i="2"/>
  <c r="K87" i="2"/>
  <c r="M87" i="2" s="1"/>
  <c r="K86" i="2"/>
  <c r="M86" i="2" s="1"/>
  <c r="K85" i="2"/>
  <c r="M85" i="2" s="1"/>
  <c r="K84" i="2"/>
  <c r="M84" i="2" s="1"/>
  <c r="K83" i="2"/>
  <c r="M83" i="2" s="1"/>
  <c r="K82" i="2"/>
  <c r="M82" i="2" s="1"/>
  <c r="K81" i="2"/>
  <c r="M81" i="2" s="1"/>
  <c r="K80" i="2"/>
  <c r="M80" i="2" s="1"/>
  <c r="K79" i="2"/>
  <c r="M79" i="2" s="1"/>
  <c r="O76" i="2"/>
  <c r="P76" i="2" s="1"/>
  <c r="Q76" i="2" s="1"/>
  <c r="R76" i="2" s="1"/>
  <c r="O77" i="2"/>
  <c r="P77" i="2" s="1"/>
  <c r="Q77" i="2" s="1"/>
  <c r="R77" i="2" s="1"/>
  <c r="O78" i="2"/>
  <c r="P78" i="2" s="1"/>
  <c r="Q78" i="2" s="1"/>
  <c r="R78" i="2" s="1"/>
  <c r="O79" i="2"/>
  <c r="P79" i="2" s="1"/>
  <c r="Q79" i="2" s="1"/>
  <c r="R79" i="2" s="1"/>
  <c r="O80" i="2"/>
  <c r="P80" i="2" s="1"/>
  <c r="Q80" i="2" s="1"/>
  <c r="R80" i="2" s="1"/>
  <c r="O81" i="2"/>
  <c r="P81" i="2" s="1"/>
  <c r="Q81" i="2" s="1"/>
  <c r="R81" i="2" s="1"/>
  <c r="O82" i="2"/>
  <c r="P82" i="2" s="1"/>
  <c r="Q82" i="2" s="1"/>
  <c r="R82" i="2" s="1"/>
  <c r="O83" i="2"/>
  <c r="P83" i="2" s="1"/>
  <c r="Q83" i="2" s="1"/>
  <c r="R83" i="2" s="1"/>
  <c r="O84" i="2"/>
  <c r="P84" i="2" s="1"/>
  <c r="Q84" i="2" s="1"/>
  <c r="R84" i="2" s="1"/>
  <c r="O85" i="2"/>
  <c r="P85" i="2" s="1"/>
  <c r="Q85" i="2" s="1"/>
  <c r="R85" i="2" s="1"/>
  <c r="O86" i="2"/>
  <c r="P86" i="2" s="1"/>
  <c r="Q86" i="2" s="1"/>
  <c r="R86" i="2" s="1"/>
  <c r="O87" i="2"/>
  <c r="P87" i="2" s="1"/>
  <c r="Q87" i="2" s="1"/>
  <c r="R87" i="2" s="1"/>
  <c r="O88" i="2"/>
  <c r="P88" i="2" s="1"/>
  <c r="Q88" i="2" s="1"/>
  <c r="R88" i="2" s="1"/>
  <c r="O89" i="2"/>
  <c r="P89" i="2" s="1"/>
  <c r="Q89" i="2" s="1"/>
  <c r="R89" i="2" s="1"/>
  <c r="O90" i="2"/>
  <c r="P90" i="2" s="1"/>
  <c r="Q90" i="2" s="1"/>
  <c r="R90" i="2" s="1"/>
  <c r="O91" i="2"/>
  <c r="P91" i="2" s="1"/>
  <c r="Q91" i="2" s="1"/>
  <c r="R91" i="2" s="1"/>
  <c r="O92" i="2"/>
  <c r="P92" i="2" s="1"/>
  <c r="Q92" i="2" s="1"/>
  <c r="R92" i="2" s="1"/>
  <c r="O93" i="2"/>
  <c r="P93" i="2" s="1"/>
  <c r="Q93" i="2" s="1"/>
  <c r="R93" i="2" s="1"/>
  <c r="O94" i="2"/>
  <c r="P94" i="2" s="1"/>
  <c r="Q94" i="2" s="1"/>
  <c r="R94" i="2" s="1"/>
  <c r="O95" i="2"/>
  <c r="P95" i="2" s="1"/>
  <c r="Q95" i="2" s="1"/>
  <c r="R95" i="2" s="1"/>
  <c r="O96" i="2"/>
  <c r="P96" i="2" s="1"/>
  <c r="Q96" i="2" s="1"/>
  <c r="R96" i="2" s="1"/>
  <c r="O97" i="2"/>
  <c r="P97" i="2" s="1"/>
  <c r="Q97" i="2" s="1"/>
  <c r="R97" i="2" s="1"/>
  <c r="O98" i="2"/>
  <c r="P98" i="2" s="1"/>
  <c r="Q98" i="2" s="1"/>
  <c r="R98" i="2" s="1"/>
  <c r="O99" i="2"/>
  <c r="P99" i="2" s="1"/>
  <c r="Q99" i="2" s="1"/>
  <c r="R99" i="2" s="1"/>
  <c r="O100" i="2"/>
  <c r="P100" i="2" s="1"/>
  <c r="Q100" i="2" s="1"/>
  <c r="R100" i="2" s="1"/>
  <c r="O101" i="2"/>
  <c r="P101" i="2" s="1"/>
  <c r="Q101" i="2" s="1"/>
  <c r="R101" i="2" s="1"/>
  <c r="O108" i="2"/>
  <c r="P108" i="2" s="1"/>
  <c r="Q108" i="2" s="1"/>
  <c r="R108" i="2" s="1"/>
  <c r="O109" i="2"/>
  <c r="P109" i="2" s="1"/>
  <c r="Q109" i="2" s="1"/>
  <c r="R109" i="2" s="1"/>
  <c r="O110" i="2"/>
  <c r="P110" i="2" s="1"/>
  <c r="Q110" i="2" s="1"/>
  <c r="R110" i="2" s="1"/>
  <c r="O111" i="2"/>
  <c r="P111" i="2" s="1"/>
  <c r="Q111" i="2" s="1"/>
  <c r="R111" i="2" s="1"/>
  <c r="O112" i="2"/>
  <c r="P112" i="2" s="1"/>
  <c r="Q112" i="2" s="1"/>
  <c r="R112" i="2" s="1"/>
  <c r="O120" i="2"/>
  <c r="P120" i="2" s="1"/>
  <c r="Q120" i="2" s="1"/>
  <c r="R120" i="2" s="1"/>
  <c r="O121" i="2"/>
  <c r="P121" i="2" s="1"/>
  <c r="Q121" i="2" s="1"/>
  <c r="R121" i="2" s="1"/>
  <c r="O122" i="2"/>
  <c r="P122" i="2" s="1"/>
  <c r="Q122" i="2" s="1"/>
  <c r="R122" i="2" s="1"/>
  <c r="O123" i="2"/>
  <c r="P123" i="2" s="1"/>
  <c r="Q123" i="2" s="1"/>
  <c r="R123" i="2" s="1"/>
  <c r="O124" i="2"/>
  <c r="P124" i="2" s="1"/>
  <c r="Q124" i="2" s="1"/>
  <c r="R124" i="2" s="1"/>
  <c r="K73" i="2"/>
  <c r="M73" i="2" s="1"/>
  <c r="K72" i="2"/>
  <c r="M72" i="2" s="1"/>
  <c r="K71" i="2"/>
  <c r="M71" i="2" s="1"/>
  <c r="K70" i="2"/>
  <c r="M70" i="2" s="1"/>
  <c r="K69" i="2"/>
  <c r="M69" i="2" s="1"/>
  <c r="K68" i="2"/>
  <c r="M68" i="2" s="1"/>
  <c r="K67" i="2"/>
  <c r="M67" i="2" s="1"/>
  <c r="K66" i="2"/>
  <c r="M66" i="2" s="1"/>
  <c r="K65" i="2"/>
  <c r="M65" i="2" s="1"/>
  <c r="K64" i="2"/>
  <c r="M64" i="2" s="1"/>
  <c r="M93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65" i="10"/>
  <c r="K54" i="11"/>
  <c r="M54" i="11" s="1"/>
  <c r="K53" i="11"/>
  <c r="M53" i="11" s="1"/>
  <c r="K52" i="11"/>
  <c r="M52" i="11" s="1"/>
  <c r="K51" i="11"/>
  <c r="M51" i="11" s="1"/>
  <c r="K50" i="11"/>
  <c r="M50" i="11" s="1"/>
  <c r="K49" i="11"/>
  <c r="M49" i="11" s="1"/>
  <c r="K48" i="11"/>
  <c r="M48" i="11" s="1"/>
  <c r="K47" i="11"/>
  <c r="M47" i="11" s="1"/>
  <c r="K46" i="11"/>
  <c r="M46" i="11" s="1"/>
  <c r="K45" i="11"/>
  <c r="M45" i="11" s="1"/>
  <c r="K44" i="11"/>
  <c r="M44" i="11" s="1"/>
  <c r="K43" i="11"/>
  <c r="M43" i="11" s="1"/>
  <c r="K42" i="11"/>
  <c r="M42" i="11" s="1"/>
  <c r="K41" i="11"/>
  <c r="M41" i="11" s="1"/>
  <c r="K40" i="11"/>
  <c r="M40" i="11" s="1"/>
  <c r="K39" i="11"/>
  <c r="M39" i="11" s="1"/>
  <c r="K38" i="11"/>
  <c r="M38" i="11" s="1"/>
  <c r="K37" i="11"/>
  <c r="M37" i="11" s="1"/>
  <c r="K36" i="11"/>
  <c r="M36" i="11" s="1"/>
  <c r="K35" i="11"/>
  <c r="M35" i="11" s="1"/>
  <c r="K34" i="11"/>
  <c r="M34" i="11" s="1"/>
  <c r="K33" i="11"/>
  <c r="M33" i="11" s="1"/>
  <c r="K32" i="11"/>
  <c r="M32" i="11" s="1"/>
  <c r="K31" i="11"/>
  <c r="M31" i="11" s="1"/>
  <c r="K30" i="11"/>
  <c r="M30" i="11" s="1"/>
  <c r="K29" i="11"/>
  <c r="M29" i="11" s="1"/>
  <c r="K28" i="11"/>
  <c r="M28" i="11" s="1"/>
  <c r="K64" i="10"/>
  <c r="M64" i="10" s="1"/>
  <c r="K63" i="10"/>
  <c r="M63" i="10" s="1"/>
  <c r="K62" i="10"/>
  <c r="M62" i="10" s="1"/>
  <c r="K61" i="10"/>
  <c r="M61" i="10" s="1"/>
  <c r="K60" i="10"/>
  <c r="M60" i="10" s="1"/>
  <c r="K59" i="10"/>
  <c r="M59" i="10" s="1"/>
  <c r="K58" i="10"/>
  <c r="M58" i="10" s="1"/>
  <c r="K57" i="10"/>
  <c r="M57" i="10" s="1"/>
  <c r="K56" i="10"/>
  <c r="M56" i="10" s="1"/>
  <c r="K55" i="10"/>
  <c r="M55" i="10" s="1"/>
  <c r="K54" i="10"/>
  <c r="M54" i="10" s="1"/>
  <c r="K53" i="10"/>
  <c r="M53" i="10" s="1"/>
  <c r="K52" i="10"/>
  <c r="M52" i="10" s="1"/>
  <c r="K51" i="10"/>
  <c r="M51" i="10" s="1"/>
  <c r="K50" i="10"/>
  <c r="M50" i="10" s="1"/>
  <c r="K49" i="10"/>
  <c r="M49" i="10" s="1"/>
  <c r="K48" i="10"/>
  <c r="M48" i="10" s="1"/>
  <c r="K47" i="10"/>
  <c r="M47" i="10" s="1"/>
  <c r="K46" i="10"/>
  <c r="M46" i="10" s="1"/>
  <c r="K45" i="10"/>
  <c r="M45" i="10" s="1"/>
  <c r="K44" i="10"/>
  <c r="M44" i="10" s="1"/>
  <c r="K43" i="10"/>
  <c r="M43" i="10" s="1"/>
  <c r="K42" i="10"/>
  <c r="M42" i="10" s="1"/>
  <c r="K41" i="10"/>
  <c r="M41" i="10" s="1"/>
  <c r="K40" i="10"/>
  <c r="M40" i="10" s="1"/>
  <c r="K39" i="10"/>
  <c r="M39" i="10" s="1"/>
  <c r="K38" i="10"/>
  <c r="M38" i="10" s="1"/>
  <c r="K37" i="10"/>
  <c r="M37" i="10" s="1"/>
  <c r="K36" i="10"/>
  <c r="M36" i="10" s="1"/>
  <c r="K35" i="10"/>
  <c r="M35" i="10" s="1"/>
  <c r="K34" i="10"/>
  <c r="M34" i="10" s="1"/>
  <c r="K33" i="10"/>
  <c r="M33" i="10" s="1"/>
  <c r="K32" i="10"/>
  <c r="M32" i="10" s="1"/>
  <c r="K31" i="10"/>
  <c r="M31" i="10" s="1"/>
  <c r="K30" i="10"/>
  <c r="M30" i="10" s="1"/>
  <c r="K29" i="10"/>
  <c r="M29" i="10" s="1"/>
  <c r="K28" i="10"/>
  <c r="M28" i="10" s="1"/>
  <c r="K27" i="10"/>
  <c r="M27" i="10" s="1"/>
  <c r="K58" i="9"/>
  <c r="M58" i="9" s="1"/>
  <c r="K57" i="9"/>
  <c r="M57" i="9" s="1"/>
  <c r="K56" i="9"/>
  <c r="M56" i="9" s="1"/>
  <c r="K55" i="9"/>
  <c r="M55" i="9" s="1"/>
  <c r="K54" i="9"/>
  <c r="M54" i="9" s="1"/>
  <c r="K53" i="9"/>
  <c r="M53" i="9" s="1"/>
  <c r="K52" i="9"/>
  <c r="M52" i="9" s="1"/>
  <c r="K51" i="9"/>
  <c r="M51" i="9" s="1"/>
  <c r="K50" i="9"/>
  <c r="M50" i="9" s="1"/>
  <c r="K49" i="9"/>
  <c r="M49" i="9" s="1"/>
  <c r="K48" i="9"/>
  <c r="M48" i="9" s="1"/>
  <c r="K47" i="9"/>
  <c r="M47" i="9" s="1"/>
  <c r="K46" i="9"/>
  <c r="M46" i="9" s="1"/>
  <c r="K45" i="9"/>
  <c r="M45" i="9" s="1"/>
  <c r="K44" i="9"/>
  <c r="M44" i="9" s="1"/>
  <c r="K43" i="9"/>
  <c r="M43" i="9" s="1"/>
  <c r="K42" i="9"/>
  <c r="M42" i="9" s="1"/>
  <c r="K41" i="9"/>
  <c r="M41" i="9" s="1"/>
  <c r="K40" i="9"/>
  <c r="M40" i="9" s="1"/>
  <c r="K39" i="9"/>
  <c r="M39" i="9" s="1"/>
  <c r="K38" i="9"/>
  <c r="M38" i="9" s="1"/>
  <c r="K37" i="9"/>
  <c r="M37" i="9" s="1"/>
  <c r="K36" i="9"/>
  <c r="M36" i="9" s="1"/>
  <c r="K35" i="9"/>
  <c r="M35" i="9" s="1"/>
  <c r="K34" i="9"/>
  <c r="M34" i="9" s="1"/>
  <c r="K33" i="9"/>
  <c r="M33" i="9" s="1"/>
  <c r="K32" i="9"/>
  <c r="M32" i="9" s="1"/>
  <c r="K31" i="9"/>
  <c r="M31" i="9" s="1"/>
  <c r="K30" i="9"/>
  <c r="M30" i="9" s="1"/>
  <c r="K29" i="9"/>
  <c r="M29" i="9" s="1"/>
  <c r="K28" i="9"/>
  <c r="M28" i="9" s="1"/>
  <c r="K60" i="8"/>
  <c r="M60" i="8" s="1"/>
  <c r="K59" i="8"/>
  <c r="M59" i="8" s="1"/>
  <c r="K58" i="8"/>
  <c r="M58" i="8" s="1"/>
  <c r="K57" i="8"/>
  <c r="M57" i="8" s="1"/>
  <c r="K56" i="8"/>
  <c r="M56" i="8" s="1"/>
  <c r="K55" i="8"/>
  <c r="M55" i="8" s="1"/>
  <c r="K54" i="8"/>
  <c r="M54" i="8" s="1"/>
  <c r="K53" i="8"/>
  <c r="M53" i="8" s="1"/>
  <c r="K52" i="8"/>
  <c r="M52" i="8" s="1"/>
  <c r="K51" i="8"/>
  <c r="M51" i="8" s="1"/>
  <c r="K50" i="8"/>
  <c r="M50" i="8" s="1"/>
  <c r="K49" i="8"/>
  <c r="M49" i="8" s="1"/>
  <c r="K48" i="8"/>
  <c r="M48" i="8" s="1"/>
  <c r="K47" i="8"/>
  <c r="M47" i="8" s="1"/>
  <c r="K46" i="8"/>
  <c r="M46" i="8" s="1"/>
  <c r="K45" i="8"/>
  <c r="M45" i="8" s="1"/>
  <c r="K44" i="8"/>
  <c r="M44" i="8" s="1"/>
  <c r="K43" i="8"/>
  <c r="M43" i="8" s="1"/>
  <c r="K42" i="8"/>
  <c r="M42" i="8" s="1"/>
  <c r="K41" i="8"/>
  <c r="M41" i="8" s="1"/>
  <c r="M40" i="8"/>
  <c r="K40" i="8"/>
  <c r="K39" i="8"/>
  <c r="M39" i="8" s="1"/>
  <c r="K38" i="8"/>
  <c r="M38" i="8" s="1"/>
  <c r="M37" i="8"/>
  <c r="K37" i="8"/>
  <c r="K36" i="8"/>
  <c r="M36" i="8" s="1"/>
  <c r="K35" i="8"/>
  <c r="M35" i="8" s="1"/>
  <c r="K34" i="8"/>
  <c r="M34" i="8" s="1"/>
  <c r="K33" i="8"/>
  <c r="M33" i="8" s="1"/>
  <c r="K32" i="8"/>
  <c r="M32" i="8" s="1"/>
  <c r="K31" i="8"/>
  <c r="M31" i="8" s="1"/>
  <c r="K30" i="8"/>
  <c r="M30" i="8" s="1"/>
  <c r="K29" i="8"/>
  <c r="M29" i="8" s="1"/>
  <c r="K28" i="8"/>
  <c r="M28" i="8" s="1"/>
  <c r="K27" i="8"/>
  <c r="M27" i="8" s="1"/>
  <c r="K58" i="7"/>
  <c r="M58" i="7" s="1"/>
  <c r="K57" i="7"/>
  <c r="M57" i="7" s="1"/>
  <c r="K56" i="7"/>
  <c r="M56" i="7" s="1"/>
  <c r="K55" i="7"/>
  <c r="M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M47" i="7" s="1"/>
  <c r="K46" i="7"/>
  <c r="M46" i="7" s="1"/>
  <c r="K45" i="7"/>
  <c r="M45" i="7" s="1"/>
  <c r="K44" i="7"/>
  <c r="M44" i="7" s="1"/>
  <c r="K43" i="7"/>
  <c r="M43" i="7" s="1"/>
  <c r="K42" i="7"/>
  <c r="M42" i="7" s="1"/>
  <c r="K41" i="7"/>
  <c r="M41" i="7" s="1"/>
  <c r="K40" i="7"/>
  <c r="M40" i="7" s="1"/>
  <c r="K39" i="7"/>
  <c r="M39" i="7" s="1"/>
  <c r="K38" i="7"/>
  <c r="M38" i="7" s="1"/>
  <c r="K37" i="7"/>
  <c r="M37" i="7" s="1"/>
  <c r="K36" i="7"/>
  <c r="M36" i="7" s="1"/>
  <c r="K35" i="7"/>
  <c r="M35" i="7" s="1"/>
  <c r="K34" i="7"/>
  <c r="M34" i="7" s="1"/>
  <c r="K33" i="7"/>
  <c r="M33" i="7" s="1"/>
  <c r="K32" i="7"/>
  <c r="M32" i="7" s="1"/>
  <c r="K31" i="7"/>
  <c r="M31" i="7" s="1"/>
  <c r="K30" i="7"/>
  <c r="M30" i="7" s="1"/>
  <c r="K29" i="7"/>
  <c r="M29" i="7" s="1"/>
  <c r="K59" i="6"/>
  <c r="M59" i="6" s="1"/>
  <c r="K58" i="6"/>
  <c r="M58" i="6" s="1"/>
  <c r="K57" i="6"/>
  <c r="M57" i="6" s="1"/>
  <c r="K56" i="6"/>
  <c r="M56" i="6" s="1"/>
  <c r="K55" i="6"/>
  <c r="M55" i="6" s="1"/>
  <c r="K54" i="6"/>
  <c r="M54" i="6" s="1"/>
  <c r="K53" i="6"/>
  <c r="M53" i="6" s="1"/>
  <c r="K52" i="6"/>
  <c r="M52" i="6" s="1"/>
  <c r="K51" i="6"/>
  <c r="M51" i="6" s="1"/>
  <c r="K50" i="6"/>
  <c r="M50" i="6" s="1"/>
  <c r="K49" i="6"/>
  <c r="M49" i="6" s="1"/>
  <c r="K48" i="6"/>
  <c r="M48" i="6" s="1"/>
  <c r="K47" i="6"/>
  <c r="M47" i="6" s="1"/>
  <c r="K46" i="6"/>
  <c r="M46" i="6" s="1"/>
  <c r="K45" i="6"/>
  <c r="M45" i="6" s="1"/>
  <c r="K44" i="6"/>
  <c r="M44" i="6" s="1"/>
  <c r="K43" i="6"/>
  <c r="M43" i="6" s="1"/>
  <c r="K42" i="6"/>
  <c r="M42" i="6" s="1"/>
  <c r="K41" i="6"/>
  <c r="M41" i="6" s="1"/>
  <c r="K40" i="6"/>
  <c r="M40" i="6" s="1"/>
  <c r="K39" i="6"/>
  <c r="M39" i="6" s="1"/>
  <c r="K38" i="6"/>
  <c r="M38" i="6" s="1"/>
  <c r="K37" i="6"/>
  <c r="M37" i="6" s="1"/>
  <c r="K36" i="6"/>
  <c r="M36" i="6" s="1"/>
  <c r="K35" i="6"/>
  <c r="M35" i="6" s="1"/>
  <c r="K34" i="6"/>
  <c r="M34" i="6" s="1"/>
  <c r="K33" i="6"/>
  <c r="M33" i="6" s="1"/>
  <c r="K32" i="6"/>
  <c r="M32" i="6" s="1"/>
  <c r="K31" i="6"/>
  <c r="M31" i="6" s="1"/>
  <c r="K30" i="6"/>
  <c r="M30" i="6" s="1"/>
  <c r="K29" i="6"/>
  <c r="M29" i="6" s="1"/>
  <c r="K55" i="5"/>
  <c r="M55" i="5" s="1"/>
  <c r="K54" i="5"/>
  <c r="M54" i="5" s="1"/>
  <c r="K53" i="5"/>
  <c r="M53" i="5" s="1"/>
  <c r="K52" i="5"/>
  <c r="M52" i="5" s="1"/>
  <c r="K51" i="5"/>
  <c r="M51" i="5" s="1"/>
  <c r="K50" i="5"/>
  <c r="M50" i="5" s="1"/>
  <c r="K49" i="5"/>
  <c r="M49" i="5" s="1"/>
  <c r="K48" i="5"/>
  <c r="M48" i="5" s="1"/>
  <c r="K47" i="5"/>
  <c r="M47" i="5" s="1"/>
  <c r="K46" i="5"/>
  <c r="M46" i="5" s="1"/>
  <c r="K45" i="5"/>
  <c r="M45" i="5" s="1"/>
  <c r="K44" i="5"/>
  <c r="M44" i="5" s="1"/>
  <c r="K43" i="5"/>
  <c r="M43" i="5" s="1"/>
  <c r="K42" i="5"/>
  <c r="M42" i="5" s="1"/>
  <c r="K41" i="5"/>
  <c r="M41" i="5" s="1"/>
  <c r="K40" i="5"/>
  <c r="M40" i="5" s="1"/>
  <c r="K39" i="5"/>
  <c r="M39" i="5" s="1"/>
  <c r="K38" i="5"/>
  <c r="M38" i="5" s="1"/>
  <c r="K37" i="5"/>
  <c r="M37" i="5" s="1"/>
  <c r="K36" i="5"/>
  <c r="M36" i="5" s="1"/>
  <c r="K35" i="5"/>
  <c r="M35" i="5" s="1"/>
  <c r="K34" i="5"/>
  <c r="M34" i="5" s="1"/>
  <c r="K33" i="5"/>
  <c r="M33" i="5" s="1"/>
  <c r="K32" i="5"/>
  <c r="M32" i="5" s="1"/>
  <c r="K31" i="5"/>
  <c r="M31" i="5" s="1"/>
  <c r="K30" i="5"/>
  <c r="M30" i="5" s="1"/>
  <c r="K29" i="5"/>
  <c r="M29" i="5" s="1"/>
  <c r="K28" i="5"/>
  <c r="M28" i="5" s="1"/>
  <c r="K56" i="4"/>
  <c r="M56" i="4" s="1"/>
  <c r="M55" i="4"/>
  <c r="K55" i="4"/>
  <c r="K54" i="4"/>
  <c r="M54" i="4" s="1"/>
  <c r="K53" i="4"/>
  <c r="M53" i="4" s="1"/>
  <c r="K52" i="4"/>
  <c r="M52" i="4" s="1"/>
  <c r="K51" i="4"/>
  <c r="M51" i="4" s="1"/>
  <c r="K50" i="4"/>
  <c r="M50" i="4" s="1"/>
  <c r="K49" i="4"/>
  <c r="M49" i="4" s="1"/>
  <c r="K48" i="4"/>
  <c r="M48" i="4" s="1"/>
  <c r="K47" i="4"/>
  <c r="M47" i="4" s="1"/>
  <c r="K46" i="4"/>
  <c r="M46" i="4" s="1"/>
  <c r="K45" i="4"/>
  <c r="M45" i="4" s="1"/>
  <c r="K44" i="4"/>
  <c r="M44" i="4" s="1"/>
  <c r="K43" i="4"/>
  <c r="M43" i="4" s="1"/>
  <c r="K42" i="4"/>
  <c r="M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M34" i="4" s="1"/>
  <c r="K33" i="4"/>
  <c r="M33" i="4" s="1"/>
  <c r="K32" i="4"/>
  <c r="M32" i="4" s="1"/>
  <c r="K31" i="4"/>
  <c r="M31" i="4" s="1"/>
  <c r="K30" i="4"/>
  <c r="M30" i="4" s="1"/>
  <c r="K29" i="4"/>
  <c r="M29" i="4" s="1"/>
  <c r="K57" i="3"/>
  <c r="M57" i="3" s="1"/>
  <c r="K56" i="3"/>
  <c r="M56" i="3" s="1"/>
  <c r="K55" i="3"/>
  <c r="M55" i="3" s="1"/>
  <c r="K54" i="3"/>
  <c r="M54" i="3" s="1"/>
  <c r="K53" i="3"/>
  <c r="M53" i="3" s="1"/>
  <c r="K52" i="3"/>
  <c r="M52" i="3" s="1"/>
  <c r="K51" i="3"/>
  <c r="M51" i="3" s="1"/>
  <c r="K50" i="3"/>
  <c r="M50" i="3" s="1"/>
  <c r="K49" i="3"/>
  <c r="M49" i="3" s="1"/>
  <c r="K48" i="3"/>
  <c r="M48" i="3" s="1"/>
  <c r="K47" i="3"/>
  <c r="M47" i="3" s="1"/>
  <c r="K46" i="3"/>
  <c r="M46" i="3" s="1"/>
  <c r="K45" i="3"/>
  <c r="M45" i="3" s="1"/>
  <c r="K44" i="3"/>
  <c r="M44" i="3" s="1"/>
  <c r="K43" i="3"/>
  <c r="M43" i="3" s="1"/>
  <c r="K42" i="3"/>
  <c r="M42" i="3" s="1"/>
  <c r="K41" i="3"/>
  <c r="M41" i="3" s="1"/>
  <c r="K40" i="3"/>
  <c r="M40" i="3" s="1"/>
  <c r="K39" i="3"/>
  <c r="M39" i="3" s="1"/>
  <c r="K38" i="3"/>
  <c r="M38" i="3" s="1"/>
  <c r="K37" i="3"/>
  <c r="M37" i="3" s="1"/>
  <c r="K36" i="3"/>
  <c r="M36" i="3" s="1"/>
  <c r="K35" i="3"/>
  <c r="M35" i="3" s="1"/>
  <c r="K34" i="3"/>
  <c r="M34" i="3" s="1"/>
  <c r="K33" i="3"/>
  <c r="M33" i="3" s="1"/>
  <c r="K32" i="3"/>
  <c r="M32" i="3" s="1"/>
  <c r="K31" i="3"/>
  <c r="M31" i="3" s="1"/>
  <c r="K30" i="3"/>
  <c r="M30" i="3" s="1"/>
  <c r="K29" i="3"/>
  <c r="M29" i="3" s="1"/>
  <c r="K28" i="3"/>
  <c r="M28" i="3" s="1"/>
  <c r="K27" i="3"/>
  <c r="M27" i="3" s="1"/>
  <c r="M49" i="2"/>
  <c r="O49" i="2"/>
  <c r="P49" i="2" s="1"/>
  <c r="Q49" i="2" s="1"/>
  <c r="R49" i="2" s="1"/>
  <c r="K48" i="2"/>
  <c r="M48" i="2" s="1"/>
  <c r="K47" i="2"/>
  <c r="M47" i="2" s="1"/>
  <c r="K51" i="2"/>
  <c r="M51" i="2" s="1"/>
  <c r="K52" i="2"/>
  <c r="M52" i="2" s="1"/>
  <c r="K53" i="2"/>
  <c r="M53" i="2" s="1"/>
  <c r="K54" i="2"/>
  <c r="M54" i="2" s="1"/>
  <c r="K55" i="2"/>
  <c r="M55" i="2" s="1"/>
  <c r="K56" i="2"/>
  <c r="M56" i="2" s="1"/>
  <c r="K57" i="2"/>
  <c r="M57" i="2" s="1"/>
  <c r="K58" i="2"/>
  <c r="M58" i="2" s="1"/>
  <c r="K59" i="2"/>
  <c r="M59" i="2" s="1"/>
  <c r="K60" i="2"/>
  <c r="M60" i="2" s="1"/>
  <c r="K61" i="2"/>
  <c r="M61" i="2" s="1"/>
  <c r="K62" i="2"/>
  <c r="M62" i="2" s="1"/>
  <c r="K63" i="2"/>
  <c r="M63" i="2" s="1"/>
  <c r="K50" i="2"/>
  <c r="M50" i="2" s="1"/>
  <c r="K29" i="2"/>
  <c r="M29" i="2" s="1"/>
  <c r="K30" i="2"/>
  <c r="M30" i="2" s="1"/>
  <c r="K31" i="2"/>
  <c r="M31" i="2" s="1"/>
  <c r="K32" i="2"/>
  <c r="M32" i="2" s="1"/>
  <c r="K33" i="2"/>
  <c r="M33" i="2" s="1"/>
  <c r="K34" i="2"/>
  <c r="M34" i="2" s="1"/>
  <c r="K35" i="2"/>
  <c r="M35" i="2" s="1"/>
  <c r="K36" i="2"/>
  <c r="M36" i="2" s="1"/>
  <c r="K37" i="2"/>
  <c r="M37" i="2" s="1"/>
  <c r="K38" i="2"/>
  <c r="M38" i="2" s="1"/>
  <c r="K39" i="2"/>
  <c r="M39" i="2" s="1"/>
  <c r="K40" i="2"/>
  <c r="M40" i="2" s="1"/>
  <c r="K41" i="2"/>
  <c r="M41" i="2" s="1"/>
  <c r="K42" i="2"/>
  <c r="M42" i="2" s="1"/>
  <c r="K43" i="2"/>
  <c r="M43" i="2" s="1"/>
  <c r="K44" i="2"/>
  <c r="M44" i="2" s="1"/>
  <c r="K45" i="2"/>
  <c r="M45" i="2" s="1"/>
  <c r="K46" i="2"/>
  <c r="M46" i="2" s="1"/>
  <c r="K28" i="2"/>
  <c r="M28" i="2" s="1"/>
  <c r="K27" i="2"/>
  <c r="M27" i="2" s="1"/>
  <c r="K186" i="12"/>
  <c r="M186" i="12" s="1"/>
  <c r="K187" i="12"/>
  <c r="M187" i="12" s="1"/>
  <c r="K188" i="12"/>
  <c r="M188" i="12" s="1"/>
  <c r="K189" i="12"/>
  <c r="M189" i="12" s="1"/>
  <c r="K190" i="12"/>
  <c r="M190" i="12" s="1"/>
  <c r="K191" i="12"/>
  <c r="M191" i="12" s="1"/>
  <c r="K192" i="12"/>
  <c r="M192" i="12" s="1"/>
  <c r="K193" i="12"/>
  <c r="M193" i="12" s="1"/>
  <c r="K194" i="12"/>
  <c r="M194" i="12" s="1"/>
  <c r="K195" i="12"/>
  <c r="M195" i="12" s="1"/>
  <c r="K196" i="12"/>
  <c r="M196" i="12" s="1"/>
  <c r="K197" i="12"/>
  <c r="M197" i="12" s="1"/>
  <c r="K198" i="12"/>
  <c r="M198" i="12" s="1"/>
  <c r="K199" i="12"/>
  <c r="M199" i="12" s="1"/>
  <c r="K200" i="12"/>
  <c r="M200" i="12" s="1"/>
  <c r="K201" i="12"/>
  <c r="M201" i="12" s="1"/>
  <c r="K185" i="12"/>
  <c r="M185" i="12" s="1"/>
  <c r="K166" i="12"/>
  <c r="M166" i="12" s="1"/>
  <c r="K167" i="12"/>
  <c r="M167" i="12" s="1"/>
  <c r="K168" i="12"/>
  <c r="M168" i="12" s="1"/>
  <c r="K169" i="12"/>
  <c r="M169" i="12" s="1"/>
  <c r="K170" i="12"/>
  <c r="M170" i="12" s="1"/>
  <c r="K171" i="12"/>
  <c r="M171" i="12" s="1"/>
  <c r="K172" i="12"/>
  <c r="M172" i="12" s="1"/>
  <c r="K173" i="12"/>
  <c r="M173" i="12" s="1"/>
  <c r="K174" i="12"/>
  <c r="M174" i="12" s="1"/>
  <c r="K175" i="12"/>
  <c r="M175" i="12" s="1"/>
  <c r="K176" i="12"/>
  <c r="M176" i="12" s="1"/>
  <c r="K177" i="12"/>
  <c r="M177" i="12" s="1"/>
  <c r="K178" i="12"/>
  <c r="M178" i="12" s="1"/>
  <c r="K179" i="12"/>
  <c r="M179" i="12" s="1"/>
  <c r="K180" i="12"/>
  <c r="M180" i="12" s="1"/>
  <c r="K181" i="12"/>
  <c r="M181" i="12" s="1"/>
  <c r="K182" i="12"/>
  <c r="M182" i="12" s="1"/>
  <c r="K183" i="12"/>
  <c r="M183" i="12" s="1"/>
  <c r="K165" i="12"/>
  <c r="M165" i="12" s="1"/>
  <c r="K184" i="12"/>
  <c r="M184" i="12" s="1"/>
  <c r="K164" i="12"/>
  <c r="M164" i="12" s="1"/>
  <c r="K163" i="12"/>
  <c r="M163" i="12" s="1"/>
  <c r="M473" i="13" l="1"/>
  <c r="M540" i="13"/>
  <c r="M552" i="13"/>
  <c r="M548" i="13"/>
  <c r="P22" i="13"/>
  <c r="Q22" i="13" s="1"/>
  <c r="R22" i="13" s="1"/>
  <c r="S327" i="13"/>
  <c r="S291" i="13"/>
  <c r="S257" i="13"/>
  <c r="M674" i="13"/>
  <c r="M538" i="13"/>
  <c r="M555" i="13"/>
  <c r="M551" i="13"/>
  <c r="M631" i="13"/>
  <c r="M635" i="13"/>
  <c r="M513" i="13"/>
  <c r="M517" i="13"/>
  <c r="M651" i="13"/>
  <c r="M297" i="13"/>
  <c r="S299" i="13" s="1"/>
  <c r="M637" i="13"/>
  <c r="S276" i="13"/>
  <c r="M562" i="13"/>
  <c r="S562" i="13" s="1"/>
  <c r="M624" i="13"/>
  <c r="S289" i="13"/>
  <c r="M597" i="13"/>
  <c r="M566" i="13"/>
  <c r="M560" i="13"/>
  <c r="M545" i="13"/>
  <c r="M660" i="13"/>
  <c r="M656" i="13"/>
  <c r="S255" i="13"/>
  <c r="S287" i="13"/>
  <c r="M612" i="13"/>
  <c r="M648" i="13"/>
  <c r="M673" i="13"/>
  <c r="M665" i="13"/>
  <c r="M661" i="13"/>
  <c r="M677" i="13"/>
  <c r="M680" i="13"/>
  <c r="S231" i="13"/>
  <c r="S246" i="13"/>
  <c r="M636" i="13"/>
  <c r="M632" i="13"/>
  <c r="M647" i="13"/>
  <c r="M740" i="13"/>
  <c r="S236" i="13"/>
  <c r="S240" i="13"/>
  <c r="S220" i="13"/>
  <c r="S268" i="13"/>
  <c r="M546" i="13"/>
  <c r="M670" i="13"/>
  <c r="M470" i="13"/>
  <c r="M537" i="13"/>
  <c r="M649" i="13"/>
  <c r="M694" i="13"/>
  <c r="M718" i="13"/>
  <c r="M492" i="13"/>
  <c r="M521" i="13"/>
  <c r="M525" i="13"/>
  <c r="M558" i="13"/>
  <c r="M554" i="13"/>
  <c r="M739" i="13"/>
  <c r="P563" i="13"/>
  <c r="Q563" i="13" s="1"/>
  <c r="R563" i="13" s="1"/>
  <c r="K563" i="13"/>
  <c r="M563" i="13" s="1"/>
  <c r="M530" i="13"/>
  <c r="M610" i="13"/>
  <c r="M606" i="13"/>
  <c r="M602" i="13"/>
  <c r="M598" i="13"/>
  <c r="M594" i="13"/>
  <c r="M590" i="13"/>
  <c r="M586" i="13"/>
  <c r="M578" i="13"/>
  <c r="M567" i="13"/>
  <c r="M542" i="13"/>
  <c r="M675" i="13"/>
  <c r="M699" i="13"/>
  <c r="M710" i="13"/>
  <c r="M721" i="13"/>
  <c r="M743" i="13"/>
  <c r="M747" i="13"/>
  <c r="P47" i="13"/>
  <c r="Q47" i="13" s="1"/>
  <c r="R47" i="13" s="1"/>
  <c r="M474" i="13"/>
  <c r="M509" i="13"/>
  <c r="M507" i="13"/>
  <c r="M570" i="13"/>
  <c r="M557" i="13"/>
  <c r="M696" i="13"/>
  <c r="M711" i="13"/>
  <c r="M719" i="13"/>
  <c r="M733" i="13"/>
  <c r="M724" i="13"/>
  <c r="M732" i="13"/>
  <c r="M741" i="13"/>
  <c r="M748" i="13"/>
  <c r="M412" i="13"/>
  <c r="M416" i="13"/>
  <c r="M484" i="13"/>
  <c r="M493" i="13"/>
  <c r="M692" i="13"/>
  <c r="M623" i="13"/>
  <c r="S623" i="13" s="1"/>
  <c r="T623" i="13" s="1"/>
  <c r="M729" i="13"/>
  <c r="M626" i="13"/>
  <c r="M654" i="13"/>
  <c r="P21" i="13"/>
  <c r="Q21" i="13" s="1"/>
  <c r="R21" i="13" s="1"/>
  <c r="M499" i="13"/>
  <c r="M503" i="13"/>
  <c r="M510" i="13"/>
  <c r="M506" i="13"/>
  <c r="M556" i="13"/>
  <c r="M663" i="13"/>
  <c r="M738" i="13"/>
  <c r="M490" i="13"/>
  <c r="M491" i="13"/>
  <c r="M496" i="13"/>
  <c r="M504" i="13"/>
  <c r="M653" i="13"/>
  <c r="M411" i="13"/>
  <c r="M433" i="13"/>
  <c r="M468" i="13"/>
  <c r="M480" i="13"/>
  <c r="P493" i="13"/>
  <c r="Q493" i="13" s="1"/>
  <c r="R493" i="13" s="1"/>
  <c r="M614" i="13"/>
  <c r="M618" i="13"/>
  <c r="M629" i="13"/>
  <c r="M650" i="13"/>
  <c r="M646" i="13"/>
  <c r="M691" i="13"/>
  <c r="M697" i="13"/>
  <c r="M700" i="13"/>
  <c r="M714" i="13"/>
  <c r="M723" i="13"/>
  <c r="M735" i="13"/>
  <c r="M744" i="13"/>
  <c r="M363" i="13"/>
  <c r="M441" i="13"/>
  <c r="M437" i="13"/>
  <c r="M482" i="13"/>
  <c r="M511" i="13"/>
  <c r="M519" i="13"/>
  <c r="M523" i="13"/>
  <c r="M527" i="13"/>
  <c r="M529" i="13"/>
  <c r="M604" i="13"/>
  <c r="M600" i="13"/>
  <c r="M596" i="13"/>
  <c r="M592" i="13"/>
  <c r="M588" i="13"/>
  <c r="M584" i="13"/>
  <c r="M580" i="13"/>
  <c r="M549" i="13"/>
  <c r="M544" i="13"/>
  <c r="P479" i="13"/>
  <c r="Q479" i="13" s="1"/>
  <c r="R479" i="13" s="1"/>
  <c r="M628" i="13"/>
  <c r="M643" i="13"/>
  <c r="M678" i="13"/>
  <c r="M681" i="13"/>
  <c r="M687" i="13"/>
  <c r="M695" i="13"/>
  <c r="M698" i="13"/>
  <c r="M701" i="13"/>
  <c r="M705" i="13"/>
  <c r="M715" i="13"/>
  <c r="M745" i="13"/>
  <c r="M362" i="13"/>
  <c r="M460" i="13"/>
  <c r="M456" i="13"/>
  <c r="M452" i="13"/>
  <c r="M448" i="13"/>
  <c r="M444" i="13"/>
  <c r="M502" i="13"/>
  <c r="M515" i="13"/>
  <c r="M520" i="13"/>
  <c r="M524" i="13"/>
  <c r="M528" i="13"/>
  <c r="M539" i="13"/>
  <c r="M611" i="13"/>
  <c r="M607" i="13"/>
  <c r="M603" i="13"/>
  <c r="M599" i="13"/>
  <c r="M595" i="13"/>
  <c r="M591" i="13"/>
  <c r="M587" i="13"/>
  <c r="M579" i="13"/>
  <c r="M572" i="13"/>
  <c r="M568" i="13"/>
  <c r="M633" i="13"/>
  <c r="M664" i="13"/>
  <c r="M679" i="13"/>
  <c r="M682" i="13"/>
  <c r="M690" i="13"/>
  <c r="M693" i="13"/>
  <c r="M702" i="13"/>
  <c r="M706" i="13"/>
  <c r="M716" i="13"/>
  <c r="M728" i="13"/>
  <c r="M727" i="13"/>
  <c r="M742" i="13"/>
  <c r="M746" i="13"/>
  <c r="P575" i="13"/>
  <c r="Q575" i="13" s="1"/>
  <c r="R575" i="13" s="1"/>
  <c r="K575" i="13"/>
  <c r="M575" i="13" s="1"/>
  <c r="P576" i="13"/>
  <c r="Q576" i="13" s="1"/>
  <c r="R576" i="13" s="1"/>
  <c r="K576" i="13"/>
  <c r="M576" i="13" s="1"/>
  <c r="K574" i="13"/>
  <c r="M574" i="13" s="1"/>
  <c r="P574" i="13"/>
  <c r="Q574" i="13" s="1"/>
  <c r="R574" i="13" s="1"/>
  <c r="M531" i="13"/>
  <c r="M457" i="13"/>
  <c r="M469" i="13"/>
  <c r="M477" i="13"/>
  <c r="M505" i="13"/>
  <c r="M532" i="13"/>
  <c r="M461" i="13"/>
  <c r="M449" i="13"/>
  <c r="M365" i="13"/>
  <c r="M361" i="13"/>
  <c r="M418" i="13"/>
  <c r="M476" i="13"/>
  <c r="M472" i="13"/>
  <c r="M500" i="13"/>
  <c r="M514" i="13"/>
  <c r="M508" i="13"/>
  <c r="M533" i="13"/>
  <c r="M553" i="13"/>
  <c r="M713" i="13"/>
  <c r="M717" i="13"/>
  <c r="M535" i="13"/>
  <c r="M453" i="13"/>
  <c r="M486" i="13"/>
  <c r="P481" i="13"/>
  <c r="Q481" i="13" s="1"/>
  <c r="R481" i="13" s="1"/>
  <c r="P27" i="13"/>
  <c r="Q27" i="13" s="1"/>
  <c r="R27" i="13" s="1"/>
  <c r="M471" i="13"/>
  <c r="M475" i="13"/>
  <c r="M485" i="13"/>
  <c r="M495" i="13"/>
  <c r="M512" i="13"/>
  <c r="M518" i="13"/>
  <c r="M522" i="13"/>
  <c r="M608" i="13"/>
  <c r="M559" i="13"/>
  <c r="M561" i="13"/>
  <c r="S561" i="13" s="1"/>
  <c r="M621" i="13"/>
  <c r="M627" i="13"/>
  <c r="M672" i="13"/>
  <c r="M734" i="13"/>
  <c r="M501" i="13"/>
  <c r="M516" i="13"/>
  <c r="M526" i="13"/>
  <c r="M534" i="13"/>
  <c r="M536" i="13"/>
  <c r="M609" i="13"/>
  <c r="M605" i="13"/>
  <c r="M601" i="13"/>
  <c r="M593" i="13"/>
  <c r="M589" i="13"/>
  <c r="M585" i="13"/>
  <c r="M581" i="13"/>
  <c r="M565" i="13"/>
  <c r="M547" i="13"/>
  <c r="M543" i="13"/>
  <c r="M613" i="13"/>
  <c r="M616" i="13"/>
  <c r="M620" i="13"/>
  <c r="M640" i="13"/>
  <c r="M645" i="13"/>
  <c r="M684" i="13"/>
  <c r="M688" i="13"/>
  <c r="M726" i="13"/>
  <c r="M617" i="13"/>
  <c r="M666" i="13"/>
  <c r="M662" i="13"/>
  <c r="M676" i="13"/>
  <c r="M685" i="13"/>
  <c r="M689" i="13"/>
  <c r="M720" i="13"/>
  <c r="M615" i="13"/>
  <c r="M619" i="13"/>
  <c r="M622" i="13"/>
  <c r="M625" i="13"/>
  <c r="M639" i="13"/>
  <c r="M642" i="13"/>
  <c r="M644" i="13"/>
  <c r="M658" i="13"/>
  <c r="M683" i="13"/>
  <c r="M686" i="13"/>
  <c r="M703" i="13"/>
  <c r="M707" i="13"/>
  <c r="M709" i="13"/>
  <c r="M725" i="13"/>
  <c r="M730" i="13"/>
  <c r="M736" i="13"/>
  <c r="M638" i="13"/>
  <c r="M634" i="13"/>
  <c r="M641" i="13"/>
  <c r="M657" i="13"/>
  <c r="M671" i="13"/>
  <c r="M704" i="13"/>
  <c r="M708" i="13"/>
  <c r="M712" i="13"/>
  <c r="M722" i="13"/>
  <c r="M731" i="13"/>
  <c r="M737" i="13"/>
  <c r="M669" i="13"/>
  <c r="M667" i="13"/>
  <c r="M668" i="13"/>
  <c r="M652" i="13"/>
  <c r="M577" i="13"/>
  <c r="M564" i="13"/>
  <c r="M550" i="13"/>
  <c r="M541" i="13"/>
  <c r="M483" i="13"/>
  <c r="M488" i="13"/>
  <c r="M402" i="13"/>
  <c r="M406" i="13"/>
  <c r="M459" i="13"/>
  <c r="M455" i="13"/>
  <c r="M451" i="13"/>
  <c r="M447" i="13"/>
  <c r="M443" i="13"/>
  <c r="M439" i="13"/>
  <c r="M489" i="13"/>
  <c r="M497" i="13"/>
  <c r="M487" i="13"/>
  <c r="M462" i="13"/>
  <c r="M458" i="13"/>
  <c r="M454" i="13"/>
  <c r="M450" i="13"/>
  <c r="M446" i="13"/>
  <c r="M434" i="13"/>
  <c r="M494" i="13"/>
  <c r="M409" i="13"/>
  <c r="M466" i="13"/>
  <c r="M467" i="13"/>
  <c r="M417" i="13"/>
  <c r="M423" i="13"/>
  <c r="M464" i="13"/>
  <c r="M401" i="13"/>
  <c r="M405" i="13"/>
  <c r="M415" i="13"/>
  <c r="M431" i="13"/>
  <c r="M465" i="13"/>
  <c r="M420" i="13"/>
  <c r="M442" i="13"/>
  <c r="M438" i="13"/>
  <c r="M463" i="13"/>
  <c r="M445" i="13"/>
  <c r="M435" i="13"/>
  <c r="M432" i="13"/>
  <c r="M430" i="13"/>
  <c r="M414" i="13"/>
  <c r="M403" i="13"/>
  <c r="M407" i="13"/>
  <c r="M426" i="13"/>
  <c r="M413" i="13"/>
  <c r="M400" i="13"/>
  <c r="M404" i="13"/>
  <c r="M408" i="13"/>
  <c r="M425" i="13"/>
  <c r="M421" i="13"/>
  <c r="M422" i="13"/>
  <c r="M419" i="13"/>
  <c r="M410" i="13"/>
  <c r="M399" i="13"/>
  <c r="M37" i="13"/>
  <c r="M195" i="13"/>
  <c r="M376" i="13"/>
  <c r="M45" i="13"/>
  <c r="M367" i="13"/>
  <c r="M369" i="13"/>
  <c r="M366" i="13"/>
  <c r="M374" i="13"/>
  <c r="M19" i="13"/>
  <c r="M378" i="13"/>
  <c r="M375" i="13"/>
  <c r="M377" i="13"/>
  <c r="M368" i="13"/>
  <c r="M370" i="13"/>
  <c r="M355" i="13"/>
  <c r="M351" i="13"/>
  <c r="M344" i="13"/>
  <c r="M348" i="13"/>
  <c r="M83" i="13"/>
  <c r="M79" i="13"/>
  <c r="M146" i="13"/>
  <c r="M183" i="13"/>
  <c r="M190" i="13"/>
  <c r="M187" i="13"/>
  <c r="M201" i="13"/>
  <c r="M197" i="13"/>
  <c r="M371" i="13"/>
  <c r="M373" i="13"/>
  <c r="M380" i="13"/>
  <c r="M337" i="13"/>
  <c r="M372" i="13"/>
  <c r="M379" i="13"/>
  <c r="M48" i="13"/>
  <c r="M384" i="13"/>
  <c r="M345" i="13"/>
  <c r="M347" i="13"/>
  <c r="M42" i="13"/>
  <c r="M189" i="13"/>
  <c r="M207" i="13"/>
  <c r="M349" i="13"/>
  <c r="M346" i="13"/>
  <c r="M7" i="13"/>
  <c r="M23" i="13"/>
  <c r="M46" i="13"/>
  <c r="M38" i="13"/>
  <c r="M350" i="13"/>
  <c r="M191" i="13"/>
  <c r="M200" i="13"/>
  <c r="M196" i="13"/>
  <c r="M381" i="13"/>
  <c r="M385" i="13"/>
  <c r="M389" i="13"/>
  <c r="M393" i="13"/>
  <c r="M397" i="13"/>
  <c r="M152" i="13"/>
  <c r="M204" i="13"/>
  <c r="M358" i="13"/>
  <c r="M386" i="13"/>
  <c r="M390" i="13"/>
  <c r="M394" i="13"/>
  <c r="M354" i="13"/>
  <c r="M388" i="13"/>
  <c r="M392" i="13"/>
  <c r="M396" i="13"/>
  <c r="M387" i="13"/>
  <c r="M391" i="13"/>
  <c r="M395" i="13"/>
  <c r="M342" i="13"/>
  <c r="M343" i="13"/>
  <c r="M123" i="13"/>
  <c r="M194" i="13"/>
  <c r="M203" i="13"/>
  <c r="M199" i="13"/>
  <c r="M340" i="13"/>
  <c r="M357" i="13"/>
  <c r="M353" i="13"/>
  <c r="M360" i="13"/>
  <c r="M122" i="13"/>
  <c r="M202" i="13"/>
  <c r="M198" i="13"/>
  <c r="M205" i="13"/>
  <c r="M341" i="13"/>
  <c r="M356" i="13"/>
  <c r="M352" i="13"/>
  <c r="M186" i="13"/>
  <c r="M359" i="13"/>
  <c r="M364" i="13"/>
  <c r="M76" i="13"/>
  <c r="M104" i="13"/>
  <c r="M100" i="13"/>
  <c r="M96" i="13"/>
  <c r="M92" i="13"/>
  <c r="M88" i="13"/>
  <c r="M84" i="13"/>
  <c r="M154" i="13"/>
  <c r="M158" i="13"/>
  <c r="M383" i="13"/>
  <c r="M75" i="13"/>
  <c r="M157" i="13"/>
  <c r="M169" i="13"/>
  <c r="M184" i="13"/>
  <c r="M339" i="13"/>
  <c r="M382" i="13"/>
  <c r="M338" i="13"/>
  <c r="M29" i="13"/>
  <c r="M41" i="13"/>
  <c r="M112" i="13"/>
  <c r="M126" i="13"/>
  <c r="M151" i="13"/>
  <c r="M110" i="13"/>
  <c r="M137" i="13"/>
  <c r="M156" i="13"/>
  <c r="M105" i="13"/>
  <c r="M101" i="13"/>
  <c r="M97" i="13"/>
  <c r="M93" i="13"/>
  <c r="M89" i="13"/>
  <c r="M85" i="13"/>
  <c r="M178" i="13"/>
  <c r="M102" i="13"/>
  <c r="M98" i="13"/>
  <c r="M94" i="13"/>
  <c r="M90" i="13"/>
  <c r="M86" i="13"/>
  <c r="M82" i="13"/>
  <c r="M192" i="13"/>
  <c r="M188" i="13"/>
  <c r="M20" i="13"/>
  <c r="M32" i="13"/>
  <c r="M35" i="13"/>
  <c r="M31" i="13"/>
  <c r="M74" i="13"/>
  <c r="M145" i="13"/>
  <c r="M174" i="13"/>
  <c r="J14" i="13"/>
  <c r="K14" i="13" s="1"/>
  <c r="M18" i="13"/>
  <c r="M28" i="13"/>
  <c r="M33" i="13"/>
  <c r="M34" i="13"/>
  <c r="M73" i="13"/>
  <c r="M69" i="13"/>
  <c r="M65" i="13"/>
  <c r="M61" i="13"/>
  <c r="M57" i="13"/>
  <c r="M77" i="13"/>
  <c r="M113" i="13"/>
  <c r="M108" i="13"/>
  <c r="M135" i="13"/>
  <c r="M55" i="13"/>
  <c r="M81" i="13"/>
  <c r="M139" i="13"/>
  <c r="M172" i="13"/>
  <c r="M25" i="13"/>
  <c r="M140" i="13"/>
  <c r="M180" i="13"/>
  <c r="M12" i="13"/>
  <c r="M141" i="13"/>
  <c r="M181" i="13"/>
  <c r="M142" i="13"/>
  <c r="M185" i="13"/>
  <c r="S121" i="13"/>
  <c r="M148" i="13"/>
  <c r="M155" i="13"/>
  <c r="M162" i="13"/>
  <c r="M166" i="13"/>
  <c r="M173" i="13"/>
  <c r="M176" i="13"/>
  <c r="M131" i="13"/>
  <c r="M147" i="13"/>
  <c r="M159" i="13"/>
  <c r="M163" i="13"/>
  <c r="M167" i="13"/>
  <c r="M170" i="13"/>
  <c r="M177" i="13"/>
  <c r="M56" i="13"/>
  <c r="M59" i="13"/>
  <c r="M63" i="13"/>
  <c r="M72" i="13"/>
  <c r="M130" i="13"/>
  <c r="M160" i="13"/>
  <c r="M164" i="13"/>
  <c r="M171" i="13"/>
  <c r="M179" i="13"/>
  <c r="M182" i="13"/>
  <c r="M78" i="13"/>
  <c r="M129" i="13"/>
  <c r="M150" i="13"/>
  <c r="M161" i="13"/>
  <c r="M165" i="13"/>
  <c r="M175" i="13"/>
  <c r="M153" i="13"/>
  <c r="M144" i="13"/>
  <c r="M149" i="13"/>
  <c r="M143" i="13"/>
  <c r="M107" i="13"/>
  <c r="M111" i="13"/>
  <c r="M80" i="13"/>
  <c r="M67" i="13"/>
  <c r="M99" i="13"/>
  <c r="M95" i="13"/>
  <c r="M87" i="13"/>
  <c r="M53" i="13"/>
  <c r="S54" i="13" s="1"/>
  <c r="M49" i="13"/>
  <c r="M51" i="13"/>
  <c r="S51" i="13" s="1"/>
  <c r="M103" i="13"/>
  <c r="M91" i="13"/>
  <c r="M26" i="13"/>
  <c r="M58" i="13"/>
  <c r="M62" i="13"/>
  <c r="M66" i="13"/>
  <c r="S66" i="13" s="1"/>
  <c r="M39" i="13"/>
  <c r="M36" i="13"/>
  <c r="M40" i="13"/>
  <c r="M44" i="13"/>
  <c r="M15" i="13"/>
  <c r="S15" i="13" s="1"/>
  <c r="M6" i="13"/>
  <c r="M16" i="13"/>
  <c r="M5" i="13"/>
  <c r="M13" i="13"/>
  <c r="M71" i="13"/>
  <c r="M17" i="13"/>
  <c r="M43" i="13"/>
  <c r="M47" i="13"/>
  <c r="K116" i="12"/>
  <c r="K106" i="12"/>
  <c r="M106" i="12" s="1"/>
  <c r="K107" i="12"/>
  <c r="K108" i="12"/>
  <c r="K109" i="12"/>
  <c r="K110" i="12"/>
  <c r="K111" i="12"/>
  <c r="K112" i="12"/>
  <c r="K113" i="12"/>
  <c r="K114" i="12"/>
  <c r="K115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M154" i="12" s="1"/>
  <c r="K155" i="12"/>
  <c r="K156" i="12"/>
  <c r="M156" i="12" s="1"/>
  <c r="K157" i="12"/>
  <c r="M157" i="12" s="1"/>
  <c r="K158" i="12"/>
  <c r="M158" i="12" s="1"/>
  <c r="K159" i="12"/>
  <c r="K160" i="12"/>
  <c r="K161" i="12"/>
  <c r="M161" i="12" s="1"/>
  <c r="K162" i="12"/>
  <c r="K105" i="12"/>
  <c r="O162" i="12"/>
  <c r="P162" i="12" s="1"/>
  <c r="Q162" i="12" s="1"/>
  <c r="R162" i="12" s="1"/>
  <c r="O163" i="12"/>
  <c r="P163" i="12" s="1"/>
  <c r="Q163" i="12" s="1"/>
  <c r="R163" i="12" s="1"/>
  <c r="M155" i="12"/>
  <c r="M159" i="12"/>
  <c r="M160" i="12"/>
  <c r="S482" i="13" l="1"/>
  <c r="S546" i="13"/>
  <c r="S638" i="13"/>
  <c r="S629" i="13"/>
  <c r="S548" i="13"/>
  <c r="S497" i="13"/>
  <c r="S477" i="13"/>
  <c r="S577" i="13"/>
  <c r="S567" i="13"/>
  <c r="S517" i="13"/>
  <c r="S723" i="13"/>
  <c r="S666" i="13"/>
  <c r="S748" i="13"/>
  <c r="S654" i="13"/>
  <c r="S739" i="13"/>
  <c r="S695" i="13"/>
  <c r="S736" i="13"/>
  <c r="S535" i="13"/>
  <c r="S490" i="13"/>
  <c r="S544" i="13"/>
  <c r="S651" i="13"/>
  <c r="S622" i="13"/>
  <c r="S604" i="13"/>
  <c r="S708" i="13"/>
  <c r="S540" i="13"/>
  <c r="S551" i="13"/>
  <c r="S677" i="13"/>
  <c r="S683" i="13"/>
  <c r="S588" i="13"/>
  <c r="S611" i="13"/>
  <c r="S599" i="13"/>
  <c r="S462" i="13"/>
  <c r="S690" i="13"/>
  <c r="S594" i="13"/>
  <c r="S560" i="13"/>
  <c r="S717" i="13"/>
  <c r="S644" i="13"/>
  <c r="S528" i="13"/>
  <c r="P14" i="13"/>
  <c r="Q14" i="13" s="1"/>
  <c r="R14" i="13" s="1"/>
  <c r="S409" i="13"/>
  <c r="S429" i="13"/>
  <c r="S468" i="13"/>
  <c r="S443" i="13"/>
  <c r="S380" i="13"/>
  <c r="S350" i="13"/>
  <c r="S13" i="13"/>
  <c r="S397" i="13"/>
  <c r="S365" i="13"/>
  <c r="S207" i="13"/>
  <c r="S203" i="13"/>
  <c r="S384" i="13"/>
  <c r="S343" i="13"/>
  <c r="S195" i="13"/>
  <c r="S27" i="13"/>
  <c r="S57" i="13"/>
  <c r="S182" i="13"/>
  <c r="S83" i="13"/>
  <c r="S137" i="13"/>
  <c r="S49" i="13"/>
  <c r="S142" i="13"/>
  <c r="S37" i="13"/>
  <c r="S131" i="13"/>
  <c r="S8" i="13"/>
  <c r="S105" i="13"/>
  <c r="S113" i="13"/>
  <c r="S60" i="13"/>
  <c r="S94" i="13"/>
  <c r="S149" i="13"/>
  <c r="S177" i="13"/>
  <c r="S63" i="13"/>
  <c r="S78" i="13"/>
  <c r="S158" i="13"/>
  <c r="S171" i="13"/>
  <c r="S40" i="13"/>
  <c r="S45" i="13"/>
  <c r="S20" i="13"/>
  <c r="M162" i="12"/>
  <c r="O152" i="12" l="1"/>
  <c r="P152" i="12" s="1"/>
  <c r="Q152" i="12" s="1"/>
  <c r="R152" i="12" s="1"/>
  <c r="M152" i="12"/>
  <c r="O151" i="12"/>
  <c r="P151" i="12" s="1"/>
  <c r="Q151" i="12" s="1"/>
  <c r="R151" i="12" s="1"/>
  <c r="M151" i="12"/>
  <c r="O150" i="12"/>
  <c r="P150" i="12" s="1"/>
  <c r="Q150" i="12" s="1"/>
  <c r="R150" i="12" s="1"/>
  <c r="M150" i="12"/>
  <c r="O149" i="12"/>
  <c r="P149" i="12" s="1"/>
  <c r="Q149" i="12" s="1"/>
  <c r="R149" i="12" s="1"/>
  <c r="M149" i="12"/>
  <c r="O148" i="12"/>
  <c r="P148" i="12" s="1"/>
  <c r="Q148" i="12" s="1"/>
  <c r="R148" i="12" s="1"/>
  <c r="M148" i="12"/>
  <c r="O147" i="12"/>
  <c r="P147" i="12" s="1"/>
  <c r="Q147" i="12" s="1"/>
  <c r="R147" i="12" s="1"/>
  <c r="M147" i="12"/>
  <c r="O146" i="12"/>
  <c r="P146" i="12" s="1"/>
  <c r="Q146" i="12" s="1"/>
  <c r="R146" i="12" s="1"/>
  <c r="M146" i="12"/>
  <c r="O145" i="12"/>
  <c r="P145" i="12" s="1"/>
  <c r="Q145" i="12" s="1"/>
  <c r="R145" i="12" s="1"/>
  <c r="M145" i="12"/>
  <c r="O144" i="12"/>
  <c r="P144" i="12" s="1"/>
  <c r="Q144" i="12" s="1"/>
  <c r="R144" i="12" s="1"/>
  <c r="M144" i="12"/>
  <c r="O143" i="12"/>
  <c r="P143" i="12" s="1"/>
  <c r="Q143" i="12" s="1"/>
  <c r="R143" i="12" s="1"/>
  <c r="M143" i="12"/>
  <c r="O142" i="12"/>
  <c r="P142" i="12" s="1"/>
  <c r="Q142" i="12" s="1"/>
  <c r="R142" i="12" s="1"/>
  <c r="M142" i="12"/>
  <c r="O141" i="12"/>
  <c r="P141" i="12" s="1"/>
  <c r="Q141" i="12" s="1"/>
  <c r="R141" i="12" s="1"/>
  <c r="M141" i="12"/>
  <c r="O140" i="12"/>
  <c r="P140" i="12" s="1"/>
  <c r="Q140" i="12" s="1"/>
  <c r="R140" i="12" s="1"/>
  <c r="M140" i="12"/>
  <c r="O139" i="12"/>
  <c r="P139" i="12" s="1"/>
  <c r="Q139" i="12" s="1"/>
  <c r="R139" i="12" s="1"/>
  <c r="M139" i="12"/>
  <c r="O138" i="12"/>
  <c r="P138" i="12" s="1"/>
  <c r="Q138" i="12" s="1"/>
  <c r="R138" i="12" s="1"/>
  <c r="M138" i="12"/>
  <c r="O137" i="12"/>
  <c r="P137" i="12" s="1"/>
  <c r="Q137" i="12" s="1"/>
  <c r="R137" i="12" s="1"/>
  <c r="M137" i="12"/>
  <c r="O136" i="12"/>
  <c r="P136" i="12" s="1"/>
  <c r="Q136" i="12" s="1"/>
  <c r="R136" i="12" s="1"/>
  <c r="M136" i="12"/>
  <c r="O135" i="12"/>
  <c r="P135" i="12" s="1"/>
  <c r="Q135" i="12" s="1"/>
  <c r="R135" i="12" s="1"/>
  <c r="M135" i="12"/>
  <c r="O134" i="12"/>
  <c r="P134" i="12" s="1"/>
  <c r="Q134" i="12" s="1"/>
  <c r="R134" i="12" s="1"/>
  <c r="M134" i="12"/>
  <c r="O133" i="12"/>
  <c r="P133" i="12" s="1"/>
  <c r="Q133" i="12" s="1"/>
  <c r="R133" i="12" s="1"/>
  <c r="M133" i="12"/>
  <c r="O132" i="12"/>
  <c r="P132" i="12" s="1"/>
  <c r="Q132" i="12" s="1"/>
  <c r="R132" i="12" s="1"/>
  <c r="M132" i="12"/>
  <c r="O131" i="12"/>
  <c r="P131" i="12" s="1"/>
  <c r="Q131" i="12" s="1"/>
  <c r="R131" i="12" s="1"/>
  <c r="M131" i="12"/>
  <c r="O130" i="12"/>
  <c r="P130" i="12" s="1"/>
  <c r="Q130" i="12" s="1"/>
  <c r="R130" i="12" s="1"/>
  <c r="M130" i="12"/>
  <c r="O129" i="12"/>
  <c r="P129" i="12" s="1"/>
  <c r="Q129" i="12" s="1"/>
  <c r="R129" i="12" s="1"/>
  <c r="M129" i="12"/>
  <c r="O128" i="12"/>
  <c r="P128" i="12" s="1"/>
  <c r="Q128" i="12" s="1"/>
  <c r="R128" i="12" s="1"/>
  <c r="M128" i="12"/>
  <c r="O127" i="12"/>
  <c r="P127" i="12" s="1"/>
  <c r="Q127" i="12" s="1"/>
  <c r="R127" i="12" s="1"/>
  <c r="M127" i="12"/>
  <c r="O126" i="12"/>
  <c r="P126" i="12" s="1"/>
  <c r="Q126" i="12" s="1"/>
  <c r="R126" i="12" s="1"/>
  <c r="M126" i="12"/>
  <c r="O125" i="12"/>
  <c r="P125" i="12" s="1"/>
  <c r="Q125" i="12" s="1"/>
  <c r="R125" i="12" s="1"/>
  <c r="M125" i="12"/>
  <c r="O124" i="12"/>
  <c r="P124" i="12" s="1"/>
  <c r="Q124" i="12" s="1"/>
  <c r="R124" i="12" s="1"/>
  <c r="M124" i="12"/>
  <c r="O123" i="12"/>
  <c r="P123" i="12" s="1"/>
  <c r="Q123" i="12" s="1"/>
  <c r="R123" i="12" s="1"/>
  <c r="M123" i="12"/>
  <c r="O122" i="12"/>
  <c r="P122" i="12" s="1"/>
  <c r="Q122" i="12" s="1"/>
  <c r="R122" i="12" s="1"/>
  <c r="M122" i="12"/>
  <c r="O121" i="12"/>
  <c r="P121" i="12" s="1"/>
  <c r="Q121" i="12" s="1"/>
  <c r="R121" i="12" s="1"/>
  <c r="M121" i="12"/>
  <c r="O120" i="12"/>
  <c r="P120" i="12" s="1"/>
  <c r="Q120" i="12" s="1"/>
  <c r="R120" i="12" s="1"/>
  <c r="M120" i="12"/>
  <c r="O119" i="12"/>
  <c r="P119" i="12" s="1"/>
  <c r="Q119" i="12" s="1"/>
  <c r="R119" i="12" s="1"/>
  <c r="M119" i="12"/>
  <c r="O118" i="12"/>
  <c r="P118" i="12" s="1"/>
  <c r="Q118" i="12" s="1"/>
  <c r="R118" i="12" s="1"/>
  <c r="M118" i="12"/>
  <c r="O117" i="12"/>
  <c r="P117" i="12" s="1"/>
  <c r="Q117" i="12" s="1"/>
  <c r="R117" i="12" s="1"/>
  <c r="M117" i="12"/>
  <c r="O116" i="12"/>
  <c r="P116" i="12" s="1"/>
  <c r="Q116" i="12" s="1"/>
  <c r="R116" i="12" s="1"/>
  <c r="M116" i="12"/>
  <c r="O115" i="12"/>
  <c r="P115" i="12" s="1"/>
  <c r="Q115" i="12" s="1"/>
  <c r="R115" i="12" s="1"/>
  <c r="M115" i="12"/>
  <c r="O114" i="12"/>
  <c r="P114" i="12" s="1"/>
  <c r="Q114" i="12" s="1"/>
  <c r="R114" i="12" s="1"/>
  <c r="M114" i="12"/>
  <c r="O113" i="12"/>
  <c r="P113" i="12" s="1"/>
  <c r="Q113" i="12" s="1"/>
  <c r="R113" i="12" s="1"/>
  <c r="M113" i="12"/>
  <c r="O112" i="12"/>
  <c r="P112" i="12" s="1"/>
  <c r="Q112" i="12" s="1"/>
  <c r="R112" i="12" s="1"/>
  <c r="M112" i="12"/>
  <c r="O111" i="12"/>
  <c r="P111" i="12" s="1"/>
  <c r="Q111" i="12" s="1"/>
  <c r="R111" i="12" s="1"/>
  <c r="M111" i="12"/>
  <c r="O110" i="12"/>
  <c r="P110" i="12" s="1"/>
  <c r="Q110" i="12" s="1"/>
  <c r="R110" i="12" s="1"/>
  <c r="M110" i="12"/>
  <c r="O109" i="12"/>
  <c r="P109" i="12" s="1"/>
  <c r="Q109" i="12" s="1"/>
  <c r="R109" i="12" s="1"/>
  <c r="M109" i="12"/>
  <c r="O108" i="12"/>
  <c r="P108" i="12" s="1"/>
  <c r="Q108" i="12" s="1"/>
  <c r="R108" i="12" s="1"/>
  <c r="M108" i="12"/>
  <c r="O107" i="12"/>
  <c r="P107" i="12" s="1"/>
  <c r="Q107" i="12" s="1"/>
  <c r="R107" i="12" s="1"/>
  <c r="M107" i="12"/>
  <c r="O106" i="12"/>
  <c r="P106" i="12" s="1"/>
  <c r="Q106" i="12" s="1"/>
  <c r="R106" i="12" s="1"/>
  <c r="K95" i="12"/>
  <c r="M95" i="12" s="1"/>
  <c r="K96" i="12"/>
  <c r="M96" i="12" s="1"/>
  <c r="K97" i="12"/>
  <c r="M97" i="12" s="1"/>
  <c r="K98" i="12"/>
  <c r="M98" i="12" s="1"/>
  <c r="K99" i="12"/>
  <c r="M99" i="12" s="1"/>
  <c r="K100" i="12"/>
  <c r="M100" i="12" s="1"/>
  <c r="K101" i="12"/>
  <c r="M101" i="12" s="1"/>
  <c r="K102" i="12"/>
  <c r="M102" i="12" s="1"/>
  <c r="K103" i="12"/>
  <c r="M103" i="12" s="1"/>
  <c r="K104" i="12"/>
  <c r="M104" i="12" s="1"/>
  <c r="M105" i="12"/>
  <c r="M153" i="12"/>
  <c r="K94" i="12"/>
  <c r="M94" i="12" s="1"/>
  <c r="K93" i="12"/>
  <c r="M93" i="12" s="1"/>
  <c r="K92" i="12"/>
  <c r="M92" i="12" s="1"/>
  <c r="K10" i="9"/>
  <c r="K11" i="9"/>
  <c r="K12" i="9"/>
  <c r="K13" i="9"/>
  <c r="K14" i="9"/>
  <c r="K15" i="9"/>
  <c r="K16" i="9"/>
  <c r="K17" i="9"/>
  <c r="M17" i="9" s="1"/>
  <c r="K18" i="9"/>
  <c r="M18" i="9" s="1"/>
  <c r="K19" i="9"/>
  <c r="M19" i="9" s="1"/>
  <c r="K20" i="9"/>
  <c r="M20" i="9" s="1"/>
  <c r="K21" i="9"/>
  <c r="M21" i="9" s="1"/>
  <c r="K22" i="9"/>
  <c r="M22" i="9" s="1"/>
  <c r="K23" i="9"/>
  <c r="M23" i="9" s="1"/>
  <c r="K24" i="9"/>
  <c r="M24" i="9" s="1"/>
  <c r="K25" i="9"/>
  <c r="M25" i="9" s="1"/>
  <c r="K26" i="9"/>
  <c r="M26" i="9" s="1"/>
  <c r="K9" i="9"/>
  <c r="K10" i="8"/>
  <c r="K11" i="8"/>
  <c r="K12" i="8"/>
  <c r="K13" i="8"/>
  <c r="K14" i="8"/>
  <c r="K15" i="8"/>
  <c r="M15" i="8" s="1"/>
  <c r="K16" i="8"/>
  <c r="M16" i="8" s="1"/>
  <c r="K17" i="8"/>
  <c r="M17" i="8" s="1"/>
  <c r="K18" i="8"/>
  <c r="M18" i="8" s="1"/>
  <c r="K19" i="8"/>
  <c r="M19" i="8" s="1"/>
  <c r="K20" i="8"/>
  <c r="M20" i="8" s="1"/>
  <c r="K21" i="8"/>
  <c r="M21" i="8" s="1"/>
  <c r="K22" i="8"/>
  <c r="M22" i="8" s="1"/>
  <c r="K23" i="8"/>
  <c r="M23" i="8" s="1"/>
  <c r="K24" i="8"/>
  <c r="M24" i="8" s="1"/>
  <c r="K25" i="8"/>
  <c r="M25" i="8" s="1"/>
  <c r="K26" i="8"/>
  <c r="M26" i="8" s="1"/>
  <c r="K9" i="8"/>
  <c r="K10" i="11"/>
  <c r="K11" i="11"/>
  <c r="K12" i="11"/>
  <c r="K13" i="11"/>
  <c r="K14" i="11"/>
  <c r="K15" i="11"/>
  <c r="K16" i="11"/>
  <c r="M16" i="11" s="1"/>
  <c r="K17" i="11"/>
  <c r="M17" i="11" s="1"/>
  <c r="K18" i="11"/>
  <c r="M18" i="11" s="1"/>
  <c r="K19" i="11"/>
  <c r="M19" i="11" s="1"/>
  <c r="K20" i="11"/>
  <c r="M20" i="11" s="1"/>
  <c r="K21" i="11"/>
  <c r="M21" i="11" s="1"/>
  <c r="K22" i="11"/>
  <c r="M22" i="11" s="1"/>
  <c r="K23" i="11"/>
  <c r="M23" i="11" s="1"/>
  <c r="K24" i="11"/>
  <c r="M24" i="11" s="1"/>
  <c r="K25" i="11"/>
  <c r="M25" i="11" s="1"/>
  <c r="K26" i="11"/>
  <c r="M26" i="11" s="1"/>
  <c r="K9" i="11"/>
  <c r="K10" i="7"/>
  <c r="K11" i="7"/>
  <c r="K12" i="7"/>
  <c r="K13" i="7"/>
  <c r="K14" i="7"/>
  <c r="K15" i="7"/>
  <c r="K16" i="7"/>
  <c r="K17" i="7"/>
  <c r="K18" i="7"/>
  <c r="M18" i="7" s="1"/>
  <c r="K19" i="7"/>
  <c r="M19" i="7" s="1"/>
  <c r="K20" i="7"/>
  <c r="M20" i="7" s="1"/>
  <c r="K21" i="7"/>
  <c r="M21" i="7" s="1"/>
  <c r="K22" i="7"/>
  <c r="M22" i="7" s="1"/>
  <c r="K23" i="7"/>
  <c r="M23" i="7" s="1"/>
  <c r="K24" i="7"/>
  <c r="M24" i="7" s="1"/>
  <c r="K25" i="7"/>
  <c r="M25" i="7" s="1"/>
  <c r="K26" i="7"/>
  <c r="M26" i="7" s="1"/>
  <c r="K9" i="7"/>
  <c r="K10" i="5"/>
  <c r="K11" i="5"/>
  <c r="K12" i="5"/>
  <c r="K13" i="5"/>
  <c r="K14" i="5"/>
  <c r="K15" i="5"/>
  <c r="K16" i="5"/>
  <c r="K17" i="5"/>
  <c r="M17" i="5" s="1"/>
  <c r="K18" i="5"/>
  <c r="M18" i="5" s="1"/>
  <c r="K19" i="5"/>
  <c r="M19" i="5" s="1"/>
  <c r="K20" i="5"/>
  <c r="M20" i="5" s="1"/>
  <c r="K21" i="5"/>
  <c r="M21" i="5" s="1"/>
  <c r="K22" i="5"/>
  <c r="M22" i="5" s="1"/>
  <c r="K23" i="5"/>
  <c r="M23" i="5" s="1"/>
  <c r="K24" i="5"/>
  <c r="M24" i="5" s="1"/>
  <c r="K25" i="5"/>
  <c r="M25" i="5" s="1"/>
  <c r="K9" i="5"/>
  <c r="M18" i="3"/>
  <c r="K10" i="3"/>
  <c r="K11" i="3"/>
  <c r="K12" i="3"/>
  <c r="K13" i="3"/>
  <c r="K14" i="3"/>
  <c r="K15" i="3"/>
  <c r="K16" i="3"/>
  <c r="K17" i="3"/>
  <c r="K18" i="3"/>
  <c r="K19" i="3"/>
  <c r="M19" i="3" s="1"/>
  <c r="K20" i="3"/>
  <c r="M20" i="3" s="1"/>
  <c r="K21" i="3"/>
  <c r="M21" i="3" s="1"/>
  <c r="K22" i="3"/>
  <c r="M22" i="3" s="1"/>
  <c r="K23" i="3"/>
  <c r="M23" i="3" s="1"/>
  <c r="K24" i="3"/>
  <c r="M24" i="3" s="1"/>
  <c r="K25" i="3"/>
  <c r="M25" i="3" s="1"/>
  <c r="K26" i="3"/>
  <c r="M26" i="3" s="1"/>
  <c r="K9" i="3"/>
  <c r="K10" i="6"/>
  <c r="K11" i="6"/>
  <c r="K12" i="6"/>
  <c r="K13" i="6"/>
  <c r="K14" i="6"/>
  <c r="K15" i="6"/>
  <c r="K16" i="6"/>
  <c r="K17" i="6"/>
  <c r="K18" i="6"/>
  <c r="K19" i="6"/>
  <c r="M19" i="6" s="1"/>
  <c r="K20" i="6"/>
  <c r="M20" i="6" s="1"/>
  <c r="K21" i="6"/>
  <c r="M21" i="6" s="1"/>
  <c r="K22" i="6"/>
  <c r="M22" i="6" s="1"/>
  <c r="K23" i="6"/>
  <c r="M23" i="6" s="1"/>
  <c r="K24" i="6"/>
  <c r="M24" i="6" s="1"/>
  <c r="K25" i="6"/>
  <c r="M25" i="6" s="1"/>
  <c r="K26" i="6"/>
  <c r="M26" i="6" s="1"/>
  <c r="K9" i="6"/>
  <c r="K10" i="4"/>
  <c r="K11" i="4"/>
  <c r="K12" i="4"/>
  <c r="K13" i="4"/>
  <c r="K14" i="4"/>
  <c r="K15" i="4"/>
  <c r="K16" i="4"/>
  <c r="K17" i="4"/>
  <c r="K18" i="4"/>
  <c r="K19" i="4"/>
  <c r="M19" i="4" s="1"/>
  <c r="K20" i="4"/>
  <c r="M20" i="4" s="1"/>
  <c r="K21" i="4"/>
  <c r="M21" i="4" s="1"/>
  <c r="K22" i="4"/>
  <c r="M22" i="4" s="1"/>
  <c r="K23" i="4"/>
  <c r="M23" i="4" s="1"/>
  <c r="K24" i="4"/>
  <c r="M24" i="4" s="1"/>
  <c r="K25" i="4"/>
  <c r="M25" i="4" s="1"/>
  <c r="K26" i="4"/>
  <c r="M26" i="4" s="1"/>
  <c r="K9" i="4"/>
  <c r="K10" i="2"/>
  <c r="K11" i="2"/>
  <c r="K12" i="2"/>
  <c r="K13" i="2"/>
  <c r="K14" i="2"/>
  <c r="K15" i="2"/>
  <c r="K16" i="2"/>
  <c r="K17" i="2"/>
  <c r="K18" i="2"/>
  <c r="M18" i="2" s="1"/>
  <c r="K19" i="2"/>
  <c r="M19" i="2" s="1"/>
  <c r="K20" i="2"/>
  <c r="M20" i="2" s="1"/>
  <c r="K21" i="2"/>
  <c r="M21" i="2" s="1"/>
  <c r="K22" i="2"/>
  <c r="M22" i="2" s="1"/>
  <c r="K23" i="2"/>
  <c r="M23" i="2" s="1"/>
  <c r="K24" i="2"/>
  <c r="M24" i="2" s="1"/>
  <c r="K25" i="2"/>
  <c r="M25" i="2" s="1"/>
  <c r="K26" i="2"/>
  <c r="M26" i="2" s="1"/>
  <c r="K9" i="2"/>
  <c r="M24" i="10"/>
  <c r="K10" i="10"/>
  <c r="K11" i="10"/>
  <c r="K12" i="10"/>
  <c r="K13" i="10"/>
  <c r="K14" i="10"/>
  <c r="K15" i="10"/>
  <c r="K16" i="10"/>
  <c r="K17" i="10"/>
  <c r="K18" i="10"/>
  <c r="M18" i="10" s="1"/>
  <c r="K19" i="10"/>
  <c r="M19" i="10" s="1"/>
  <c r="K20" i="10"/>
  <c r="M20" i="10" s="1"/>
  <c r="K21" i="10"/>
  <c r="M21" i="10" s="1"/>
  <c r="K22" i="10"/>
  <c r="M22" i="10" s="1"/>
  <c r="K23" i="10"/>
  <c r="M23" i="10" s="1"/>
  <c r="K24" i="10"/>
  <c r="K25" i="10"/>
  <c r="M25" i="10" s="1"/>
  <c r="K26" i="10"/>
  <c r="M26" i="10" s="1"/>
  <c r="K9" i="10"/>
  <c r="K73" i="12"/>
  <c r="M73" i="12" s="1"/>
  <c r="K74" i="12"/>
  <c r="M74" i="12" s="1"/>
  <c r="K75" i="12"/>
  <c r="M75" i="12" s="1"/>
  <c r="K76" i="12"/>
  <c r="M76" i="12" s="1"/>
  <c r="K77" i="12"/>
  <c r="M77" i="12" s="1"/>
  <c r="K78" i="12"/>
  <c r="M78" i="12" s="1"/>
  <c r="K79" i="12"/>
  <c r="M79" i="12" s="1"/>
  <c r="K80" i="12"/>
  <c r="M80" i="12" s="1"/>
  <c r="K81" i="12"/>
  <c r="M81" i="12" s="1"/>
  <c r="K82" i="12"/>
  <c r="M82" i="12" s="1"/>
  <c r="K83" i="12"/>
  <c r="M83" i="12" s="1"/>
  <c r="K84" i="12"/>
  <c r="M84" i="12" s="1"/>
  <c r="K85" i="12"/>
  <c r="M85" i="12" s="1"/>
  <c r="K86" i="12"/>
  <c r="M86" i="12" s="1"/>
  <c r="K87" i="12"/>
  <c r="M87" i="12" s="1"/>
  <c r="K88" i="12"/>
  <c r="M88" i="12" s="1"/>
  <c r="K89" i="12"/>
  <c r="M89" i="12" s="1"/>
  <c r="K90" i="12"/>
  <c r="M90" i="12" s="1"/>
  <c r="K91" i="12"/>
  <c r="M91" i="12" s="1"/>
  <c r="O75" i="12"/>
  <c r="P75" i="12" s="1"/>
  <c r="Q75" i="12" s="1"/>
  <c r="R75" i="12" s="1"/>
  <c r="O76" i="12"/>
  <c r="P76" i="12" s="1"/>
  <c r="Q76" i="12" s="1"/>
  <c r="R76" i="12" s="1"/>
  <c r="O77" i="12"/>
  <c r="P77" i="12" s="1"/>
  <c r="Q77" i="12" s="1"/>
  <c r="R77" i="12" s="1"/>
  <c r="O78" i="12"/>
  <c r="P78" i="12" s="1"/>
  <c r="Q78" i="12" s="1"/>
  <c r="R78" i="12" s="1"/>
  <c r="O79" i="12"/>
  <c r="P79" i="12" s="1"/>
  <c r="Q79" i="12" s="1"/>
  <c r="R79" i="12" s="1"/>
  <c r="O80" i="12"/>
  <c r="P80" i="12" s="1"/>
  <c r="Q80" i="12" s="1"/>
  <c r="R80" i="12" s="1"/>
  <c r="O81" i="12"/>
  <c r="P81" i="12" s="1"/>
  <c r="Q81" i="12" s="1"/>
  <c r="R81" i="12" s="1"/>
  <c r="O82" i="12"/>
  <c r="P82" i="12" s="1"/>
  <c r="Q82" i="12" s="1"/>
  <c r="R82" i="12" s="1"/>
  <c r="O83" i="12"/>
  <c r="P83" i="12" s="1"/>
  <c r="Q83" i="12" s="1"/>
  <c r="R83" i="12" s="1"/>
  <c r="O84" i="12"/>
  <c r="P84" i="12" s="1"/>
  <c r="Q84" i="12" s="1"/>
  <c r="R84" i="12" s="1"/>
  <c r="O85" i="12"/>
  <c r="P85" i="12" s="1"/>
  <c r="Q85" i="12" s="1"/>
  <c r="R85" i="12" s="1"/>
  <c r="O86" i="12"/>
  <c r="P86" i="12" s="1"/>
  <c r="Q86" i="12" s="1"/>
  <c r="R86" i="12" s="1"/>
  <c r="O87" i="12"/>
  <c r="P87" i="12" s="1"/>
  <c r="Q87" i="12" s="1"/>
  <c r="R87" i="12" s="1"/>
  <c r="O88" i="12"/>
  <c r="P88" i="12" s="1"/>
  <c r="Q88" i="12" s="1"/>
  <c r="R88" i="12" s="1"/>
  <c r="O89" i="12"/>
  <c r="P89" i="12" s="1"/>
  <c r="Q89" i="12" s="1"/>
  <c r="R89" i="12" s="1"/>
  <c r="O90" i="12"/>
  <c r="P90" i="12" s="1"/>
  <c r="Q90" i="12" s="1"/>
  <c r="R90" i="12" s="1"/>
  <c r="O91" i="12"/>
  <c r="P91" i="12" s="1"/>
  <c r="Q91" i="12" s="1"/>
  <c r="R91" i="12" s="1"/>
  <c r="O92" i="12"/>
  <c r="P92" i="12" s="1"/>
  <c r="Q92" i="12" s="1"/>
  <c r="R92" i="12" s="1"/>
  <c r="O93" i="12"/>
  <c r="P93" i="12" s="1"/>
  <c r="Q93" i="12" s="1"/>
  <c r="R93" i="12" s="1"/>
  <c r="O94" i="12"/>
  <c r="P94" i="12" s="1"/>
  <c r="Q94" i="12" s="1"/>
  <c r="R94" i="12" s="1"/>
  <c r="O95" i="12"/>
  <c r="P95" i="12" s="1"/>
  <c r="Q95" i="12" s="1"/>
  <c r="R95" i="12" s="1"/>
  <c r="O96" i="12"/>
  <c r="P96" i="12" s="1"/>
  <c r="Q96" i="12" s="1"/>
  <c r="R96" i="12" s="1"/>
  <c r="O97" i="12"/>
  <c r="P97" i="12" s="1"/>
  <c r="Q97" i="12" s="1"/>
  <c r="R97" i="12" s="1"/>
  <c r="O98" i="12"/>
  <c r="P98" i="12" s="1"/>
  <c r="Q98" i="12" s="1"/>
  <c r="R98" i="12" s="1"/>
  <c r="O99" i="12"/>
  <c r="P99" i="12" s="1"/>
  <c r="Q99" i="12" s="1"/>
  <c r="R99" i="12" s="1"/>
  <c r="O100" i="12"/>
  <c r="P100" i="12" s="1"/>
  <c r="Q100" i="12" s="1"/>
  <c r="R100" i="12" s="1"/>
  <c r="O101" i="12"/>
  <c r="P101" i="12" s="1"/>
  <c r="Q101" i="12" s="1"/>
  <c r="R101" i="12" s="1"/>
  <c r="O102" i="12"/>
  <c r="P102" i="12" s="1"/>
  <c r="Q102" i="12" s="1"/>
  <c r="R102" i="12" s="1"/>
  <c r="O103" i="12"/>
  <c r="P103" i="12" s="1"/>
  <c r="Q103" i="12" s="1"/>
  <c r="R103" i="12" s="1"/>
  <c r="O104" i="12"/>
  <c r="P104" i="12" s="1"/>
  <c r="Q104" i="12" s="1"/>
  <c r="R104" i="12" s="1"/>
  <c r="O105" i="12"/>
  <c r="P105" i="12" s="1"/>
  <c r="Q105" i="12" s="1"/>
  <c r="R105" i="12" s="1"/>
  <c r="O153" i="12"/>
  <c r="P153" i="12" s="1"/>
  <c r="Q153" i="12" s="1"/>
  <c r="R153" i="12" s="1"/>
  <c r="O154" i="12"/>
  <c r="P154" i="12" s="1"/>
  <c r="Q154" i="12" s="1"/>
  <c r="R154" i="12" s="1"/>
  <c r="O155" i="12"/>
  <c r="P155" i="12" s="1"/>
  <c r="Q155" i="12" s="1"/>
  <c r="R155" i="12" s="1"/>
  <c r="O156" i="12"/>
  <c r="P156" i="12" s="1"/>
  <c r="Q156" i="12" s="1"/>
  <c r="R156" i="12" s="1"/>
  <c r="O157" i="12"/>
  <c r="P157" i="12"/>
  <c r="Q157" i="12" s="1"/>
  <c r="R157" i="12" s="1"/>
  <c r="O158" i="12"/>
  <c r="P158" i="12" s="1"/>
  <c r="Q158" i="12" s="1"/>
  <c r="R158" i="12" s="1"/>
  <c r="O159" i="12"/>
  <c r="P159" i="12" s="1"/>
  <c r="Q159" i="12" s="1"/>
  <c r="R159" i="12" s="1"/>
  <c r="O160" i="12"/>
  <c r="P160" i="12" s="1"/>
  <c r="Q160" i="12" s="1"/>
  <c r="R160" i="12" s="1"/>
  <c r="O161" i="12"/>
  <c r="P161" i="12" s="1"/>
  <c r="Q161" i="12" s="1"/>
  <c r="R161" i="12" s="1"/>
  <c r="K58" i="12"/>
  <c r="M58" i="12" s="1"/>
  <c r="K59" i="12"/>
  <c r="M59" i="12" s="1"/>
  <c r="K60" i="12"/>
  <c r="M60" i="12" s="1"/>
  <c r="K61" i="12"/>
  <c r="M61" i="12" s="1"/>
  <c r="K62" i="12"/>
  <c r="M62" i="12" s="1"/>
  <c r="K63" i="12"/>
  <c r="M63" i="12" s="1"/>
  <c r="K64" i="12"/>
  <c r="M64" i="12" s="1"/>
  <c r="K65" i="12"/>
  <c r="M65" i="12" s="1"/>
  <c r="K66" i="12"/>
  <c r="M66" i="12" s="1"/>
  <c r="K67" i="12"/>
  <c r="M67" i="12" s="1"/>
  <c r="K68" i="12"/>
  <c r="M68" i="12" s="1"/>
  <c r="K69" i="12"/>
  <c r="M69" i="12" s="1"/>
  <c r="K70" i="12"/>
  <c r="M70" i="12" s="1"/>
  <c r="K71" i="12"/>
  <c r="M71" i="12" s="1"/>
  <c r="K72" i="12"/>
  <c r="M72" i="12" s="1"/>
  <c r="K57" i="12"/>
  <c r="M57" i="12" s="1"/>
  <c r="M17" i="12" l="1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K5" i="12"/>
  <c r="O75" i="2" l="1"/>
  <c r="P75" i="2" s="1"/>
  <c r="Q75" i="2" s="1"/>
  <c r="R75" i="2" s="1"/>
  <c r="O74" i="2"/>
  <c r="P74" i="2" s="1"/>
  <c r="Q74" i="2" s="1"/>
  <c r="R74" i="2" s="1"/>
  <c r="O73" i="2"/>
  <c r="P73" i="2" s="1"/>
  <c r="Q73" i="2" s="1"/>
  <c r="R73" i="2" s="1"/>
  <c r="O72" i="2"/>
  <c r="P72" i="2" s="1"/>
  <c r="Q72" i="2" s="1"/>
  <c r="R72" i="2" s="1"/>
  <c r="O71" i="2"/>
  <c r="P71" i="2" s="1"/>
  <c r="Q71" i="2" s="1"/>
  <c r="R71" i="2" s="1"/>
  <c r="O70" i="2"/>
  <c r="P70" i="2" s="1"/>
  <c r="Q70" i="2" s="1"/>
  <c r="R70" i="2" s="1"/>
  <c r="O69" i="2"/>
  <c r="P69" i="2" s="1"/>
  <c r="Q69" i="2" s="1"/>
  <c r="R69" i="2" s="1"/>
  <c r="O68" i="2"/>
  <c r="P68" i="2" s="1"/>
  <c r="Q68" i="2" s="1"/>
  <c r="R68" i="2" s="1"/>
  <c r="O67" i="2"/>
  <c r="P67" i="2" s="1"/>
  <c r="Q67" i="2" s="1"/>
  <c r="R67" i="2" s="1"/>
  <c r="O66" i="2"/>
  <c r="P66" i="2" s="1"/>
  <c r="Q66" i="2" s="1"/>
  <c r="R66" i="2" s="1"/>
  <c r="O65" i="2"/>
  <c r="P65" i="2" s="1"/>
  <c r="Q65" i="2" s="1"/>
  <c r="R65" i="2" s="1"/>
  <c r="O64" i="2"/>
  <c r="P64" i="2" s="1"/>
  <c r="Q64" i="2" s="1"/>
  <c r="R64" i="2" s="1"/>
  <c r="O63" i="2"/>
  <c r="P63" i="2" s="1"/>
  <c r="Q63" i="2" s="1"/>
  <c r="R63" i="2" s="1"/>
  <c r="O62" i="2"/>
  <c r="P62" i="2" s="1"/>
  <c r="Q62" i="2" s="1"/>
  <c r="R62" i="2" s="1"/>
  <c r="O61" i="2"/>
  <c r="P61" i="2" s="1"/>
  <c r="Q61" i="2" s="1"/>
  <c r="R61" i="2" s="1"/>
  <c r="O60" i="2"/>
  <c r="P60" i="2" s="1"/>
  <c r="Q60" i="2" s="1"/>
  <c r="R60" i="2" s="1"/>
  <c r="O59" i="2"/>
  <c r="P59" i="2" s="1"/>
  <c r="Q59" i="2" s="1"/>
  <c r="R59" i="2" s="1"/>
  <c r="O58" i="2"/>
  <c r="P58" i="2" s="1"/>
  <c r="Q58" i="2" s="1"/>
  <c r="R58" i="2" s="1"/>
  <c r="O57" i="2"/>
  <c r="P57" i="2" s="1"/>
  <c r="Q57" i="2" s="1"/>
  <c r="R57" i="2" s="1"/>
  <c r="O56" i="2"/>
  <c r="P56" i="2" s="1"/>
  <c r="Q56" i="2" s="1"/>
  <c r="R56" i="2" s="1"/>
  <c r="O55" i="2"/>
  <c r="P55" i="2" s="1"/>
  <c r="Q55" i="2" s="1"/>
  <c r="R55" i="2" s="1"/>
  <c r="O54" i="2"/>
  <c r="P54" i="2" s="1"/>
  <c r="Q54" i="2" s="1"/>
  <c r="R54" i="2" s="1"/>
  <c r="O53" i="2"/>
  <c r="P53" i="2" s="1"/>
  <c r="Q53" i="2" s="1"/>
  <c r="R53" i="2" s="1"/>
  <c r="O52" i="2"/>
  <c r="P52" i="2" s="1"/>
  <c r="Q52" i="2" s="1"/>
  <c r="R52" i="2" s="1"/>
  <c r="O51" i="2"/>
  <c r="P51" i="2" s="1"/>
  <c r="Q51" i="2" s="1"/>
  <c r="R51" i="2" s="1"/>
  <c r="O50" i="2"/>
  <c r="P50" i="2" s="1"/>
  <c r="Q50" i="2" s="1"/>
  <c r="R50" i="2" s="1"/>
  <c r="O48" i="2"/>
  <c r="P48" i="2" s="1"/>
  <c r="Q48" i="2" s="1"/>
  <c r="R48" i="2" s="1"/>
  <c r="O47" i="2"/>
  <c r="P47" i="2" s="1"/>
  <c r="Q47" i="2" s="1"/>
  <c r="R47" i="2" s="1"/>
  <c r="O46" i="2"/>
  <c r="P46" i="2" s="1"/>
  <c r="Q46" i="2" s="1"/>
  <c r="R46" i="2" s="1"/>
  <c r="O45" i="2"/>
  <c r="P45" i="2" s="1"/>
  <c r="Q45" i="2" s="1"/>
  <c r="R45" i="2" s="1"/>
  <c r="O44" i="2"/>
  <c r="P44" i="2" s="1"/>
  <c r="Q44" i="2" s="1"/>
  <c r="R44" i="2" s="1"/>
  <c r="O43" i="2"/>
  <c r="P43" i="2" s="1"/>
  <c r="Q43" i="2" s="1"/>
  <c r="R43" i="2" s="1"/>
  <c r="O42" i="2"/>
  <c r="P42" i="2" s="1"/>
  <c r="Q42" i="2" s="1"/>
  <c r="R42" i="2" s="1"/>
  <c r="O41" i="2"/>
  <c r="P41" i="2" s="1"/>
  <c r="Q41" i="2" s="1"/>
  <c r="R41" i="2" s="1"/>
  <c r="O40" i="2"/>
  <c r="P40" i="2" s="1"/>
  <c r="Q40" i="2" s="1"/>
  <c r="R40" i="2" s="1"/>
  <c r="O39" i="2"/>
  <c r="P39" i="2" s="1"/>
  <c r="Q39" i="2" s="1"/>
  <c r="R39" i="2" s="1"/>
  <c r="O38" i="2"/>
  <c r="P38" i="2" s="1"/>
  <c r="Q38" i="2" s="1"/>
  <c r="R38" i="2" s="1"/>
  <c r="O37" i="2"/>
  <c r="P37" i="2" s="1"/>
  <c r="Q37" i="2" s="1"/>
  <c r="R37" i="2" s="1"/>
  <c r="O36" i="2"/>
  <c r="P36" i="2" s="1"/>
  <c r="Q36" i="2" s="1"/>
  <c r="R36" i="2" s="1"/>
  <c r="O35" i="2"/>
  <c r="P35" i="2" s="1"/>
  <c r="Q35" i="2" s="1"/>
  <c r="R35" i="2" s="1"/>
  <c r="O34" i="2"/>
  <c r="P34" i="2" s="1"/>
  <c r="Q34" i="2" s="1"/>
  <c r="R34" i="2" s="1"/>
  <c r="O33" i="2"/>
  <c r="P33" i="2" s="1"/>
  <c r="Q33" i="2" s="1"/>
  <c r="R33" i="2" s="1"/>
  <c r="O32" i="2"/>
  <c r="P32" i="2" s="1"/>
  <c r="Q32" i="2" s="1"/>
  <c r="R32" i="2" s="1"/>
  <c r="O31" i="2"/>
  <c r="P31" i="2" s="1"/>
  <c r="Q31" i="2" s="1"/>
  <c r="R31" i="2" s="1"/>
  <c r="O30" i="2"/>
  <c r="P30" i="2" s="1"/>
  <c r="Q30" i="2" s="1"/>
  <c r="R30" i="2" s="1"/>
  <c r="O29" i="2"/>
  <c r="P29" i="2" s="1"/>
  <c r="Q29" i="2" s="1"/>
  <c r="R29" i="2" s="1"/>
  <c r="O28" i="2"/>
  <c r="P28" i="2" s="1"/>
  <c r="Q28" i="2" s="1"/>
  <c r="R28" i="2" s="1"/>
  <c r="O27" i="2"/>
  <c r="P27" i="2" s="1"/>
  <c r="Q27" i="2" s="1"/>
  <c r="R27" i="2" s="1"/>
  <c r="O26" i="2"/>
  <c r="P26" i="2" s="1"/>
  <c r="Q26" i="2" s="1"/>
  <c r="R26" i="2" s="1"/>
  <c r="O25" i="2"/>
  <c r="P25" i="2" s="1"/>
  <c r="Q25" i="2" s="1"/>
  <c r="R25" i="2" s="1"/>
  <c r="O24" i="2"/>
  <c r="P24" i="2" s="1"/>
  <c r="Q24" i="2" s="1"/>
  <c r="R24" i="2" s="1"/>
  <c r="O23" i="2"/>
  <c r="P23" i="2" s="1"/>
  <c r="Q23" i="2" s="1"/>
  <c r="R23" i="2" s="1"/>
  <c r="O22" i="2"/>
  <c r="P22" i="2" s="1"/>
  <c r="Q22" i="2" s="1"/>
  <c r="R22" i="2" s="1"/>
  <c r="O21" i="2"/>
  <c r="P21" i="2" s="1"/>
  <c r="Q21" i="2" s="1"/>
  <c r="R21" i="2" s="1"/>
  <c r="O20" i="2"/>
  <c r="P20" i="2" s="1"/>
  <c r="Q20" i="2" s="1"/>
  <c r="R20" i="2" s="1"/>
  <c r="O19" i="2"/>
  <c r="P19" i="2" s="1"/>
  <c r="Q19" i="2" s="1"/>
  <c r="R19" i="2" s="1"/>
  <c r="O18" i="2"/>
  <c r="P18" i="2" s="1"/>
  <c r="Q18" i="2" s="1"/>
  <c r="R18" i="2" s="1"/>
  <c r="O17" i="2"/>
  <c r="P17" i="2" s="1"/>
  <c r="Q17" i="2" s="1"/>
  <c r="R17" i="2" s="1"/>
  <c r="M17" i="2"/>
  <c r="O16" i="2"/>
  <c r="P16" i="2" s="1"/>
  <c r="Q16" i="2" s="1"/>
  <c r="R16" i="2" s="1"/>
  <c r="M16" i="2"/>
  <c r="O15" i="2"/>
  <c r="P15" i="2" s="1"/>
  <c r="Q15" i="2" s="1"/>
  <c r="R15" i="2" s="1"/>
  <c r="M15" i="2"/>
  <c r="O14" i="2"/>
  <c r="P14" i="2" s="1"/>
  <c r="Q14" i="2" s="1"/>
  <c r="R14" i="2" s="1"/>
  <c r="M14" i="2"/>
  <c r="O13" i="2"/>
  <c r="P13" i="2" s="1"/>
  <c r="Q13" i="2" s="1"/>
  <c r="R13" i="2" s="1"/>
  <c r="M13" i="2"/>
  <c r="O12" i="2"/>
  <c r="P12" i="2" s="1"/>
  <c r="Q12" i="2" s="1"/>
  <c r="R12" i="2" s="1"/>
  <c r="M12" i="2"/>
  <c r="O11" i="2"/>
  <c r="P11" i="2" s="1"/>
  <c r="Q11" i="2" s="1"/>
  <c r="R11" i="2" s="1"/>
  <c r="M11" i="2"/>
  <c r="O10" i="2"/>
  <c r="P10" i="2" s="1"/>
  <c r="Q10" i="2" s="1"/>
  <c r="R10" i="2" s="1"/>
  <c r="M10" i="2"/>
  <c r="O9" i="2"/>
  <c r="P9" i="2" s="1"/>
  <c r="Q9" i="2" s="1"/>
  <c r="R9" i="2" s="1"/>
  <c r="M9" i="2"/>
  <c r="O8" i="2"/>
  <c r="P8" i="2" s="1"/>
  <c r="Q8" i="2" s="1"/>
  <c r="R8" i="2" s="1"/>
  <c r="K8" i="2"/>
  <c r="M8" i="2" s="1"/>
  <c r="O7" i="2"/>
  <c r="P7" i="2" s="1"/>
  <c r="Q7" i="2" s="1"/>
  <c r="R7" i="2" s="1"/>
  <c r="K7" i="2"/>
  <c r="M7" i="2" s="1"/>
  <c r="O6" i="2"/>
  <c r="P6" i="2" s="1"/>
  <c r="Q6" i="2" s="1"/>
  <c r="R6" i="2" s="1"/>
  <c r="K6" i="2"/>
  <c r="M6" i="2" s="1"/>
  <c r="O5" i="2"/>
  <c r="P5" i="2" s="1"/>
  <c r="Q5" i="2" s="1"/>
  <c r="R5" i="2" s="1"/>
  <c r="K5" i="2"/>
  <c r="M5" i="2" s="1"/>
  <c r="O78" i="3"/>
  <c r="P78" i="3" s="1"/>
  <c r="Q78" i="3" s="1"/>
  <c r="R78" i="3" s="1"/>
  <c r="O77" i="3"/>
  <c r="P77" i="3" s="1"/>
  <c r="Q77" i="3" s="1"/>
  <c r="R77" i="3" s="1"/>
  <c r="O76" i="3"/>
  <c r="P76" i="3" s="1"/>
  <c r="Q76" i="3" s="1"/>
  <c r="R76" i="3" s="1"/>
  <c r="O75" i="3"/>
  <c r="P75" i="3" s="1"/>
  <c r="Q75" i="3" s="1"/>
  <c r="R75" i="3" s="1"/>
  <c r="O74" i="3"/>
  <c r="P74" i="3" s="1"/>
  <c r="Q74" i="3" s="1"/>
  <c r="R74" i="3" s="1"/>
  <c r="O73" i="3"/>
  <c r="P73" i="3" s="1"/>
  <c r="Q73" i="3" s="1"/>
  <c r="R73" i="3" s="1"/>
  <c r="O72" i="3"/>
  <c r="P72" i="3" s="1"/>
  <c r="Q72" i="3" s="1"/>
  <c r="R72" i="3" s="1"/>
  <c r="O71" i="3"/>
  <c r="P71" i="3" s="1"/>
  <c r="Q71" i="3" s="1"/>
  <c r="R71" i="3" s="1"/>
  <c r="O70" i="3"/>
  <c r="P70" i="3" s="1"/>
  <c r="Q70" i="3" s="1"/>
  <c r="R70" i="3" s="1"/>
  <c r="O69" i="3"/>
  <c r="P69" i="3" s="1"/>
  <c r="Q69" i="3" s="1"/>
  <c r="R69" i="3" s="1"/>
  <c r="O68" i="3"/>
  <c r="P68" i="3" s="1"/>
  <c r="Q68" i="3" s="1"/>
  <c r="R68" i="3" s="1"/>
  <c r="O67" i="3"/>
  <c r="P67" i="3" s="1"/>
  <c r="Q67" i="3" s="1"/>
  <c r="R67" i="3" s="1"/>
  <c r="O66" i="3"/>
  <c r="P66" i="3" s="1"/>
  <c r="Q66" i="3" s="1"/>
  <c r="R66" i="3" s="1"/>
  <c r="O65" i="3"/>
  <c r="P65" i="3" s="1"/>
  <c r="Q65" i="3" s="1"/>
  <c r="R65" i="3" s="1"/>
  <c r="O64" i="3"/>
  <c r="P64" i="3" s="1"/>
  <c r="Q64" i="3" s="1"/>
  <c r="R64" i="3" s="1"/>
  <c r="O63" i="3"/>
  <c r="P63" i="3" s="1"/>
  <c r="Q63" i="3" s="1"/>
  <c r="R63" i="3" s="1"/>
  <c r="O62" i="3"/>
  <c r="P62" i="3" s="1"/>
  <c r="Q62" i="3" s="1"/>
  <c r="R62" i="3" s="1"/>
  <c r="O61" i="3"/>
  <c r="P61" i="3" s="1"/>
  <c r="Q61" i="3" s="1"/>
  <c r="R61" i="3" s="1"/>
  <c r="O60" i="3"/>
  <c r="P60" i="3" s="1"/>
  <c r="Q60" i="3" s="1"/>
  <c r="R60" i="3" s="1"/>
  <c r="O59" i="3"/>
  <c r="P59" i="3" s="1"/>
  <c r="Q59" i="3" s="1"/>
  <c r="R59" i="3" s="1"/>
  <c r="O58" i="3"/>
  <c r="P58" i="3" s="1"/>
  <c r="Q58" i="3" s="1"/>
  <c r="R58" i="3" s="1"/>
  <c r="O57" i="3"/>
  <c r="P57" i="3" s="1"/>
  <c r="Q57" i="3" s="1"/>
  <c r="R57" i="3" s="1"/>
  <c r="O56" i="3"/>
  <c r="P56" i="3" s="1"/>
  <c r="Q56" i="3" s="1"/>
  <c r="R56" i="3" s="1"/>
  <c r="O55" i="3"/>
  <c r="P55" i="3" s="1"/>
  <c r="Q55" i="3" s="1"/>
  <c r="R55" i="3" s="1"/>
  <c r="O54" i="3"/>
  <c r="P54" i="3" s="1"/>
  <c r="Q54" i="3" s="1"/>
  <c r="R54" i="3" s="1"/>
  <c r="O53" i="3"/>
  <c r="P53" i="3" s="1"/>
  <c r="Q53" i="3" s="1"/>
  <c r="R53" i="3" s="1"/>
  <c r="O52" i="3"/>
  <c r="P52" i="3" s="1"/>
  <c r="Q52" i="3" s="1"/>
  <c r="R52" i="3" s="1"/>
  <c r="O51" i="3"/>
  <c r="P51" i="3" s="1"/>
  <c r="Q51" i="3" s="1"/>
  <c r="R51" i="3" s="1"/>
  <c r="O50" i="3"/>
  <c r="P50" i="3" s="1"/>
  <c r="Q50" i="3" s="1"/>
  <c r="R50" i="3" s="1"/>
  <c r="O49" i="3"/>
  <c r="P49" i="3" s="1"/>
  <c r="Q49" i="3" s="1"/>
  <c r="R49" i="3" s="1"/>
  <c r="O48" i="3"/>
  <c r="P48" i="3" s="1"/>
  <c r="Q48" i="3" s="1"/>
  <c r="R48" i="3" s="1"/>
  <c r="O47" i="3"/>
  <c r="P47" i="3" s="1"/>
  <c r="Q47" i="3" s="1"/>
  <c r="R47" i="3" s="1"/>
  <c r="O46" i="3"/>
  <c r="P46" i="3" s="1"/>
  <c r="Q46" i="3" s="1"/>
  <c r="R46" i="3" s="1"/>
  <c r="O45" i="3"/>
  <c r="P45" i="3" s="1"/>
  <c r="Q45" i="3" s="1"/>
  <c r="R45" i="3" s="1"/>
  <c r="O44" i="3"/>
  <c r="P44" i="3" s="1"/>
  <c r="Q44" i="3" s="1"/>
  <c r="R44" i="3" s="1"/>
  <c r="O43" i="3"/>
  <c r="P43" i="3" s="1"/>
  <c r="Q43" i="3" s="1"/>
  <c r="R43" i="3" s="1"/>
  <c r="O42" i="3"/>
  <c r="P42" i="3" s="1"/>
  <c r="Q42" i="3" s="1"/>
  <c r="R42" i="3" s="1"/>
  <c r="O41" i="3"/>
  <c r="P41" i="3" s="1"/>
  <c r="Q41" i="3" s="1"/>
  <c r="R41" i="3" s="1"/>
  <c r="O40" i="3"/>
  <c r="P40" i="3" s="1"/>
  <c r="Q40" i="3" s="1"/>
  <c r="R40" i="3" s="1"/>
  <c r="O39" i="3"/>
  <c r="P39" i="3" s="1"/>
  <c r="Q39" i="3" s="1"/>
  <c r="R39" i="3" s="1"/>
  <c r="O38" i="3"/>
  <c r="P38" i="3" s="1"/>
  <c r="Q38" i="3" s="1"/>
  <c r="R38" i="3" s="1"/>
  <c r="O37" i="3"/>
  <c r="P37" i="3" s="1"/>
  <c r="Q37" i="3" s="1"/>
  <c r="R37" i="3" s="1"/>
  <c r="O36" i="3"/>
  <c r="P36" i="3" s="1"/>
  <c r="Q36" i="3" s="1"/>
  <c r="R36" i="3" s="1"/>
  <c r="O35" i="3"/>
  <c r="P35" i="3" s="1"/>
  <c r="Q35" i="3" s="1"/>
  <c r="R35" i="3" s="1"/>
  <c r="O34" i="3"/>
  <c r="P34" i="3" s="1"/>
  <c r="Q34" i="3" s="1"/>
  <c r="R34" i="3" s="1"/>
  <c r="O33" i="3"/>
  <c r="P33" i="3" s="1"/>
  <c r="Q33" i="3" s="1"/>
  <c r="R33" i="3" s="1"/>
  <c r="O32" i="3"/>
  <c r="P32" i="3" s="1"/>
  <c r="Q32" i="3" s="1"/>
  <c r="R32" i="3" s="1"/>
  <c r="O31" i="3"/>
  <c r="P31" i="3" s="1"/>
  <c r="Q31" i="3" s="1"/>
  <c r="R31" i="3" s="1"/>
  <c r="O30" i="3"/>
  <c r="P30" i="3" s="1"/>
  <c r="Q30" i="3" s="1"/>
  <c r="R30" i="3" s="1"/>
  <c r="O29" i="3"/>
  <c r="P29" i="3" s="1"/>
  <c r="Q29" i="3" s="1"/>
  <c r="R29" i="3" s="1"/>
  <c r="O28" i="3"/>
  <c r="P28" i="3" s="1"/>
  <c r="Q28" i="3" s="1"/>
  <c r="R28" i="3" s="1"/>
  <c r="O27" i="3"/>
  <c r="P27" i="3" s="1"/>
  <c r="Q27" i="3" s="1"/>
  <c r="R27" i="3" s="1"/>
  <c r="O26" i="3"/>
  <c r="P26" i="3" s="1"/>
  <c r="Q26" i="3" s="1"/>
  <c r="R26" i="3" s="1"/>
  <c r="O25" i="3"/>
  <c r="P25" i="3" s="1"/>
  <c r="Q25" i="3" s="1"/>
  <c r="R25" i="3" s="1"/>
  <c r="O24" i="3"/>
  <c r="P24" i="3" s="1"/>
  <c r="Q24" i="3" s="1"/>
  <c r="R24" i="3" s="1"/>
  <c r="O23" i="3"/>
  <c r="P23" i="3" s="1"/>
  <c r="Q23" i="3" s="1"/>
  <c r="R23" i="3" s="1"/>
  <c r="O22" i="3"/>
  <c r="P22" i="3" s="1"/>
  <c r="Q22" i="3" s="1"/>
  <c r="R22" i="3" s="1"/>
  <c r="O21" i="3"/>
  <c r="P21" i="3" s="1"/>
  <c r="Q21" i="3" s="1"/>
  <c r="R21" i="3" s="1"/>
  <c r="O20" i="3"/>
  <c r="P20" i="3" s="1"/>
  <c r="Q20" i="3" s="1"/>
  <c r="R20" i="3" s="1"/>
  <c r="O19" i="3"/>
  <c r="P19" i="3" s="1"/>
  <c r="Q19" i="3" s="1"/>
  <c r="R19" i="3" s="1"/>
  <c r="O18" i="3"/>
  <c r="P18" i="3" s="1"/>
  <c r="Q18" i="3" s="1"/>
  <c r="R18" i="3" s="1"/>
  <c r="O17" i="3"/>
  <c r="P17" i="3" s="1"/>
  <c r="Q17" i="3" s="1"/>
  <c r="R17" i="3" s="1"/>
  <c r="M17" i="3"/>
  <c r="O16" i="3"/>
  <c r="P16" i="3" s="1"/>
  <c r="Q16" i="3" s="1"/>
  <c r="R16" i="3" s="1"/>
  <c r="M16" i="3"/>
  <c r="O15" i="3"/>
  <c r="P15" i="3" s="1"/>
  <c r="Q15" i="3" s="1"/>
  <c r="R15" i="3" s="1"/>
  <c r="M15" i="3"/>
  <c r="O14" i="3"/>
  <c r="P14" i="3" s="1"/>
  <c r="Q14" i="3" s="1"/>
  <c r="R14" i="3" s="1"/>
  <c r="M14" i="3"/>
  <c r="O13" i="3"/>
  <c r="P13" i="3" s="1"/>
  <c r="Q13" i="3" s="1"/>
  <c r="R13" i="3" s="1"/>
  <c r="M13" i="3"/>
  <c r="O12" i="3"/>
  <c r="P12" i="3" s="1"/>
  <c r="Q12" i="3" s="1"/>
  <c r="R12" i="3" s="1"/>
  <c r="M12" i="3"/>
  <c r="O11" i="3"/>
  <c r="P11" i="3" s="1"/>
  <c r="Q11" i="3" s="1"/>
  <c r="R11" i="3" s="1"/>
  <c r="M11" i="3"/>
  <c r="P10" i="3"/>
  <c r="Q10" i="3" s="1"/>
  <c r="R10" i="3" s="1"/>
  <c r="O10" i="3"/>
  <c r="M10" i="3"/>
  <c r="O9" i="3"/>
  <c r="P9" i="3" s="1"/>
  <c r="Q9" i="3" s="1"/>
  <c r="R9" i="3" s="1"/>
  <c r="M9" i="3"/>
  <c r="O8" i="3"/>
  <c r="P8" i="3" s="1"/>
  <c r="Q8" i="3" s="1"/>
  <c r="R8" i="3" s="1"/>
  <c r="K8" i="3"/>
  <c r="M8" i="3" s="1"/>
  <c r="O7" i="3"/>
  <c r="P7" i="3" s="1"/>
  <c r="Q7" i="3" s="1"/>
  <c r="R7" i="3" s="1"/>
  <c r="K7" i="3"/>
  <c r="M7" i="3" s="1"/>
  <c r="O6" i="3"/>
  <c r="P6" i="3" s="1"/>
  <c r="Q6" i="3" s="1"/>
  <c r="R6" i="3" s="1"/>
  <c r="K6" i="3"/>
  <c r="M6" i="3" s="1"/>
  <c r="O5" i="3"/>
  <c r="P5" i="3" s="1"/>
  <c r="Q5" i="3" s="1"/>
  <c r="R5" i="3" s="1"/>
  <c r="K5" i="3"/>
  <c r="M5" i="3" s="1"/>
  <c r="O75" i="4"/>
  <c r="P75" i="4" s="1"/>
  <c r="Q75" i="4" s="1"/>
  <c r="R75" i="4" s="1"/>
  <c r="O74" i="4"/>
  <c r="P74" i="4" s="1"/>
  <c r="Q74" i="4" s="1"/>
  <c r="R74" i="4" s="1"/>
  <c r="O73" i="4"/>
  <c r="P73" i="4" s="1"/>
  <c r="Q73" i="4" s="1"/>
  <c r="R73" i="4" s="1"/>
  <c r="O72" i="4"/>
  <c r="P72" i="4" s="1"/>
  <c r="Q72" i="4" s="1"/>
  <c r="R72" i="4" s="1"/>
  <c r="O71" i="4"/>
  <c r="P71" i="4" s="1"/>
  <c r="Q71" i="4" s="1"/>
  <c r="R71" i="4" s="1"/>
  <c r="O70" i="4"/>
  <c r="P70" i="4" s="1"/>
  <c r="Q70" i="4" s="1"/>
  <c r="R70" i="4" s="1"/>
  <c r="O69" i="4"/>
  <c r="P69" i="4" s="1"/>
  <c r="Q69" i="4" s="1"/>
  <c r="R69" i="4" s="1"/>
  <c r="O68" i="4"/>
  <c r="P68" i="4" s="1"/>
  <c r="Q68" i="4" s="1"/>
  <c r="R68" i="4" s="1"/>
  <c r="O67" i="4"/>
  <c r="P67" i="4" s="1"/>
  <c r="Q67" i="4" s="1"/>
  <c r="R67" i="4" s="1"/>
  <c r="O66" i="4"/>
  <c r="P66" i="4" s="1"/>
  <c r="Q66" i="4" s="1"/>
  <c r="R66" i="4" s="1"/>
  <c r="O65" i="4"/>
  <c r="P65" i="4" s="1"/>
  <c r="Q65" i="4" s="1"/>
  <c r="R65" i="4" s="1"/>
  <c r="O64" i="4"/>
  <c r="P64" i="4" s="1"/>
  <c r="Q64" i="4" s="1"/>
  <c r="R64" i="4" s="1"/>
  <c r="O63" i="4"/>
  <c r="P63" i="4" s="1"/>
  <c r="Q63" i="4" s="1"/>
  <c r="R63" i="4" s="1"/>
  <c r="O62" i="4"/>
  <c r="P62" i="4" s="1"/>
  <c r="Q62" i="4" s="1"/>
  <c r="R62" i="4" s="1"/>
  <c r="O61" i="4"/>
  <c r="P61" i="4" s="1"/>
  <c r="Q61" i="4" s="1"/>
  <c r="R61" i="4" s="1"/>
  <c r="O60" i="4"/>
  <c r="P60" i="4" s="1"/>
  <c r="Q60" i="4" s="1"/>
  <c r="R60" i="4" s="1"/>
  <c r="O59" i="4"/>
  <c r="P59" i="4" s="1"/>
  <c r="Q59" i="4" s="1"/>
  <c r="R59" i="4" s="1"/>
  <c r="O58" i="4"/>
  <c r="P58" i="4" s="1"/>
  <c r="Q58" i="4" s="1"/>
  <c r="R58" i="4" s="1"/>
  <c r="O57" i="4"/>
  <c r="P57" i="4" s="1"/>
  <c r="Q57" i="4" s="1"/>
  <c r="R57" i="4" s="1"/>
  <c r="O56" i="4"/>
  <c r="P56" i="4" s="1"/>
  <c r="Q56" i="4" s="1"/>
  <c r="R56" i="4" s="1"/>
  <c r="O55" i="4"/>
  <c r="P55" i="4" s="1"/>
  <c r="Q55" i="4" s="1"/>
  <c r="R55" i="4" s="1"/>
  <c r="O54" i="4"/>
  <c r="P54" i="4" s="1"/>
  <c r="Q54" i="4" s="1"/>
  <c r="R54" i="4" s="1"/>
  <c r="O53" i="4"/>
  <c r="P53" i="4" s="1"/>
  <c r="Q53" i="4" s="1"/>
  <c r="R53" i="4" s="1"/>
  <c r="O52" i="4"/>
  <c r="P52" i="4" s="1"/>
  <c r="Q52" i="4" s="1"/>
  <c r="R52" i="4" s="1"/>
  <c r="O51" i="4"/>
  <c r="P51" i="4" s="1"/>
  <c r="Q51" i="4" s="1"/>
  <c r="R51" i="4" s="1"/>
  <c r="O50" i="4"/>
  <c r="P50" i="4" s="1"/>
  <c r="Q50" i="4" s="1"/>
  <c r="R50" i="4" s="1"/>
  <c r="O49" i="4"/>
  <c r="P49" i="4" s="1"/>
  <c r="Q49" i="4" s="1"/>
  <c r="R49" i="4" s="1"/>
  <c r="O48" i="4"/>
  <c r="P48" i="4" s="1"/>
  <c r="Q48" i="4" s="1"/>
  <c r="R48" i="4" s="1"/>
  <c r="O47" i="4"/>
  <c r="P47" i="4" s="1"/>
  <c r="Q47" i="4" s="1"/>
  <c r="R47" i="4" s="1"/>
  <c r="O46" i="4"/>
  <c r="P46" i="4" s="1"/>
  <c r="Q46" i="4" s="1"/>
  <c r="R46" i="4" s="1"/>
  <c r="O45" i="4"/>
  <c r="P45" i="4" s="1"/>
  <c r="Q45" i="4" s="1"/>
  <c r="R45" i="4" s="1"/>
  <c r="O44" i="4"/>
  <c r="P44" i="4" s="1"/>
  <c r="Q44" i="4" s="1"/>
  <c r="R44" i="4" s="1"/>
  <c r="O43" i="4"/>
  <c r="P43" i="4" s="1"/>
  <c r="Q43" i="4" s="1"/>
  <c r="R43" i="4" s="1"/>
  <c r="O42" i="4"/>
  <c r="P42" i="4" s="1"/>
  <c r="Q42" i="4" s="1"/>
  <c r="R42" i="4" s="1"/>
  <c r="O41" i="4"/>
  <c r="P41" i="4" s="1"/>
  <c r="Q41" i="4" s="1"/>
  <c r="R41" i="4" s="1"/>
  <c r="O40" i="4"/>
  <c r="P40" i="4" s="1"/>
  <c r="Q40" i="4" s="1"/>
  <c r="R40" i="4" s="1"/>
  <c r="O39" i="4"/>
  <c r="P39" i="4" s="1"/>
  <c r="Q39" i="4" s="1"/>
  <c r="R39" i="4" s="1"/>
  <c r="O38" i="4"/>
  <c r="P38" i="4" s="1"/>
  <c r="Q38" i="4" s="1"/>
  <c r="R38" i="4" s="1"/>
  <c r="O37" i="4"/>
  <c r="P37" i="4" s="1"/>
  <c r="Q37" i="4" s="1"/>
  <c r="R37" i="4" s="1"/>
  <c r="O36" i="4"/>
  <c r="P36" i="4" s="1"/>
  <c r="Q36" i="4" s="1"/>
  <c r="R36" i="4" s="1"/>
  <c r="O35" i="4"/>
  <c r="P35" i="4" s="1"/>
  <c r="Q35" i="4" s="1"/>
  <c r="R35" i="4" s="1"/>
  <c r="O34" i="4"/>
  <c r="P34" i="4" s="1"/>
  <c r="Q34" i="4" s="1"/>
  <c r="R34" i="4" s="1"/>
  <c r="O33" i="4"/>
  <c r="P33" i="4" s="1"/>
  <c r="Q33" i="4" s="1"/>
  <c r="R33" i="4" s="1"/>
  <c r="O32" i="4"/>
  <c r="P32" i="4" s="1"/>
  <c r="Q32" i="4" s="1"/>
  <c r="R32" i="4" s="1"/>
  <c r="O31" i="4"/>
  <c r="P31" i="4" s="1"/>
  <c r="Q31" i="4" s="1"/>
  <c r="R31" i="4" s="1"/>
  <c r="O30" i="4"/>
  <c r="P30" i="4" s="1"/>
  <c r="Q30" i="4" s="1"/>
  <c r="R30" i="4" s="1"/>
  <c r="O29" i="4"/>
  <c r="P29" i="4" s="1"/>
  <c r="Q29" i="4" s="1"/>
  <c r="R29" i="4" s="1"/>
  <c r="O28" i="4"/>
  <c r="P28" i="4" s="1"/>
  <c r="Q28" i="4" s="1"/>
  <c r="R28" i="4" s="1"/>
  <c r="O27" i="4"/>
  <c r="P27" i="4" s="1"/>
  <c r="Q27" i="4" s="1"/>
  <c r="R27" i="4" s="1"/>
  <c r="O26" i="4"/>
  <c r="P26" i="4" s="1"/>
  <c r="Q26" i="4" s="1"/>
  <c r="R26" i="4" s="1"/>
  <c r="O25" i="4"/>
  <c r="P25" i="4" s="1"/>
  <c r="Q25" i="4" s="1"/>
  <c r="R25" i="4" s="1"/>
  <c r="O24" i="4"/>
  <c r="P24" i="4" s="1"/>
  <c r="Q24" i="4" s="1"/>
  <c r="R24" i="4" s="1"/>
  <c r="O23" i="4"/>
  <c r="P23" i="4" s="1"/>
  <c r="Q23" i="4" s="1"/>
  <c r="R23" i="4" s="1"/>
  <c r="O22" i="4"/>
  <c r="P22" i="4" s="1"/>
  <c r="Q22" i="4" s="1"/>
  <c r="R22" i="4" s="1"/>
  <c r="O21" i="4"/>
  <c r="P21" i="4" s="1"/>
  <c r="Q21" i="4" s="1"/>
  <c r="R21" i="4" s="1"/>
  <c r="O20" i="4"/>
  <c r="P20" i="4" s="1"/>
  <c r="Q20" i="4" s="1"/>
  <c r="R20" i="4" s="1"/>
  <c r="O19" i="4"/>
  <c r="P19" i="4" s="1"/>
  <c r="Q19" i="4" s="1"/>
  <c r="R19" i="4" s="1"/>
  <c r="O18" i="4"/>
  <c r="P18" i="4" s="1"/>
  <c r="Q18" i="4" s="1"/>
  <c r="R18" i="4" s="1"/>
  <c r="M18" i="4"/>
  <c r="O17" i="4"/>
  <c r="P17" i="4" s="1"/>
  <c r="Q17" i="4" s="1"/>
  <c r="R17" i="4" s="1"/>
  <c r="M17" i="4"/>
  <c r="O16" i="4"/>
  <c r="P16" i="4" s="1"/>
  <c r="Q16" i="4" s="1"/>
  <c r="R16" i="4" s="1"/>
  <c r="M16" i="4"/>
  <c r="O15" i="4"/>
  <c r="P15" i="4" s="1"/>
  <c r="Q15" i="4" s="1"/>
  <c r="R15" i="4" s="1"/>
  <c r="M15" i="4"/>
  <c r="O14" i="4"/>
  <c r="P14" i="4" s="1"/>
  <c r="Q14" i="4" s="1"/>
  <c r="R14" i="4" s="1"/>
  <c r="M14" i="4"/>
  <c r="O13" i="4"/>
  <c r="P13" i="4" s="1"/>
  <c r="Q13" i="4" s="1"/>
  <c r="R13" i="4" s="1"/>
  <c r="M13" i="4"/>
  <c r="O12" i="4"/>
  <c r="P12" i="4" s="1"/>
  <c r="Q12" i="4" s="1"/>
  <c r="R12" i="4" s="1"/>
  <c r="M12" i="4"/>
  <c r="O11" i="4"/>
  <c r="P11" i="4" s="1"/>
  <c r="Q11" i="4" s="1"/>
  <c r="R11" i="4" s="1"/>
  <c r="M11" i="4"/>
  <c r="O10" i="4"/>
  <c r="P10" i="4" s="1"/>
  <c r="Q10" i="4" s="1"/>
  <c r="R10" i="4" s="1"/>
  <c r="M10" i="4"/>
  <c r="O9" i="4"/>
  <c r="P9" i="4" s="1"/>
  <c r="Q9" i="4" s="1"/>
  <c r="R9" i="4" s="1"/>
  <c r="M9" i="4"/>
  <c r="O8" i="4"/>
  <c r="P8" i="4" s="1"/>
  <c r="Q8" i="4" s="1"/>
  <c r="R8" i="4" s="1"/>
  <c r="K8" i="4"/>
  <c r="M8" i="4" s="1"/>
  <c r="O7" i="4"/>
  <c r="P7" i="4" s="1"/>
  <c r="Q7" i="4" s="1"/>
  <c r="R7" i="4" s="1"/>
  <c r="K7" i="4"/>
  <c r="M7" i="4" s="1"/>
  <c r="O6" i="4"/>
  <c r="P6" i="4" s="1"/>
  <c r="Q6" i="4" s="1"/>
  <c r="R6" i="4" s="1"/>
  <c r="K6" i="4"/>
  <c r="M6" i="4" s="1"/>
  <c r="O5" i="4"/>
  <c r="P5" i="4" s="1"/>
  <c r="Q5" i="4" s="1"/>
  <c r="R5" i="4" s="1"/>
  <c r="K5" i="4"/>
  <c r="M5" i="4" s="1"/>
  <c r="O74" i="5"/>
  <c r="P74" i="5" s="1"/>
  <c r="Q74" i="5" s="1"/>
  <c r="R74" i="5" s="1"/>
  <c r="O73" i="5"/>
  <c r="P73" i="5" s="1"/>
  <c r="Q73" i="5" s="1"/>
  <c r="R73" i="5" s="1"/>
  <c r="O72" i="5"/>
  <c r="P72" i="5" s="1"/>
  <c r="Q72" i="5" s="1"/>
  <c r="R72" i="5" s="1"/>
  <c r="O71" i="5"/>
  <c r="P71" i="5" s="1"/>
  <c r="Q71" i="5" s="1"/>
  <c r="R71" i="5" s="1"/>
  <c r="O70" i="5"/>
  <c r="P70" i="5" s="1"/>
  <c r="Q70" i="5" s="1"/>
  <c r="R70" i="5" s="1"/>
  <c r="O69" i="5"/>
  <c r="P69" i="5" s="1"/>
  <c r="Q69" i="5" s="1"/>
  <c r="R69" i="5" s="1"/>
  <c r="O68" i="5"/>
  <c r="P68" i="5" s="1"/>
  <c r="Q68" i="5" s="1"/>
  <c r="R68" i="5" s="1"/>
  <c r="O67" i="5"/>
  <c r="P67" i="5" s="1"/>
  <c r="Q67" i="5" s="1"/>
  <c r="R67" i="5" s="1"/>
  <c r="O66" i="5"/>
  <c r="P66" i="5" s="1"/>
  <c r="Q66" i="5" s="1"/>
  <c r="R66" i="5" s="1"/>
  <c r="O65" i="5"/>
  <c r="P65" i="5" s="1"/>
  <c r="Q65" i="5" s="1"/>
  <c r="R65" i="5" s="1"/>
  <c r="O64" i="5"/>
  <c r="P64" i="5" s="1"/>
  <c r="Q64" i="5" s="1"/>
  <c r="R64" i="5" s="1"/>
  <c r="O63" i="5"/>
  <c r="P63" i="5" s="1"/>
  <c r="Q63" i="5" s="1"/>
  <c r="R63" i="5" s="1"/>
  <c r="O62" i="5"/>
  <c r="P62" i="5" s="1"/>
  <c r="Q62" i="5" s="1"/>
  <c r="R62" i="5" s="1"/>
  <c r="O61" i="5"/>
  <c r="P61" i="5" s="1"/>
  <c r="Q61" i="5" s="1"/>
  <c r="R61" i="5" s="1"/>
  <c r="O60" i="5"/>
  <c r="P60" i="5" s="1"/>
  <c r="Q60" i="5" s="1"/>
  <c r="R60" i="5" s="1"/>
  <c r="O59" i="5"/>
  <c r="P59" i="5" s="1"/>
  <c r="Q59" i="5" s="1"/>
  <c r="R59" i="5" s="1"/>
  <c r="O58" i="5"/>
  <c r="P58" i="5" s="1"/>
  <c r="Q58" i="5" s="1"/>
  <c r="R58" i="5" s="1"/>
  <c r="O57" i="5"/>
  <c r="P57" i="5" s="1"/>
  <c r="Q57" i="5" s="1"/>
  <c r="R57" i="5" s="1"/>
  <c r="O56" i="5"/>
  <c r="P56" i="5" s="1"/>
  <c r="Q56" i="5" s="1"/>
  <c r="R56" i="5" s="1"/>
  <c r="O55" i="5"/>
  <c r="P55" i="5" s="1"/>
  <c r="Q55" i="5" s="1"/>
  <c r="R55" i="5" s="1"/>
  <c r="O54" i="5"/>
  <c r="P54" i="5" s="1"/>
  <c r="Q54" i="5" s="1"/>
  <c r="R54" i="5" s="1"/>
  <c r="O53" i="5"/>
  <c r="P53" i="5" s="1"/>
  <c r="Q53" i="5" s="1"/>
  <c r="R53" i="5" s="1"/>
  <c r="O52" i="5"/>
  <c r="P52" i="5" s="1"/>
  <c r="Q52" i="5" s="1"/>
  <c r="R52" i="5" s="1"/>
  <c r="O51" i="5"/>
  <c r="P51" i="5" s="1"/>
  <c r="Q51" i="5" s="1"/>
  <c r="R51" i="5" s="1"/>
  <c r="O50" i="5"/>
  <c r="P50" i="5" s="1"/>
  <c r="Q50" i="5" s="1"/>
  <c r="R50" i="5" s="1"/>
  <c r="O49" i="5"/>
  <c r="P49" i="5" s="1"/>
  <c r="Q49" i="5" s="1"/>
  <c r="R49" i="5" s="1"/>
  <c r="O48" i="5"/>
  <c r="P48" i="5" s="1"/>
  <c r="Q48" i="5" s="1"/>
  <c r="R48" i="5" s="1"/>
  <c r="O47" i="5"/>
  <c r="P47" i="5" s="1"/>
  <c r="Q47" i="5" s="1"/>
  <c r="R47" i="5" s="1"/>
  <c r="O46" i="5"/>
  <c r="P46" i="5" s="1"/>
  <c r="Q46" i="5" s="1"/>
  <c r="R46" i="5" s="1"/>
  <c r="O45" i="5"/>
  <c r="P45" i="5" s="1"/>
  <c r="Q45" i="5" s="1"/>
  <c r="R45" i="5" s="1"/>
  <c r="O44" i="5"/>
  <c r="P44" i="5" s="1"/>
  <c r="Q44" i="5" s="1"/>
  <c r="R44" i="5" s="1"/>
  <c r="O43" i="5"/>
  <c r="P43" i="5" s="1"/>
  <c r="Q43" i="5" s="1"/>
  <c r="R43" i="5" s="1"/>
  <c r="O42" i="5"/>
  <c r="P42" i="5" s="1"/>
  <c r="Q42" i="5" s="1"/>
  <c r="R42" i="5" s="1"/>
  <c r="O41" i="5"/>
  <c r="P41" i="5" s="1"/>
  <c r="Q41" i="5" s="1"/>
  <c r="R41" i="5" s="1"/>
  <c r="O40" i="5"/>
  <c r="P40" i="5" s="1"/>
  <c r="Q40" i="5" s="1"/>
  <c r="R40" i="5" s="1"/>
  <c r="O39" i="5"/>
  <c r="P39" i="5" s="1"/>
  <c r="Q39" i="5" s="1"/>
  <c r="R39" i="5" s="1"/>
  <c r="O38" i="5"/>
  <c r="P38" i="5" s="1"/>
  <c r="Q38" i="5" s="1"/>
  <c r="R38" i="5" s="1"/>
  <c r="O37" i="5"/>
  <c r="P37" i="5" s="1"/>
  <c r="Q37" i="5" s="1"/>
  <c r="R37" i="5" s="1"/>
  <c r="O36" i="5"/>
  <c r="P36" i="5" s="1"/>
  <c r="Q36" i="5" s="1"/>
  <c r="R36" i="5" s="1"/>
  <c r="O35" i="5"/>
  <c r="P35" i="5" s="1"/>
  <c r="Q35" i="5" s="1"/>
  <c r="R35" i="5" s="1"/>
  <c r="O34" i="5"/>
  <c r="P34" i="5" s="1"/>
  <c r="Q34" i="5" s="1"/>
  <c r="R34" i="5" s="1"/>
  <c r="O33" i="5"/>
  <c r="P33" i="5" s="1"/>
  <c r="Q33" i="5" s="1"/>
  <c r="R33" i="5" s="1"/>
  <c r="O32" i="5"/>
  <c r="P32" i="5" s="1"/>
  <c r="Q32" i="5" s="1"/>
  <c r="R32" i="5" s="1"/>
  <c r="O31" i="5"/>
  <c r="P31" i="5" s="1"/>
  <c r="Q31" i="5" s="1"/>
  <c r="R31" i="5" s="1"/>
  <c r="O30" i="5"/>
  <c r="P30" i="5" s="1"/>
  <c r="Q30" i="5" s="1"/>
  <c r="R30" i="5" s="1"/>
  <c r="O29" i="5"/>
  <c r="P29" i="5" s="1"/>
  <c r="Q29" i="5" s="1"/>
  <c r="R29" i="5" s="1"/>
  <c r="O28" i="5"/>
  <c r="P28" i="5" s="1"/>
  <c r="Q28" i="5" s="1"/>
  <c r="R28" i="5" s="1"/>
  <c r="O27" i="5"/>
  <c r="P27" i="5" s="1"/>
  <c r="Q27" i="5" s="1"/>
  <c r="R27" i="5" s="1"/>
  <c r="O26" i="5"/>
  <c r="P26" i="5" s="1"/>
  <c r="Q26" i="5" s="1"/>
  <c r="R26" i="5" s="1"/>
  <c r="O25" i="5"/>
  <c r="P25" i="5" s="1"/>
  <c r="Q25" i="5" s="1"/>
  <c r="R25" i="5" s="1"/>
  <c r="O24" i="5"/>
  <c r="P24" i="5" s="1"/>
  <c r="Q24" i="5" s="1"/>
  <c r="R24" i="5" s="1"/>
  <c r="O23" i="5"/>
  <c r="P23" i="5" s="1"/>
  <c r="Q23" i="5" s="1"/>
  <c r="R23" i="5" s="1"/>
  <c r="O22" i="5"/>
  <c r="P22" i="5" s="1"/>
  <c r="Q22" i="5" s="1"/>
  <c r="R22" i="5" s="1"/>
  <c r="O21" i="5"/>
  <c r="P21" i="5" s="1"/>
  <c r="Q21" i="5" s="1"/>
  <c r="R21" i="5" s="1"/>
  <c r="O20" i="5"/>
  <c r="P20" i="5" s="1"/>
  <c r="Q20" i="5" s="1"/>
  <c r="R20" i="5" s="1"/>
  <c r="O19" i="5"/>
  <c r="P19" i="5" s="1"/>
  <c r="Q19" i="5" s="1"/>
  <c r="R19" i="5" s="1"/>
  <c r="O18" i="5"/>
  <c r="P18" i="5" s="1"/>
  <c r="Q18" i="5" s="1"/>
  <c r="R18" i="5" s="1"/>
  <c r="O17" i="5"/>
  <c r="P17" i="5" s="1"/>
  <c r="Q17" i="5" s="1"/>
  <c r="R17" i="5" s="1"/>
  <c r="O16" i="5"/>
  <c r="P16" i="5" s="1"/>
  <c r="Q16" i="5" s="1"/>
  <c r="R16" i="5" s="1"/>
  <c r="M16" i="5"/>
  <c r="O15" i="5"/>
  <c r="P15" i="5" s="1"/>
  <c r="Q15" i="5" s="1"/>
  <c r="R15" i="5" s="1"/>
  <c r="M15" i="5"/>
  <c r="O14" i="5"/>
  <c r="P14" i="5" s="1"/>
  <c r="Q14" i="5" s="1"/>
  <c r="R14" i="5" s="1"/>
  <c r="M14" i="5"/>
  <c r="O13" i="5"/>
  <c r="P13" i="5" s="1"/>
  <c r="Q13" i="5" s="1"/>
  <c r="R13" i="5" s="1"/>
  <c r="M13" i="5"/>
  <c r="P12" i="5"/>
  <c r="Q12" i="5" s="1"/>
  <c r="R12" i="5" s="1"/>
  <c r="O12" i="5"/>
  <c r="M12" i="5"/>
  <c r="O11" i="5"/>
  <c r="P11" i="5" s="1"/>
  <c r="Q11" i="5" s="1"/>
  <c r="R11" i="5" s="1"/>
  <c r="M11" i="5"/>
  <c r="O10" i="5"/>
  <c r="P10" i="5" s="1"/>
  <c r="Q10" i="5" s="1"/>
  <c r="R10" i="5" s="1"/>
  <c r="M10" i="5"/>
  <c r="O9" i="5"/>
  <c r="P9" i="5" s="1"/>
  <c r="Q9" i="5" s="1"/>
  <c r="R9" i="5" s="1"/>
  <c r="M9" i="5"/>
  <c r="O8" i="5"/>
  <c r="P8" i="5" s="1"/>
  <c r="Q8" i="5" s="1"/>
  <c r="R8" i="5" s="1"/>
  <c r="K8" i="5"/>
  <c r="M8" i="5" s="1"/>
  <c r="O7" i="5"/>
  <c r="P7" i="5" s="1"/>
  <c r="Q7" i="5" s="1"/>
  <c r="R7" i="5" s="1"/>
  <c r="K7" i="5"/>
  <c r="M7" i="5" s="1"/>
  <c r="O6" i="5"/>
  <c r="P6" i="5" s="1"/>
  <c r="Q6" i="5" s="1"/>
  <c r="R6" i="5" s="1"/>
  <c r="K6" i="5"/>
  <c r="M6" i="5" s="1"/>
  <c r="O5" i="5"/>
  <c r="P5" i="5" s="1"/>
  <c r="Q5" i="5" s="1"/>
  <c r="R5" i="5" s="1"/>
  <c r="K5" i="5"/>
  <c r="M5" i="5" s="1"/>
  <c r="O74" i="11"/>
  <c r="P74" i="11" s="1"/>
  <c r="Q74" i="11" s="1"/>
  <c r="R74" i="11" s="1"/>
  <c r="O73" i="11"/>
  <c r="P73" i="11" s="1"/>
  <c r="Q73" i="11" s="1"/>
  <c r="R73" i="11" s="1"/>
  <c r="O72" i="11"/>
  <c r="P72" i="11" s="1"/>
  <c r="Q72" i="11" s="1"/>
  <c r="R72" i="11" s="1"/>
  <c r="O71" i="11"/>
  <c r="P71" i="11" s="1"/>
  <c r="Q71" i="11" s="1"/>
  <c r="R71" i="11" s="1"/>
  <c r="O70" i="11"/>
  <c r="P70" i="11" s="1"/>
  <c r="Q70" i="11" s="1"/>
  <c r="R70" i="11" s="1"/>
  <c r="O69" i="11"/>
  <c r="P69" i="11" s="1"/>
  <c r="Q69" i="11" s="1"/>
  <c r="R69" i="11" s="1"/>
  <c r="O68" i="11"/>
  <c r="P68" i="11" s="1"/>
  <c r="Q68" i="11" s="1"/>
  <c r="R68" i="11" s="1"/>
  <c r="O67" i="11"/>
  <c r="P67" i="11" s="1"/>
  <c r="Q67" i="11" s="1"/>
  <c r="R67" i="11" s="1"/>
  <c r="O66" i="11"/>
  <c r="P66" i="11" s="1"/>
  <c r="Q66" i="11" s="1"/>
  <c r="R66" i="11" s="1"/>
  <c r="O65" i="11"/>
  <c r="P65" i="11" s="1"/>
  <c r="Q65" i="11" s="1"/>
  <c r="R65" i="11" s="1"/>
  <c r="O64" i="11"/>
  <c r="P64" i="11" s="1"/>
  <c r="Q64" i="11" s="1"/>
  <c r="R64" i="11" s="1"/>
  <c r="O63" i="11"/>
  <c r="P63" i="11" s="1"/>
  <c r="Q63" i="11" s="1"/>
  <c r="R63" i="11" s="1"/>
  <c r="O62" i="11"/>
  <c r="P62" i="11" s="1"/>
  <c r="Q62" i="11" s="1"/>
  <c r="R62" i="11" s="1"/>
  <c r="O61" i="11"/>
  <c r="P61" i="11" s="1"/>
  <c r="Q61" i="11" s="1"/>
  <c r="R61" i="11" s="1"/>
  <c r="O60" i="11"/>
  <c r="P60" i="11" s="1"/>
  <c r="Q60" i="11" s="1"/>
  <c r="R60" i="11" s="1"/>
  <c r="O59" i="11"/>
  <c r="P59" i="11" s="1"/>
  <c r="Q59" i="11" s="1"/>
  <c r="R59" i="11" s="1"/>
  <c r="O58" i="11"/>
  <c r="P58" i="11" s="1"/>
  <c r="Q58" i="11" s="1"/>
  <c r="R58" i="11" s="1"/>
  <c r="O57" i="11"/>
  <c r="P57" i="11" s="1"/>
  <c r="Q57" i="11" s="1"/>
  <c r="R57" i="11" s="1"/>
  <c r="O56" i="11"/>
  <c r="P56" i="11" s="1"/>
  <c r="Q56" i="11" s="1"/>
  <c r="R56" i="11" s="1"/>
  <c r="O55" i="11"/>
  <c r="P55" i="11" s="1"/>
  <c r="Q55" i="11" s="1"/>
  <c r="R55" i="11" s="1"/>
  <c r="O54" i="11"/>
  <c r="P54" i="11" s="1"/>
  <c r="Q54" i="11" s="1"/>
  <c r="R54" i="11" s="1"/>
  <c r="O53" i="11"/>
  <c r="P53" i="11" s="1"/>
  <c r="Q53" i="11" s="1"/>
  <c r="R53" i="11" s="1"/>
  <c r="O52" i="11"/>
  <c r="P52" i="11" s="1"/>
  <c r="Q52" i="11" s="1"/>
  <c r="R52" i="11" s="1"/>
  <c r="O51" i="11"/>
  <c r="P51" i="11" s="1"/>
  <c r="Q51" i="11" s="1"/>
  <c r="R51" i="11" s="1"/>
  <c r="O50" i="11"/>
  <c r="P50" i="11" s="1"/>
  <c r="Q50" i="11" s="1"/>
  <c r="R50" i="11" s="1"/>
  <c r="O49" i="11"/>
  <c r="P49" i="11" s="1"/>
  <c r="Q49" i="11" s="1"/>
  <c r="R49" i="11" s="1"/>
  <c r="O48" i="11"/>
  <c r="P48" i="11" s="1"/>
  <c r="Q48" i="11" s="1"/>
  <c r="R48" i="11" s="1"/>
  <c r="O47" i="11"/>
  <c r="P47" i="11" s="1"/>
  <c r="Q47" i="11" s="1"/>
  <c r="R47" i="11" s="1"/>
  <c r="O46" i="11"/>
  <c r="P46" i="11" s="1"/>
  <c r="Q46" i="11" s="1"/>
  <c r="R46" i="11" s="1"/>
  <c r="O45" i="11"/>
  <c r="P45" i="11" s="1"/>
  <c r="Q45" i="11" s="1"/>
  <c r="R45" i="11" s="1"/>
  <c r="O44" i="11"/>
  <c r="P44" i="11" s="1"/>
  <c r="Q44" i="11" s="1"/>
  <c r="R44" i="11" s="1"/>
  <c r="O43" i="11"/>
  <c r="P43" i="11" s="1"/>
  <c r="Q43" i="11" s="1"/>
  <c r="R43" i="11" s="1"/>
  <c r="O42" i="11"/>
  <c r="P42" i="11" s="1"/>
  <c r="Q42" i="11" s="1"/>
  <c r="R42" i="11" s="1"/>
  <c r="O41" i="11"/>
  <c r="P41" i="11" s="1"/>
  <c r="Q41" i="11" s="1"/>
  <c r="R41" i="11" s="1"/>
  <c r="O40" i="11"/>
  <c r="P40" i="11" s="1"/>
  <c r="Q40" i="11" s="1"/>
  <c r="R40" i="11" s="1"/>
  <c r="O39" i="11"/>
  <c r="P39" i="11" s="1"/>
  <c r="Q39" i="11" s="1"/>
  <c r="R39" i="11" s="1"/>
  <c r="O38" i="11"/>
  <c r="P38" i="11" s="1"/>
  <c r="Q38" i="11" s="1"/>
  <c r="R38" i="11" s="1"/>
  <c r="O37" i="11"/>
  <c r="P37" i="11" s="1"/>
  <c r="Q37" i="11" s="1"/>
  <c r="R37" i="11" s="1"/>
  <c r="O36" i="11"/>
  <c r="P36" i="11" s="1"/>
  <c r="Q36" i="11" s="1"/>
  <c r="R36" i="11" s="1"/>
  <c r="O35" i="11"/>
  <c r="P35" i="11" s="1"/>
  <c r="Q35" i="11" s="1"/>
  <c r="R35" i="11" s="1"/>
  <c r="O34" i="11"/>
  <c r="P34" i="11" s="1"/>
  <c r="Q34" i="11" s="1"/>
  <c r="R34" i="11" s="1"/>
  <c r="O33" i="11"/>
  <c r="P33" i="11" s="1"/>
  <c r="Q33" i="11" s="1"/>
  <c r="R33" i="11" s="1"/>
  <c r="O32" i="11"/>
  <c r="P32" i="11" s="1"/>
  <c r="Q32" i="11" s="1"/>
  <c r="R32" i="11" s="1"/>
  <c r="O31" i="11"/>
  <c r="P31" i="11" s="1"/>
  <c r="Q31" i="11" s="1"/>
  <c r="R31" i="11" s="1"/>
  <c r="O30" i="11"/>
  <c r="P30" i="11" s="1"/>
  <c r="Q30" i="11" s="1"/>
  <c r="R30" i="11" s="1"/>
  <c r="O29" i="11"/>
  <c r="P29" i="11" s="1"/>
  <c r="Q29" i="11" s="1"/>
  <c r="R29" i="11" s="1"/>
  <c r="O28" i="11"/>
  <c r="P28" i="11" s="1"/>
  <c r="Q28" i="11" s="1"/>
  <c r="R28" i="11" s="1"/>
  <c r="O27" i="11"/>
  <c r="P27" i="11" s="1"/>
  <c r="Q27" i="11" s="1"/>
  <c r="R27" i="11" s="1"/>
  <c r="O26" i="11"/>
  <c r="P26" i="11" s="1"/>
  <c r="Q26" i="11" s="1"/>
  <c r="R26" i="11" s="1"/>
  <c r="O25" i="11"/>
  <c r="P25" i="11" s="1"/>
  <c r="Q25" i="11" s="1"/>
  <c r="R25" i="11" s="1"/>
  <c r="O24" i="11"/>
  <c r="P24" i="11" s="1"/>
  <c r="Q24" i="11" s="1"/>
  <c r="R24" i="11" s="1"/>
  <c r="O23" i="11"/>
  <c r="P23" i="11" s="1"/>
  <c r="Q23" i="11" s="1"/>
  <c r="R23" i="11" s="1"/>
  <c r="O22" i="11"/>
  <c r="P22" i="11" s="1"/>
  <c r="Q22" i="11" s="1"/>
  <c r="R22" i="11" s="1"/>
  <c r="O21" i="11"/>
  <c r="P21" i="11" s="1"/>
  <c r="Q21" i="11" s="1"/>
  <c r="R21" i="11" s="1"/>
  <c r="O20" i="11"/>
  <c r="P20" i="11" s="1"/>
  <c r="Q20" i="11" s="1"/>
  <c r="R20" i="11" s="1"/>
  <c r="O19" i="11"/>
  <c r="P19" i="11" s="1"/>
  <c r="Q19" i="11" s="1"/>
  <c r="R19" i="11" s="1"/>
  <c r="O18" i="11"/>
  <c r="P18" i="11" s="1"/>
  <c r="Q18" i="11" s="1"/>
  <c r="R18" i="11" s="1"/>
  <c r="O17" i="11"/>
  <c r="P17" i="11" s="1"/>
  <c r="Q17" i="11" s="1"/>
  <c r="R17" i="11" s="1"/>
  <c r="O16" i="11"/>
  <c r="P16" i="11" s="1"/>
  <c r="Q16" i="11" s="1"/>
  <c r="R16" i="11" s="1"/>
  <c r="O15" i="11"/>
  <c r="P15" i="11" s="1"/>
  <c r="Q15" i="11" s="1"/>
  <c r="R15" i="11" s="1"/>
  <c r="M15" i="11"/>
  <c r="O14" i="11"/>
  <c r="P14" i="11" s="1"/>
  <c r="Q14" i="11" s="1"/>
  <c r="R14" i="11" s="1"/>
  <c r="M14" i="11"/>
  <c r="O13" i="11"/>
  <c r="P13" i="11" s="1"/>
  <c r="Q13" i="11" s="1"/>
  <c r="R13" i="11" s="1"/>
  <c r="M13" i="11"/>
  <c r="O12" i="11"/>
  <c r="P12" i="11" s="1"/>
  <c r="Q12" i="11" s="1"/>
  <c r="R12" i="11" s="1"/>
  <c r="M12" i="11"/>
  <c r="O11" i="11"/>
  <c r="P11" i="11" s="1"/>
  <c r="Q11" i="11" s="1"/>
  <c r="R11" i="11" s="1"/>
  <c r="M11" i="11"/>
  <c r="O10" i="11"/>
  <c r="P10" i="11" s="1"/>
  <c r="Q10" i="11" s="1"/>
  <c r="R10" i="11" s="1"/>
  <c r="M10" i="11"/>
  <c r="O9" i="11"/>
  <c r="P9" i="11" s="1"/>
  <c r="Q9" i="11" s="1"/>
  <c r="R9" i="11" s="1"/>
  <c r="M9" i="11"/>
  <c r="O8" i="11"/>
  <c r="P8" i="11" s="1"/>
  <c r="Q8" i="11" s="1"/>
  <c r="R8" i="11" s="1"/>
  <c r="K8" i="11"/>
  <c r="M8" i="11" s="1"/>
  <c r="O7" i="11"/>
  <c r="P7" i="11" s="1"/>
  <c r="Q7" i="11" s="1"/>
  <c r="R7" i="11" s="1"/>
  <c r="K7" i="11"/>
  <c r="M7" i="11" s="1"/>
  <c r="O6" i="11"/>
  <c r="P6" i="11" s="1"/>
  <c r="Q6" i="11" s="1"/>
  <c r="R6" i="11" s="1"/>
  <c r="K6" i="11"/>
  <c r="M6" i="11" s="1"/>
  <c r="O5" i="11"/>
  <c r="P5" i="11" s="1"/>
  <c r="Q5" i="11" s="1"/>
  <c r="R5" i="11" s="1"/>
  <c r="K5" i="11"/>
  <c r="M5" i="11" s="1"/>
  <c r="O86" i="10"/>
  <c r="P86" i="10" s="1"/>
  <c r="Q86" i="10" s="1"/>
  <c r="R86" i="10" s="1"/>
  <c r="O85" i="10"/>
  <c r="P85" i="10" s="1"/>
  <c r="Q85" i="10" s="1"/>
  <c r="R85" i="10" s="1"/>
  <c r="O84" i="10"/>
  <c r="P84" i="10" s="1"/>
  <c r="Q84" i="10" s="1"/>
  <c r="R84" i="10" s="1"/>
  <c r="O83" i="10"/>
  <c r="P83" i="10" s="1"/>
  <c r="Q83" i="10" s="1"/>
  <c r="R83" i="10" s="1"/>
  <c r="O82" i="10"/>
  <c r="P82" i="10" s="1"/>
  <c r="Q82" i="10" s="1"/>
  <c r="R82" i="10" s="1"/>
  <c r="O81" i="10"/>
  <c r="P81" i="10" s="1"/>
  <c r="Q81" i="10" s="1"/>
  <c r="R81" i="10" s="1"/>
  <c r="O80" i="10"/>
  <c r="P80" i="10" s="1"/>
  <c r="Q80" i="10" s="1"/>
  <c r="R80" i="10" s="1"/>
  <c r="O79" i="10"/>
  <c r="P79" i="10" s="1"/>
  <c r="Q79" i="10" s="1"/>
  <c r="R79" i="10" s="1"/>
  <c r="O78" i="10"/>
  <c r="P78" i="10" s="1"/>
  <c r="Q78" i="10" s="1"/>
  <c r="R78" i="10" s="1"/>
  <c r="O77" i="10"/>
  <c r="P77" i="10" s="1"/>
  <c r="Q77" i="10" s="1"/>
  <c r="R77" i="10" s="1"/>
  <c r="O76" i="10"/>
  <c r="P76" i="10" s="1"/>
  <c r="Q76" i="10" s="1"/>
  <c r="R76" i="10" s="1"/>
  <c r="O75" i="10"/>
  <c r="P75" i="10" s="1"/>
  <c r="Q75" i="10" s="1"/>
  <c r="R75" i="10" s="1"/>
  <c r="O74" i="10"/>
  <c r="P74" i="10" s="1"/>
  <c r="Q74" i="10" s="1"/>
  <c r="R74" i="10" s="1"/>
  <c r="O73" i="10"/>
  <c r="P73" i="10" s="1"/>
  <c r="Q73" i="10" s="1"/>
  <c r="R73" i="10" s="1"/>
  <c r="O72" i="10"/>
  <c r="P72" i="10" s="1"/>
  <c r="Q72" i="10" s="1"/>
  <c r="R72" i="10" s="1"/>
  <c r="O71" i="10"/>
  <c r="P71" i="10" s="1"/>
  <c r="Q71" i="10" s="1"/>
  <c r="R71" i="10" s="1"/>
  <c r="O70" i="10"/>
  <c r="P70" i="10" s="1"/>
  <c r="Q70" i="10" s="1"/>
  <c r="R70" i="10" s="1"/>
  <c r="O69" i="10"/>
  <c r="P69" i="10" s="1"/>
  <c r="Q69" i="10" s="1"/>
  <c r="R69" i="10" s="1"/>
  <c r="O68" i="10"/>
  <c r="P68" i="10" s="1"/>
  <c r="Q68" i="10" s="1"/>
  <c r="R68" i="10" s="1"/>
  <c r="O67" i="10"/>
  <c r="P67" i="10" s="1"/>
  <c r="Q67" i="10" s="1"/>
  <c r="R67" i="10" s="1"/>
  <c r="O66" i="10"/>
  <c r="P66" i="10" s="1"/>
  <c r="Q66" i="10" s="1"/>
  <c r="R66" i="10" s="1"/>
  <c r="O65" i="10"/>
  <c r="P65" i="10" s="1"/>
  <c r="Q65" i="10" s="1"/>
  <c r="R65" i="10" s="1"/>
  <c r="O64" i="10"/>
  <c r="P64" i="10" s="1"/>
  <c r="Q64" i="10" s="1"/>
  <c r="R64" i="10" s="1"/>
  <c r="O63" i="10"/>
  <c r="P63" i="10" s="1"/>
  <c r="Q63" i="10" s="1"/>
  <c r="R63" i="10" s="1"/>
  <c r="O62" i="10"/>
  <c r="P62" i="10" s="1"/>
  <c r="Q62" i="10" s="1"/>
  <c r="R62" i="10" s="1"/>
  <c r="O61" i="10"/>
  <c r="P61" i="10" s="1"/>
  <c r="Q61" i="10" s="1"/>
  <c r="R61" i="10" s="1"/>
  <c r="O60" i="10"/>
  <c r="P60" i="10" s="1"/>
  <c r="Q60" i="10" s="1"/>
  <c r="R60" i="10" s="1"/>
  <c r="O59" i="10"/>
  <c r="P59" i="10" s="1"/>
  <c r="Q59" i="10" s="1"/>
  <c r="R59" i="10" s="1"/>
  <c r="O58" i="10"/>
  <c r="P58" i="10" s="1"/>
  <c r="Q58" i="10" s="1"/>
  <c r="R58" i="10" s="1"/>
  <c r="O57" i="10"/>
  <c r="P57" i="10" s="1"/>
  <c r="Q57" i="10" s="1"/>
  <c r="R57" i="10" s="1"/>
  <c r="O56" i="10"/>
  <c r="P56" i="10" s="1"/>
  <c r="Q56" i="10" s="1"/>
  <c r="R56" i="10" s="1"/>
  <c r="O55" i="10"/>
  <c r="P55" i="10" s="1"/>
  <c r="Q55" i="10" s="1"/>
  <c r="R55" i="10" s="1"/>
  <c r="O54" i="10"/>
  <c r="P54" i="10" s="1"/>
  <c r="Q54" i="10" s="1"/>
  <c r="R54" i="10" s="1"/>
  <c r="O53" i="10"/>
  <c r="P53" i="10" s="1"/>
  <c r="Q53" i="10" s="1"/>
  <c r="R53" i="10" s="1"/>
  <c r="O52" i="10"/>
  <c r="P52" i="10" s="1"/>
  <c r="Q52" i="10" s="1"/>
  <c r="R52" i="10" s="1"/>
  <c r="O51" i="10"/>
  <c r="P51" i="10" s="1"/>
  <c r="Q51" i="10" s="1"/>
  <c r="R51" i="10" s="1"/>
  <c r="O50" i="10"/>
  <c r="P50" i="10" s="1"/>
  <c r="Q50" i="10" s="1"/>
  <c r="R50" i="10" s="1"/>
  <c r="O49" i="10"/>
  <c r="P49" i="10" s="1"/>
  <c r="Q49" i="10" s="1"/>
  <c r="R49" i="10" s="1"/>
  <c r="O48" i="10"/>
  <c r="P48" i="10" s="1"/>
  <c r="Q48" i="10" s="1"/>
  <c r="R48" i="10" s="1"/>
  <c r="O47" i="10"/>
  <c r="P47" i="10" s="1"/>
  <c r="Q47" i="10" s="1"/>
  <c r="R47" i="10" s="1"/>
  <c r="O46" i="10"/>
  <c r="P46" i="10" s="1"/>
  <c r="Q46" i="10" s="1"/>
  <c r="R46" i="10" s="1"/>
  <c r="O45" i="10"/>
  <c r="P45" i="10" s="1"/>
  <c r="Q45" i="10" s="1"/>
  <c r="R45" i="10" s="1"/>
  <c r="O44" i="10"/>
  <c r="P44" i="10" s="1"/>
  <c r="Q44" i="10" s="1"/>
  <c r="R44" i="10" s="1"/>
  <c r="O43" i="10"/>
  <c r="P43" i="10" s="1"/>
  <c r="Q43" i="10" s="1"/>
  <c r="R43" i="10" s="1"/>
  <c r="O42" i="10"/>
  <c r="P42" i="10" s="1"/>
  <c r="Q42" i="10" s="1"/>
  <c r="R42" i="10" s="1"/>
  <c r="O41" i="10"/>
  <c r="P41" i="10" s="1"/>
  <c r="Q41" i="10" s="1"/>
  <c r="R41" i="10" s="1"/>
  <c r="O40" i="10"/>
  <c r="P40" i="10" s="1"/>
  <c r="Q40" i="10" s="1"/>
  <c r="R40" i="10" s="1"/>
  <c r="O39" i="10"/>
  <c r="P39" i="10" s="1"/>
  <c r="Q39" i="10" s="1"/>
  <c r="R39" i="10" s="1"/>
  <c r="O38" i="10"/>
  <c r="P38" i="10" s="1"/>
  <c r="Q38" i="10" s="1"/>
  <c r="R38" i="10" s="1"/>
  <c r="O37" i="10"/>
  <c r="P37" i="10" s="1"/>
  <c r="Q37" i="10" s="1"/>
  <c r="R37" i="10" s="1"/>
  <c r="O36" i="10"/>
  <c r="P36" i="10" s="1"/>
  <c r="Q36" i="10" s="1"/>
  <c r="R36" i="10" s="1"/>
  <c r="O35" i="10"/>
  <c r="P35" i="10" s="1"/>
  <c r="Q35" i="10" s="1"/>
  <c r="R35" i="10" s="1"/>
  <c r="O34" i="10"/>
  <c r="P34" i="10" s="1"/>
  <c r="Q34" i="10" s="1"/>
  <c r="R34" i="10" s="1"/>
  <c r="O33" i="10"/>
  <c r="P33" i="10" s="1"/>
  <c r="Q33" i="10" s="1"/>
  <c r="R33" i="10" s="1"/>
  <c r="O32" i="10"/>
  <c r="P32" i="10" s="1"/>
  <c r="Q32" i="10" s="1"/>
  <c r="R32" i="10" s="1"/>
  <c r="O31" i="10"/>
  <c r="P31" i="10" s="1"/>
  <c r="Q31" i="10" s="1"/>
  <c r="R31" i="10" s="1"/>
  <c r="O30" i="10"/>
  <c r="P30" i="10" s="1"/>
  <c r="Q30" i="10" s="1"/>
  <c r="R30" i="10" s="1"/>
  <c r="O29" i="10"/>
  <c r="P29" i="10" s="1"/>
  <c r="Q29" i="10" s="1"/>
  <c r="R29" i="10" s="1"/>
  <c r="O28" i="10"/>
  <c r="P28" i="10" s="1"/>
  <c r="Q28" i="10" s="1"/>
  <c r="R28" i="10" s="1"/>
  <c r="O27" i="10"/>
  <c r="P27" i="10" s="1"/>
  <c r="Q27" i="10" s="1"/>
  <c r="R27" i="10" s="1"/>
  <c r="O26" i="10"/>
  <c r="P26" i="10" s="1"/>
  <c r="Q26" i="10" s="1"/>
  <c r="R26" i="10" s="1"/>
  <c r="O25" i="10"/>
  <c r="P25" i="10" s="1"/>
  <c r="Q25" i="10" s="1"/>
  <c r="R25" i="10" s="1"/>
  <c r="O24" i="10"/>
  <c r="P24" i="10" s="1"/>
  <c r="Q24" i="10" s="1"/>
  <c r="R24" i="10" s="1"/>
  <c r="O23" i="10"/>
  <c r="P23" i="10" s="1"/>
  <c r="Q23" i="10" s="1"/>
  <c r="R23" i="10" s="1"/>
  <c r="O22" i="10"/>
  <c r="P22" i="10" s="1"/>
  <c r="Q22" i="10" s="1"/>
  <c r="R22" i="10" s="1"/>
  <c r="O21" i="10"/>
  <c r="P21" i="10" s="1"/>
  <c r="Q21" i="10" s="1"/>
  <c r="R21" i="10" s="1"/>
  <c r="O20" i="10"/>
  <c r="P20" i="10" s="1"/>
  <c r="Q20" i="10" s="1"/>
  <c r="R20" i="10" s="1"/>
  <c r="O19" i="10"/>
  <c r="P19" i="10" s="1"/>
  <c r="Q19" i="10" s="1"/>
  <c r="R19" i="10" s="1"/>
  <c r="O18" i="10"/>
  <c r="P18" i="10" s="1"/>
  <c r="Q18" i="10" s="1"/>
  <c r="R18" i="10" s="1"/>
  <c r="O17" i="10"/>
  <c r="P17" i="10" s="1"/>
  <c r="Q17" i="10" s="1"/>
  <c r="R17" i="10" s="1"/>
  <c r="M17" i="10"/>
  <c r="O16" i="10"/>
  <c r="P16" i="10" s="1"/>
  <c r="Q16" i="10" s="1"/>
  <c r="R16" i="10" s="1"/>
  <c r="M16" i="10"/>
  <c r="O15" i="10"/>
  <c r="P15" i="10" s="1"/>
  <c r="Q15" i="10" s="1"/>
  <c r="R15" i="10" s="1"/>
  <c r="M15" i="10"/>
  <c r="O14" i="10"/>
  <c r="P14" i="10" s="1"/>
  <c r="Q14" i="10" s="1"/>
  <c r="R14" i="10" s="1"/>
  <c r="M14" i="10"/>
  <c r="O13" i="10"/>
  <c r="P13" i="10" s="1"/>
  <c r="Q13" i="10" s="1"/>
  <c r="R13" i="10" s="1"/>
  <c r="M13" i="10"/>
  <c r="O12" i="10"/>
  <c r="P12" i="10" s="1"/>
  <c r="Q12" i="10" s="1"/>
  <c r="R12" i="10" s="1"/>
  <c r="M12" i="10"/>
  <c r="O11" i="10"/>
  <c r="P11" i="10" s="1"/>
  <c r="Q11" i="10" s="1"/>
  <c r="R11" i="10" s="1"/>
  <c r="M11" i="10"/>
  <c r="O10" i="10"/>
  <c r="P10" i="10" s="1"/>
  <c r="Q10" i="10" s="1"/>
  <c r="R10" i="10" s="1"/>
  <c r="M10" i="10"/>
  <c r="O9" i="10"/>
  <c r="P9" i="10" s="1"/>
  <c r="Q9" i="10" s="1"/>
  <c r="R9" i="10" s="1"/>
  <c r="M9" i="10"/>
  <c r="O8" i="10"/>
  <c r="P8" i="10" s="1"/>
  <c r="Q8" i="10" s="1"/>
  <c r="R8" i="10" s="1"/>
  <c r="K8" i="10"/>
  <c r="M8" i="10" s="1"/>
  <c r="O7" i="10"/>
  <c r="P7" i="10" s="1"/>
  <c r="Q7" i="10" s="1"/>
  <c r="R7" i="10" s="1"/>
  <c r="K7" i="10"/>
  <c r="M7" i="10" s="1"/>
  <c r="O6" i="10"/>
  <c r="P6" i="10" s="1"/>
  <c r="Q6" i="10" s="1"/>
  <c r="R6" i="10" s="1"/>
  <c r="M6" i="10"/>
  <c r="K6" i="10"/>
  <c r="O5" i="10"/>
  <c r="P5" i="10" s="1"/>
  <c r="Q5" i="10" s="1"/>
  <c r="R5" i="10" s="1"/>
  <c r="K5" i="10"/>
  <c r="M5" i="10" s="1"/>
  <c r="O78" i="9"/>
  <c r="P78" i="9" s="1"/>
  <c r="Q78" i="9" s="1"/>
  <c r="R78" i="9" s="1"/>
  <c r="O77" i="9"/>
  <c r="P77" i="9" s="1"/>
  <c r="Q77" i="9" s="1"/>
  <c r="R77" i="9" s="1"/>
  <c r="O76" i="9"/>
  <c r="P76" i="9" s="1"/>
  <c r="Q76" i="9" s="1"/>
  <c r="R76" i="9" s="1"/>
  <c r="O75" i="9"/>
  <c r="P75" i="9" s="1"/>
  <c r="Q75" i="9" s="1"/>
  <c r="R75" i="9" s="1"/>
  <c r="O74" i="9"/>
  <c r="P74" i="9" s="1"/>
  <c r="Q74" i="9" s="1"/>
  <c r="R74" i="9" s="1"/>
  <c r="O73" i="9"/>
  <c r="P73" i="9" s="1"/>
  <c r="Q73" i="9" s="1"/>
  <c r="R73" i="9" s="1"/>
  <c r="O72" i="9"/>
  <c r="P72" i="9" s="1"/>
  <c r="Q72" i="9" s="1"/>
  <c r="R72" i="9" s="1"/>
  <c r="O71" i="9"/>
  <c r="P71" i="9" s="1"/>
  <c r="Q71" i="9" s="1"/>
  <c r="R71" i="9" s="1"/>
  <c r="O70" i="9"/>
  <c r="P70" i="9" s="1"/>
  <c r="Q70" i="9" s="1"/>
  <c r="R70" i="9" s="1"/>
  <c r="O69" i="9"/>
  <c r="P69" i="9" s="1"/>
  <c r="Q69" i="9" s="1"/>
  <c r="R69" i="9" s="1"/>
  <c r="O68" i="9"/>
  <c r="P68" i="9" s="1"/>
  <c r="Q68" i="9" s="1"/>
  <c r="R68" i="9" s="1"/>
  <c r="O67" i="9"/>
  <c r="P67" i="9" s="1"/>
  <c r="Q67" i="9" s="1"/>
  <c r="R67" i="9" s="1"/>
  <c r="O66" i="9"/>
  <c r="P66" i="9" s="1"/>
  <c r="Q66" i="9" s="1"/>
  <c r="R66" i="9" s="1"/>
  <c r="O65" i="9"/>
  <c r="P65" i="9" s="1"/>
  <c r="Q65" i="9" s="1"/>
  <c r="R65" i="9" s="1"/>
  <c r="O64" i="9"/>
  <c r="P64" i="9" s="1"/>
  <c r="Q64" i="9" s="1"/>
  <c r="R64" i="9" s="1"/>
  <c r="O63" i="9"/>
  <c r="P63" i="9" s="1"/>
  <c r="Q63" i="9" s="1"/>
  <c r="R63" i="9" s="1"/>
  <c r="O62" i="9"/>
  <c r="P62" i="9" s="1"/>
  <c r="Q62" i="9" s="1"/>
  <c r="R62" i="9" s="1"/>
  <c r="O61" i="9"/>
  <c r="P61" i="9" s="1"/>
  <c r="Q61" i="9" s="1"/>
  <c r="R61" i="9" s="1"/>
  <c r="O60" i="9"/>
  <c r="P60" i="9" s="1"/>
  <c r="Q60" i="9" s="1"/>
  <c r="R60" i="9" s="1"/>
  <c r="O59" i="9"/>
  <c r="P59" i="9" s="1"/>
  <c r="Q59" i="9" s="1"/>
  <c r="R59" i="9" s="1"/>
  <c r="O58" i="9"/>
  <c r="P58" i="9" s="1"/>
  <c r="Q58" i="9" s="1"/>
  <c r="R58" i="9" s="1"/>
  <c r="O57" i="9"/>
  <c r="P57" i="9" s="1"/>
  <c r="Q57" i="9" s="1"/>
  <c r="R57" i="9" s="1"/>
  <c r="O56" i="9"/>
  <c r="P56" i="9" s="1"/>
  <c r="Q56" i="9" s="1"/>
  <c r="R56" i="9" s="1"/>
  <c r="O55" i="9"/>
  <c r="P55" i="9" s="1"/>
  <c r="Q55" i="9" s="1"/>
  <c r="R55" i="9" s="1"/>
  <c r="O54" i="9"/>
  <c r="P54" i="9" s="1"/>
  <c r="Q54" i="9" s="1"/>
  <c r="R54" i="9" s="1"/>
  <c r="O53" i="9"/>
  <c r="P53" i="9" s="1"/>
  <c r="Q53" i="9" s="1"/>
  <c r="R53" i="9" s="1"/>
  <c r="O52" i="9"/>
  <c r="P52" i="9" s="1"/>
  <c r="Q52" i="9" s="1"/>
  <c r="R52" i="9" s="1"/>
  <c r="O51" i="9"/>
  <c r="P51" i="9" s="1"/>
  <c r="Q51" i="9" s="1"/>
  <c r="R51" i="9" s="1"/>
  <c r="O50" i="9"/>
  <c r="P50" i="9" s="1"/>
  <c r="Q50" i="9" s="1"/>
  <c r="R50" i="9" s="1"/>
  <c r="O49" i="9"/>
  <c r="P49" i="9" s="1"/>
  <c r="Q49" i="9" s="1"/>
  <c r="R49" i="9" s="1"/>
  <c r="O48" i="9"/>
  <c r="P48" i="9" s="1"/>
  <c r="Q48" i="9" s="1"/>
  <c r="R48" i="9" s="1"/>
  <c r="O47" i="9"/>
  <c r="P47" i="9" s="1"/>
  <c r="Q47" i="9" s="1"/>
  <c r="R47" i="9" s="1"/>
  <c r="O46" i="9"/>
  <c r="P46" i="9" s="1"/>
  <c r="Q46" i="9" s="1"/>
  <c r="R46" i="9" s="1"/>
  <c r="O45" i="9"/>
  <c r="P45" i="9" s="1"/>
  <c r="Q45" i="9" s="1"/>
  <c r="R45" i="9" s="1"/>
  <c r="O44" i="9"/>
  <c r="P44" i="9" s="1"/>
  <c r="Q44" i="9" s="1"/>
  <c r="R44" i="9" s="1"/>
  <c r="O43" i="9"/>
  <c r="P43" i="9" s="1"/>
  <c r="Q43" i="9" s="1"/>
  <c r="R43" i="9" s="1"/>
  <c r="O42" i="9"/>
  <c r="P42" i="9" s="1"/>
  <c r="Q42" i="9" s="1"/>
  <c r="R42" i="9" s="1"/>
  <c r="O41" i="9"/>
  <c r="P41" i="9" s="1"/>
  <c r="Q41" i="9" s="1"/>
  <c r="R41" i="9" s="1"/>
  <c r="O40" i="9"/>
  <c r="P40" i="9" s="1"/>
  <c r="Q40" i="9" s="1"/>
  <c r="R40" i="9" s="1"/>
  <c r="O39" i="9"/>
  <c r="P39" i="9" s="1"/>
  <c r="Q39" i="9" s="1"/>
  <c r="R39" i="9" s="1"/>
  <c r="O38" i="9"/>
  <c r="P38" i="9" s="1"/>
  <c r="Q38" i="9" s="1"/>
  <c r="R38" i="9" s="1"/>
  <c r="O37" i="9"/>
  <c r="P37" i="9" s="1"/>
  <c r="Q37" i="9" s="1"/>
  <c r="R37" i="9" s="1"/>
  <c r="O36" i="9"/>
  <c r="P36" i="9" s="1"/>
  <c r="Q36" i="9" s="1"/>
  <c r="R36" i="9" s="1"/>
  <c r="O35" i="9"/>
  <c r="P35" i="9" s="1"/>
  <c r="Q35" i="9" s="1"/>
  <c r="R35" i="9" s="1"/>
  <c r="O34" i="9"/>
  <c r="P34" i="9" s="1"/>
  <c r="Q34" i="9" s="1"/>
  <c r="R34" i="9" s="1"/>
  <c r="O33" i="9"/>
  <c r="P33" i="9" s="1"/>
  <c r="Q33" i="9" s="1"/>
  <c r="R33" i="9" s="1"/>
  <c r="O32" i="9"/>
  <c r="P32" i="9" s="1"/>
  <c r="Q32" i="9" s="1"/>
  <c r="R32" i="9" s="1"/>
  <c r="O31" i="9"/>
  <c r="P31" i="9" s="1"/>
  <c r="Q31" i="9" s="1"/>
  <c r="R31" i="9" s="1"/>
  <c r="O30" i="9"/>
  <c r="P30" i="9" s="1"/>
  <c r="Q30" i="9" s="1"/>
  <c r="R30" i="9" s="1"/>
  <c r="O29" i="9"/>
  <c r="P29" i="9" s="1"/>
  <c r="Q29" i="9" s="1"/>
  <c r="R29" i="9" s="1"/>
  <c r="O28" i="9"/>
  <c r="P28" i="9" s="1"/>
  <c r="Q28" i="9" s="1"/>
  <c r="R28" i="9" s="1"/>
  <c r="O27" i="9"/>
  <c r="P27" i="9" s="1"/>
  <c r="Q27" i="9" s="1"/>
  <c r="R27" i="9" s="1"/>
  <c r="O26" i="9"/>
  <c r="P26" i="9" s="1"/>
  <c r="Q26" i="9" s="1"/>
  <c r="R26" i="9" s="1"/>
  <c r="O25" i="9"/>
  <c r="P25" i="9" s="1"/>
  <c r="Q25" i="9" s="1"/>
  <c r="R25" i="9" s="1"/>
  <c r="O24" i="9"/>
  <c r="P24" i="9" s="1"/>
  <c r="Q24" i="9" s="1"/>
  <c r="R24" i="9" s="1"/>
  <c r="O23" i="9"/>
  <c r="P23" i="9" s="1"/>
  <c r="Q23" i="9" s="1"/>
  <c r="R23" i="9" s="1"/>
  <c r="O22" i="9"/>
  <c r="P22" i="9" s="1"/>
  <c r="Q22" i="9" s="1"/>
  <c r="R22" i="9" s="1"/>
  <c r="O21" i="9"/>
  <c r="P21" i="9" s="1"/>
  <c r="Q21" i="9" s="1"/>
  <c r="R21" i="9" s="1"/>
  <c r="O20" i="9"/>
  <c r="P20" i="9" s="1"/>
  <c r="Q20" i="9" s="1"/>
  <c r="R20" i="9" s="1"/>
  <c r="O19" i="9"/>
  <c r="P19" i="9" s="1"/>
  <c r="Q19" i="9" s="1"/>
  <c r="R19" i="9" s="1"/>
  <c r="O18" i="9"/>
  <c r="P18" i="9" s="1"/>
  <c r="Q18" i="9" s="1"/>
  <c r="R18" i="9" s="1"/>
  <c r="O17" i="9"/>
  <c r="P17" i="9" s="1"/>
  <c r="Q17" i="9" s="1"/>
  <c r="R17" i="9" s="1"/>
  <c r="O16" i="9"/>
  <c r="P16" i="9" s="1"/>
  <c r="Q16" i="9" s="1"/>
  <c r="R16" i="9" s="1"/>
  <c r="M16" i="9"/>
  <c r="O15" i="9"/>
  <c r="P15" i="9" s="1"/>
  <c r="Q15" i="9" s="1"/>
  <c r="R15" i="9" s="1"/>
  <c r="M15" i="9"/>
  <c r="O14" i="9"/>
  <c r="P14" i="9" s="1"/>
  <c r="Q14" i="9" s="1"/>
  <c r="R14" i="9" s="1"/>
  <c r="M14" i="9"/>
  <c r="O13" i="9"/>
  <c r="P13" i="9" s="1"/>
  <c r="Q13" i="9" s="1"/>
  <c r="R13" i="9" s="1"/>
  <c r="M13" i="9"/>
  <c r="O12" i="9"/>
  <c r="P12" i="9" s="1"/>
  <c r="Q12" i="9" s="1"/>
  <c r="R12" i="9" s="1"/>
  <c r="M12" i="9"/>
  <c r="O11" i="9"/>
  <c r="P11" i="9" s="1"/>
  <c r="Q11" i="9" s="1"/>
  <c r="R11" i="9" s="1"/>
  <c r="M11" i="9"/>
  <c r="O10" i="9"/>
  <c r="P10" i="9" s="1"/>
  <c r="Q10" i="9" s="1"/>
  <c r="R10" i="9" s="1"/>
  <c r="M10" i="9"/>
  <c r="O9" i="9"/>
  <c r="P9" i="9" s="1"/>
  <c r="Q9" i="9" s="1"/>
  <c r="R9" i="9" s="1"/>
  <c r="M9" i="9"/>
  <c r="O8" i="9"/>
  <c r="P8" i="9" s="1"/>
  <c r="Q8" i="9" s="1"/>
  <c r="R8" i="9" s="1"/>
  <c r="K8" i="9"/>
  <c r="M8" i="9" s="1"/>
  <c r="O7" i="9"/>
  <c r="P7" i="9" s="1"/>
  <c r="Q7" i="9" s="1"/>
  <c r="R7" i="9" s="1"/>
  <c r="K7" i="9"/>
  <c r="M7" i="9" s="1"/>
  <c r="O6" i="9"/>
  <c r="P6" i="9" s="1"/>
  <c r="Q6" i="9" s="1"/>
  <c r="R6" i="9" s="1"/>
  <c r="K6" i="9"/>
  <c r="M6" i="9" s="1"/>
  <c r="O5" i="9"/>
  <c r="P5" i="9" s="1"/>
  <c r="Q5" i="9" s="1"/>
  <c r="R5" i="9" s="1"/>
  <c r="K5" i="9"/>
  <c r="M5" i="9" s="1"/>
  <c r="O81" i="8"/>
  <c r="P81" i="8" s="1"/>
  <c r="Q81" i="8" s="1"/>
  <c r="R81" i="8" s="1"/>
  <c r="O80" i="8"/>
  <c r="P80" i="8" s="1"/>
  <c r="Q80" i="8" s="1"/>
  <c r="R80" i="8" s="1"/>
  <c r="O79" i="8"/>
  <c r="P79" i="8" s="1"/>
  <c r="Q79" i="8" s="1"/>
  <c r="R79" i="8" s="1"/>
  <c r="O78" i="8"/>
  <c r="P78" i="8" s="1"/>
  <c r="Q78" i="8" s="1"/>
  <c r="R78" i="8" s="1"/>
  <c r="O77" i="8"/>
  <c r="P77" i="8" s="1"/>
  <c r="Q77" i="8" s="1"/>
  <c r="R77" i="8" s="1"/>
  <c r="O76" i="8"/>
  <c r="P76" i="8" s="1"/>
  <c r="Q76" i="8" s="1"/>
  <c r="R76" i="8" s="1"/>
  <c r="O75" i="8"/>
  <c r="P75" i="8" s="1"/>
  <c r="Q75" i="8" s="1"/>
  <c r="R75" i="8" s="1"/>
  <c r="O74" i="8"/>
  <c r="P74" i="8" s="1"/>
  <c r="Q74" i="8" s="1"/>
  <c r="R74" i="8" s="1"/>
  <c r="O73" i="8"/>
  <c r="P73" i="8" s="1"/>
  <c r="Q73" i="8" s="1"/>
  <c r="R73" i="8" s="1"/>
  <c r="O72" i="8"/>
  <c r="P72" i="8" s="1"/>
  <c r="Q72" i="8" s="1"/>
  <c r="R72" i="8" s="1"/>
  <c r="O71" i="8"/>
  <c r="P71" i="8" s="1"/>
  <c r="Q71" i="8" s="1"/>
  <c r="R71" i="8" s="1"/>
  <c r="O70" i="8"/>
  <c r="P70" i="8" s="1"/>
  <c r="Q70" i="8" s="1"/>
  <c r="R70" i="8" s="1"/>
  <c r="O69" i="8"/>
  <c r="P69" i="8" s="1"/>
  <c r="Q69" i="8" s="1"/>
  <c r="R69" i="8" s="1"/>
  <c r="O68" i="8"/>
  <c r="P68" i="8" s="1"/>
  <c r="Q68" i="8" s="1"/>
  <c r="R68" i="8" s="1"/>
  <c r="O67" i="8"/>
  <c r="P67" i="8" s="1"/>
  <c r="Q67" i="8" s="1"/>
  <c r="R67" i="8" s="1"/>
  <c r="O66" i="8"/>
  <c r="P66" i="8" s="1"/>
  <c r="Q66" i="8" s="1"/>
  <c r="R66" i="8" s="1"/>
  <c r="O65" i="8"/>
  <c r="P65" i="8" s="1"/>
  <c r="Q65" i="8" s="1"/>
  <c r="R65" i="8" s="1"/>
  <c r="O64" i="8"/>
  <c r="P64" i="8" s="1"/>
  <c r="Q64" i="8" s="1"/>
  <c r="R64" i="8" s="1"/>
  <c r="O63" i="8"/>
  <c r="P63" i="8" s="1"/>
  <c r="Q63" i="8" s="1"/>
  <c r="R63" i="8" s="1"/>
  <c r="O62" i="8"/>
  <c r="P62" i="8" s="1"/>
  <c r="Q62" i="8" s="1"/>
  <c r="R62" i="8" s="1"/>
  <c r="O61" i="8"/>
  <c r="P61" i="8" s="1"/>
  <c r="Q61" i="8" s="1"/>
  <c r="R61" i="8" s="1"/>
  <c r="O60" i="8"/>
  <c r="P60" i="8" s="1"/>
  <c r="Q60" i="8" s="1"/>
  <c r="R60" i="8" s="1"/>
  <c r="O59" i="8"/>
  <c r="P59" i="8" s="1"/>
  <c r="Q59" i="8" s="1"/>
  <c r="R59" i="8" s="1"/>
  <c r="O58" i="8"/>
  <c r="P58" i="8" s="1"/>
  <c r="Q58" i="8" s="1"/>
  <c r="R58" i="8" s="1"/>
  <c r="O57" i="8"/>
  <c r="P57" i="8" s="1"/>
  <c r="Q57" i="8" s="1"/>
  <c r="R57" i="8" s="1"/>
  <c r="O56" i="8"/>
  <c r="P56" i="8" s="1"/>
  <c r="Q56" i="8" s="1"/>
  <c r="R56" i="8" s="1"/>
  <c r="O55" i="8"/>
  <c r="P55" i="8" s="1"/>
  <c r="Q55" i="8" s="1"/>
  <c r="R55" i="8" s="1"/>
  <c r="O54" i="8"/>
  <c r="P54" i="8" s="1"/>
  <c r="Q54" i="8" s="1"/>
  <c r="R54" i="8" s="1"/>
  <c r="O53" i="8"/>
  <c r="P53" i="8" s="1"/>
  <c r="Q53" i="8" s="1"/>
  <c r="R53" i="8" s="1"/>
  <c r="O52" i="8"/>
  <c r="P52" i="8" s="1"/>
  <c r="Q52" i="8" s="1"/>
  <c r="R52" i="8" s="1"/>
  <c r="O51" i="8"/>
  <c r="P51" i="8" s="1"/>
  <c r="Q51" i="8" s="1"/>
  <c r="R51" i="8" s="1"/>
  <c r="O50" i="8"/>
  <c r="P50" i="8" s="1"/>
  <c r="Q50" i="8" s="1"/>
  <c r="R50" i="8" s="1"/>
  <c r="O49" i="8"/>
  <c r="P49" i="8" s="1"/>
  <c r="Q49" i="8" s="1"/>
  <c r="R49" i="8" s="1"/>
  <c r="O48" i="8"/>
  <c r="P48" i="8" s="1"/>
  <c r="Q48" i="8" s="1"/>
  <c r="R48" i="8" s="1"/>
  <c r="O47" i="8"/>
  <c r="P47" i="8" s="1"/>
  <c r="Q47" i="8" s="1"/>
  <c r="R47" i="8" s="1"/>
  <c r="O46" i="8"/>
  <c r="P46" i="8" s="1"/>
  <c r="Q46" i="8" s="1"/>
  <c r="R46" i="8" s="1"/>
  <c r="O45" i="8"/>
  <c r="P45" i="8" s="1"/>
  <c r="Q45" i="8" s="1"/>
  <c r="R45" i="8" s="1"/>
  <c r="O44" i="8"/>
  <c r="P44" i="8" s="1"/>
  <c r="Q44" i="8" s="1"/>
  <c r="R44" i="8" s="1"/>
  <c r="O43" i="8"/>
  <c r="P43" i="8" s="1"/>
  <c r="Q43" i="8" s="1"/>
  <c r="R43" i="8" s="1"/>
  <c r="O42" i="8"/>
  <c r="P42" i="8" s="1"/>
  <c r="Q42" i="8" s="1"/>
  <c r="R42" i="8" s="1"/>
  <c r="O41" i="8"/>
  <c r="P41" i="8" s="1"/>
  <c r="Q41" i="8" s="1"/>
  <c r="R41" i="8" s="1"/>
  <c r="O40" i="8"/>
  <c r="P40" i="8" s="1"/>
  <c r="Q40" i="8" s="1"/>
  <c r="R40" i="8" s="1"/>
  <c r="O39" i="8"/>
  <c r="P39" i="8" s="1"/>
  <c r="Q39" i="8" s="1"/>
  <c r="R39" i="8" s="1"/>
  <c r="O38" i="8"/>
  <c r="P38" i="8" s="1"/>
  <c r="Q38" i="8" s="1"/>
  <c r="R38" i="8" s="1"/>
  <c r="O37" i="8"/>
  <c r="P37" i="8" s="1"/>
  <c r="Q37" i="8" s="1"/>
  <c r="R37" i="8" s="1"/>
  <c r="O36" i="8"/>
  <c r="P36" i="8" s="1"/>
  <c r="Q36" i="8" s="1"/>
  <c r="R36" i="8" s="1"/>
  <c r="O35" i="8"/>
  <c r="P35" i="8" s="1"/>
  <c r="Q35" i="8" s="1"/>
  <c r="R35" i="8" s="1"/>
  <c r="O34" i="8"/>
  <c r="P34" i="8" s="1"/>
  <c r="Q34" i="8" s="1"/>
  <c r="R34" i="8" s="1"/>
  <c r="O33" i="8"/>
  <c r="P33" i="8" s="1"/>
  <c r="Q33" i="8" s="1"/>
  <c r="R33" i="8" s="1"/>
  <c r="O32" i="8"/>
  <c r="P32" i="8" s="1"/>
  <c r="Q32" i="8" s="1"/>
  <c r="R32" i="8" s="1"/>
  <c r="O31" i="8"/>
  <c r="P31" i="8" s="1"/>
  <c r="Q31" i="8" s="1"/>
  <c r="R31" i="8" s="1"/>
  <c r="O30" i="8"/>
  <c r="P30" i="8" s="1"/>
  <c r="Q30" i="8" s="1"/>
  <c r="R30" i="8" s="1"/>
  <c r="O29" i="8"/>
  <c r="P29" i="8" s="1"/>
  <c r="Q29" i="8" s="1"/>
  <c r="R29" i="8" s="1"/>
  <c r="O28" i="8"/>
  <c r="P28" i="8" s="1"/>
  <c r="Q28" i="8" s="1"/>
  <c r="R28" i="8" s="1"/>
  <c r="O27" i="8"/>
  <c r="P27" i="8" s="1"/>
  <c r="Q27" i="8" s="1"/>
  <c r="R27" i="8" s="1"/>
  <c r="O26" i="8"/>
  <c r="P26" i="8" s="1"/>
  <c r="Q26" i="8" s="1"/>
  <c r="R26" i="8" s="1"/>
  <c r="O25" i="8"/>
  <c r="P25" i="8" s="1"/>
  <c r="Q25" i="8" s="1"/>
  <c r="R25" i="8" s="1"/>
  <c r="O24" i="8"/>
  <c r="P24" i="8" s="1"/>
  <c r="Q24" i="8" s="1"/>
  <c r="R24" i="8" s="1"/>
  <c r="O23" i="8"/>
  <c r="P23" i="8" s="1"/>
  <c r="Q23" i="8" s="1"/>
  <c r="R23" i="8" s="1"/>
  <c r="O22" i="8"/>
  <c r="P22" i="8" s="1"/>
  <c r="Q22" i="8" s="1"/>
  <c r="R22" i="8" s="1"/>
  <c r="O21" i="8"/>
  <c r="P21" i="8" s="1"/>
  <c r="Q21" i="8" s="1"/>
  <c r="R21" i="8" s="1"/>
  <c r="O20" i="8"/>
  <c r="P20" i="8" s="1"/>
  <c r="Q20" i="8" s="1"/>
  <c r="R20" i="8" s="1"/>
  <c r="O19" i="8"/>
  <c r="P19" i="8" s="1"/>
  <c r="Q19" i="8" s="1"/>
  <c r="R19" i="8" s="1"/>
  <c r="O18" i="8"/>
  <c r="P18" i="8" s="1"/>
  <c r="Q18" i="8" s="1"/>
  <c r="R18" i="8" s="1"/>
  <c r="O17" i="8"/>
  <c r="P17" i="8" s="1"/>
  <c r="Q17" i="8" s="1"/>
  <c r="R17" i="8" s="1"/>
  <c r="O16" i="8"/>
  <c r="P16" i="8" s="1"/>
  <c r="Q16" i="8" s="1"/>
  <c r="R16" i="8" s="1"/>
  <c r="O15" i="8"/>
  <c r="P15" i="8" s="1"/>
  <c r="Q15" i="8" s="1"/>
  <c r="R15" i="8" s="1"/>
  <c r="O14" i="8"/>
  <c r="P14" i="8" s="1"/>
  <c r="Q14" i="8" s="1"/>
  <c r="R14" i="8" s="1"/>
  <c r="M14" i="8"/>
  <c r="O13" i="8"/>
  <c r="P13" i="8" s="1"/>
  <c r="Q13" i="8" s="1"/>
  <c r="R13" i="8" s="1"/>
  <c r="M13" i="8"/>
  <c r="O12" i="8"/>
  <c r="P12" i="8" s="1"/>
  <c r="Q12" i="8" s="1"/>
  <c r="R12" i="8" s="1"/>
  <c r="M12" i="8"/>
  <c r="O11" i="8"/>
  <c r="P11" i="8" s="1"/>
  <c r="Q11" i="8" s="1"/>
  <c r="R11" i="8" s="1"/>
  <c r="M11" i="8"/>
  <c r="O10" i="8"/>
  <c r="P10" i="8" s="1"/>
  <c r="Q10" i="8" s="1"/>
  <c r="R10" i="8" s="1"/>
  <c r="M10" i="8"/>
  <c r="O9" i="8"/>
  <c r="P9" i="8" s="1"/>
  <c r="Q9" i="8" s="1"/>
  <c r="R9" i="8" s="1"/>
  <c r="M9" i="8"/>
  <c r="O8" i="8"/>
  <c r="P8" i="8" s="1"/>
  <c r="Q8" i="8" s="1"/>
  <c r="R8" i="8" s="1"/>
  <c r="K8" i="8"/>
  <c r="M8" i="8" s="1"/>
  <c r="O7" i="8"/>
  <c r="P7" i="8" s="1"/>
  <c r="Q7" i="8" s="1"/>
  <c r="R7" i="8" s="1"/>
  <c r="K7" i="8"/>
  <c r="M7" i="8" s="1"/>
  <c r="O6" i="8"/>
  <c r="P6" i="8" s="1"/>
  <c r="Q6" i="8" s="1"/>
  <c r="R6" i="8" s="1"/>
  <c r="M6" i="8"/>
  <c r="K6" i="8"/>
  <c r="O5" i="8"/>
  <c r="P5" i="8" s="1"/>
  <c r="Q5" i="8" s="1"/>
  <c r="R5" i="8" s="1"/>
  <c r="K5" i="8"/>
  <c r="M5" i="8" s="1"/>
  <c r="O77" i="7"/>
  <c r="P77" i="7" s="1"/>
  <c r="Q77" i="7" s="1"/>
  <c r="R77" i="7" s="1"/>
  <c r="O76" i="7"/>
  <c r="P76" i="7" s="1"/>
  <c r="Q76" i="7" s="1"/>
  <c r="R76" i="7" s="1"/>
  <c r="O75" i="7"/>
  <c r="P75" i="7" s="1"/>
  <c r="Q75" i="7" s="1"/>
  <c r="R75" i="7" s="1"/>
  <c r="O74" i="7"/>
  <c r="P74" i="7" s="1"/>
  <c r="Q74" i="7" s="1"/>
  <c r="R74" i="7" s="1"/>
  <c r="O73" i="7"/>
  <c r="P73" i="7" s="1"/>
  <c r="Q73" i="7" s="1"/>
  <c r="R73" i="7" s="1"/>
  <c r="O72" i="7"/>
  <c r="P72" i="7" s="1"/>
  <c r="Q72" i="7" s="1"/>
  <c r="R72" i="7" s="1"/>
  <c r="O71" i="7"/>
  <c r="P71" i="7" s="1"/>
  <c r="Q71" i="7" s="1"/>
  <c r="R71" i="7" s="1"/>
  <c r="O70" i="7"/>
  <c r="P70" i="7" s="1"/>
  <c r="Q70" i="7" s="1"/>
  <c r="R70" i="7" s="1"/>
  <c r="O69" i="7"/>
  <c r="P69" i="7" s="1"/>
  <c r="Q69" i="7" s="1"/>
  <c r="R69" i="7" s="1"/>
  <c r="O68" i="7"/>
  <c r="P68" i="7" s="1"/>
  <c r="Q68" i="7" s="1"/>
  <c r="R68" i="7" s="1"/>
  <c r="O67" i="7"/>
  <c r="P67" i="7" s="1"/>
  <c r="Q67" i="7" s="1"/>
  <c r="R67" i="7" s="1"/>
  <c r="O66" i="7"/>
  <c r="P66" i="7" s="1"/>
  <c r="Q66" i="7" s="1"/>
  <c r="R66" i="7" s="1"/>
  <c r="O65" i="7"/>
  <c r="P65" i="7" s="1"/>
  <c r="Q65" i="7" s="1"/>
  <c r="R65" i="7" s="1"/>
  <c r="O64" i="7"/>
  <c r="P64" i="7" s="1"/>
  <c r="Q64" i="7" s="1"/>
  <c r="R64" i="7" s="1"/>
  <c r="O63" i="7"/>
  <c r="P63" i="7" s="1"/>
  <c r="Q63" i="7" s="1"/>
  <c r="R63" i="7" s="1"/>
  <c r="O62" i="7"/>
  <c r="P62" i="7" s="1"/>
  <c r="Q62" i="7" s="1"/>
  <c r="R62" i="7" s="1"/>
  <c r="O61" i="7"/>
  <c r="P61" i="7" s="1"/>
  <c r="Q61" i="7" s="1"/>
  <c r="R61" i="7" s="1"/>
  <c r="O60" i="7"/>
  <c r="P60" i="7" s="1"/>
  <c r="Q60" i="7" s="1"/>
  <c r="R60" i="7" s="1"/>
  <c r="O59" i="7"/>
  <c r="P59" i="7" s="1"/>
  <c r="Q59" i="7" s="1"/>
  <c r="R59" i="7" s="1"/>
  <c r="O58" i="7"/>
  <c r="P58" i="7" s="1"/>
  <c r="Q58" i="7" s="1"/>
  <c r="R58" i="7" s="1"/>
  <c r="O57" i="7"/>
  <c r="P57" i="7" s="1"/>
  <c r="Q57" i="7" s="1"/>
  <c r="R57" i="7" s="1"/>
  <c r="O56" i="7"/>
  <c r="P56" i="7" s="1"/>
  <c r="Q56" i="7" s="1"/>
  <c r="R56" i="7" s="1"/>
  <c r="O55" i="7"/>
  <c r="P55" i="7" s="1"/>
  <c r="Q55" i="7" s="1"/>
  <c r="R55" i="7" s="1"/>
  <c r="O54" i="7"/>
  <c r="P54" i="7" s="1"/>
  <c r="Q54" i="7" s="1"/>
  <c r="R54" i="7" s="1"/>
  <c r="O53" i="7"/>
  <c r="P53" i="7" s="1"/>
  <c r="Q53" i="7" s="1"/>
  <c r="R53" i="7" s="1"/>
  <c r="O52" i="7"/>
  <c r="P52" i="7" s="1"/>
  <c r="Q52" i="7" s="1"/>
  <c r="R52" i="7" s="1"/>
  <c r="O51" i="7"/>
  <c r="P51" i="7" s="1"/>
  <c r="Q51" i="7" s="1"/>
  <c r="R51" i="7" s="1"/>
  <c r="O50" i="7"/>
  <c r="P50" i="7" s="1"/>
  <c r="Q50" i="7" s="1"/>
  <c r="R50" i="7" s="1"/>
  <c r="O49" i="7"/>
  <c r="P49" i="7" s="1"/>
  <c r="Q49" i="7" s="1"/>
  <c r="R49" i="7" s="1"/>
  <c r="O48" i="7"/>
  <c r="P48" i="7" s="1"/>
  <c r="Q48" i="7" s="1"/>
  <c r="R48" i="7" s="1"/>
  <c r="O47" i="7"/>
  <c r="P47" i="7" s="1"/>
  <c r="Q47" i="7" s="1"/>
  <c r="R47" i="7" s="1"/>
  <c r="O46" i="7"/>
  <c r="P46" i="7" s="1"/>
  <c r="Q46" i="7" s="1"/>
  <c r="R46" i="7" s="1"/>
  <c r="O45" i="7"/>
  <c r="P45" i="7" s="1"/>
  <c r="Q45" i="7" s="1"/>
  <c r="R45" i="7" s="1"/>
  <c r="O44" i="7"/>
  <c r="P44" i="7" s="1"/>
  <c r="Q44" i="7" s="1"/>
  <c r="R44" i="7" s="1"/>
  <c r="O43" i="7"/>
  <c r="P43" i="7" s="1"/>
  <c r="Q43" i="7" s="1"/>
  <c r="R43" i="7" s="1"/>
  <c r="O42" i="7"/>
  <c r="P42" i="7" s="1"/>
  <c r="Q42" i="7" s="1"/>
  <c r="R42" i="7" s="1"/>
  <c r="O41" i="7"/>
  <c r="P41" i="7" s="1"/>
  <c r="Q41" i="7" s="1"/>
  <c r="R41" i="7" s="1"/>
  <c r="O40" i="7"/>
  <c r="P40" i="7" s="1"/>
  <c r="Q40" i="7" s="1"/>
  <c r="R40" i="7" s="1"/>
  <c r="O39" i="7"/>
  <c r="P39" i="7" s="1"/>
  <c r="Q39" i="7" s="1"/>
  <c r="R39" i="7" s="1"/>
  <c r="O38" i="7"/>
  <c r="P38" i="7" s="1"/>
  <c r="Q38" i="7" s="1"/>
  <c r="R38" i="7" s="1"/>
  <c r="O37" i="7"/>
  <c r="P37" i="7" s="1"/>
  <c r="Q37" i="7" s="1"/>
  <c r="R37" i="7" s="1"/>
  <c r="O36" i="7"/>
  <c r="P36" i="7" s="1"/>
  <c r="Q36" i="7" s="1"/>
  <c r="R36" i="7" s="1"/>
  <c r="O35" i="7"/>
  <c r="P35" i="7" s="1"/>
  <c r="Q35" i="7" s="1"/>
  <c r="R35" i="7" s="1"/>
  <c r="O34" i="7"/>
  <c r="P34" i="7" s="1"/>
  <c r="Q34" i="7" s="1"/>
  <c r="R34" i="7" s="1"/>
  <c r="O33" i="7"/>
  <c r="P33" i="7" s="1"/>
  <c r="Q33" i="7" s="1"/>
  <c r="R33" i="7" s="1"/>
  <c r="O32" i="7"/>
  <c r="P32" i="7" s="1"/>
  <c r="Q32" i="7" s="1"/>
  <c r="R32" i="7" s="1"/>
  <c r="O31" i="7"/>
  <c r="P31" i="7" s="1"/>
  <c r="Q31" i="7" s="1"/>
  <c r="R31" i="7" s="1"/>
  <c r="O30" i="7"/>
  <c r="P30" i="7" s="1"/>
  <c r="Q30" i="7" s="1"/>
  <c r="R30" i="7" s="1"/>
  <c r="O29" i="7"/>
  <c r="P29" i="7" s="1"/>
  <c r="Q29" i="7" s="1"/>
  <c r="R29" i="7" s="1"/>
  <c r="O28" i="7"/>
  <c r="P28" i="7" s="1"/>
  <c r="Q28" i="7" s="1"/>
  <c r="R28" i="7" s="1"/>
  <c r="O27" i="7"/>
  <c r="P27" i="7" s="1"/>
  <c r="Q27" i="7" s="1"/>
  <c r="R27" i="7" s="1"/>
  <c r="O26" i="7"/>
  <c r="P26" i="7" s="1"/>
  <c r="Q26" i="7" s="1"/>
  <c r="R26" i="7" s="1"/>
  <c r="O25" i="7"/>
  <c r="P25" i="7" s="1"/>
  <c r="Q25" i="7" s="1"/>
  <c r="R25" i="7" s="1"/>
  <c r="O24" i="7"/>
  <c r="P24" i="7" s="1"/>
  <c r="Q24" i="7" s="1"/>
  <c r="R24" i="7" s="1"/>
  <c r="O23" i="7"/>
  <c r="P23" i="7" s="1"/>
  <c r="Q23" i="7" s="1"/>
  <c r="R23" i="7" s="1"/>
  <c r="O22" i="7"/>
  <c r="P22" i="7" s="1"/>
  <c r="Q22" i="7" s="1"/>
  <c r="R22" i="7" s="1"/>
  <c r="O21" i="7"/>
  <c r="P21" i="7" s="1"/>
  <c r="Q21" i="7" s="1"/>
  <c r="R21" i="7" s="1"/>
  <c r="O20" i="7"/>
  <c r="P20" i="7" s="1"/>
  <c r="Q20" i="7" s="1"/>
  <c r="R20" i="7" s="1"/>
  <c r="O19" i="7"/>
  <c r="P19" i="7" s="1"/>
  <c r="Q19" i="7" s="1"/>
  <c r="R19" i="7" s="1"/>
  <c r="O18" i="7"/>
  <c r="P18" i="7" s="1"/>
  <c r="Q18" i="7" s="1"/>
  <c r="R18" i="7" s="1"/>
  <c r="O17" i="7"/>
  <c r="P17" i="7" s="1"/>
  <c r="Q17" i="7" s="1"/>
  <c r="R17" i="7" s="1"/>
  <c r="M17" i="7"/>
  <c r="O16" i="7"/>
  <c r="P16" i="7" s="1"/>
  <c r="Q16" i="7" s="1"/>
  <c r="R16" i="7" s="1"/>
  <c r="M16" i="7"/>
  <c r="O15" i="7"/>
  <c r="P15" i="7" s="1"/>
  <c r="Q15" i="7" s="1"/>
  <c r="R15" i="7" s="1"/>
  <c r="M15" i="7"/>
  <c r="O14" i="7"/>
  <c r="P14" i="7" s="1"/>
  <c r="Q14" i="7" s="1"/>
  <c r="R14" i="7" s="1"/>
  <c r="M14" i="7"/>
  <c r="O13" i="7"/>
  <c r="P13" i="7" s="1"/>
  <c r="Q13" i="7" s="1"/>
  <c r="R13" i="7" s="1"/>
  <c r="M13" i="7"/>
  <c r="O12" i="7"/>
  <c r="P12" i="7" s="1"/>
  <c r="Q12" i="7" s="1"/>
  <c r="R12" i="7" s="1"/>
  <c r="M12" i="7"/>
  <c r="O11" i="7"/>
  <c r="P11" i="7" s="1"/>
  <c r="Q11" i="7" s="1"/>
  <c r="R11" i="7" s="1"/>
  <c r="M11" i="7"/>
  <c r="O10" i="7"/>
  <c r="P10" i="7" s="1"/>
  <c r="Q10" i="7" s="1"/>
  <c r="R10" i="7" s="1"/>
  <c r="M10" i="7"/>
  <c r="O9" i="7"/>
  <c r="P9" i="7" s="1"/>
  <c r="Q9" i="7" s="1"/>
  <c r="R9" i="7" s="1"/>
  <c r="M9" i="7"/>
  <c r="O8" i="7"/>
  <c r="P8" i="7" s="1"/>
  <c r="Q8" i="7" s="1"/>
  <c r="R8" i="7" s="1"/>
  <c r="K8" i="7"/>
  <c r="M8" i="7" s="1"/>
  <c r="O7" i="7"/>
  <c r="P7" i="7" s="1"/>
  <c r="Q7" i="7" s="1"/>
  <c r="R7" i="7" s="1"/>
  <c r="K7" i="7"/>
  <c r="M7" i="7" s="1"/>
  <c r="O6" i="7"/>
  <c r="P6" i="7" s="1"/>
  <c r="Q6" i="7" s="1"/>
  <c r="R6" i="7" s="1"/>
  <c r="K6" i="7"/>
  <c r="M6" i="7" s="1"/>
  <c r="O5" i="7"/>
  <c r="P5" i="7" s="1"/>
  <c r="Q5" i="7" s="1"/>
  <c r="R5" i="7" s="1"/>
  <c r="K5" i="7"/>
  <c r="M5" i="7" s="1"/>
  <c r="O78" i="6"/>
  <c r="P78" i="6" s="1"/>
  <c r="Q78" i="6" s="1"/>
  <c r="R78" i="6" s="1"/>
  <c r="O77" i="6"/>
  <c r="P77" i="6" s="1"/>
  <c r="Q77" i="6" s="1"/>
  <c r="R77" i="6" s="1"/>
  <c r="O76" i="6"/>
  <c r="P76" i="6" s="1"/>
  <c r="Q76" i="6" s="1"/>
  <c r="R76" i="6" s="1"/>
  <c r="O75" i="6"/>
  <c r="P75" i="6" s="1"/>
  <c r="Q75" i="6" s="1"/>
  <c r="R75" i="6" s="1"/>
  <c r="O74" i="6"/>
  <c r="P74" i="6" s="1"/>
  <c r="Q74" i="6" s="1"/>
  <c r="R74" i="6" s="1"/>
  <c r="O73" i="6"/>
  <c r="P73" i="6" s="1"/>
  <c r="Q73" i="6" s="1"/>
  <c r="R73" i="6" s="1"/>
  <c r="O72" i="6"/>
  <c r="P72" i="6" s="1"/>
  <c r="Q72" i="6" s="1"/>
  <c r="R72" i="6" s="1"/>
  <c r="O71" i="6"/>
  <c r="P71" i="6" s="1"/>
  <c r="Q71" i="6" s="1"/>
  <c r="R71" i="6" s="1"/>
  <c r="O70" i="6"/>
  <c r="P70" i="6" s="1"/>
  <c r="Q70" i="6" s="1"/>
  <c r="R70" i="6" s="1"/>
  <c r="O69" i="6"/>
  <c r="P69" i="6" s="1"/>
  <c r="Q69" i="6" s="1"/>
  <c r="R69" i="6" s="1"/>
  <c r="O68" i="6"/>
  <c r="P68" i="6" s="1"/>
  <c r="Q68" i="6" s="1"/>
  <c r="R68" i="6" s="1"/>
  <c r="O67" i="6"/>
  <c r="P67" i="6" s="1"/>
  <c r="Q67" i="6" s="1"/>
  <c r="R67" i="6" s="1"/>
  <c r="O66" i="6"/>
  <c r="P66" i="6" s="1"/>
  <c r="Q66" i="6" s="1"/>
  <c r="R66" i="6" s="1"/>
  <c r="O65" i="6"/>
  <c r="P65" i="6" s="1"/>
  <c r="Q65" i="6" s="1"/>
  <c r="R65" i="6" s="1"/>
  <c r="O64" i="6"/>
  <c r="P64" i="6" s="1"/>
  <c r="Q64" i="6" s="1"/>
  <c r="R64" i="6" s="1"/>
  <c r="O63" i="6"/>
  <c r="P63" i="6" s="1"/>
  <c r="Q63" i="6" s="1"/>
  <c r="R63" i="6" s="1"/>
  <c r="O62" i="6"/>
  <c r="P62" i="6" s="1"/>
  <c r="Q62" i="6" s="1"/>
  <c r="R62" i="6" s="1"/>
  <c r="O61" i="6"/>
  <c r="P61" i="6" s="1"/>
  <c r="Q61" i="6" s="1"/>
  <c r="R61" i="6" s="1"/>
  <c r="O60" i="6"/>
  <c r="P60" i="6" s="1"/>
  <c r="Q60" i="6" s="1"/>
  <c r="R60" i="6" s="1"/>
  <c r="O59" i="6"/>
  <c r="P59" i="6" s="1"/>
  <c r="Q59" i="6" s="1"/>
  <c r="R59" i="6" s="1"/>
  <c r="O58" i="6"/>
  <c r="P58" i="6" s="1"/>
  <c r="Q58" i="6" s="1"/>
  <c r="R58" i="6" s="1"/>
  <c r="O57" i="6"/>
  <c r="P57" i="6" s="1"/>
  <c r="Q57" i="6" s="1"/>
  <c r="R57" i="6" s="1"/>
  <c r="O56" i="6"/>
  <c r="P56" i="6" s="1"/>
  <c r="Q56" i="6" s="1"/>
  <c r="R56" i="6" s="1"/>
  <c r="O55" i="6"/>
  <c r="P55" i="6" s="1"/>
  <c r="Q55" i="6" s="1"/>
  <c r="R55" i="6" s="1"/>
  <c r="O54" i="6"/>
  <c r="P54" i="6" s="1"/>
  <c r="Q54" i="6" s="1"/>
  <c r="R54" i="6" s="1"/>
  <c r="O53" i="6"/>
  <c r="P53" i="6" s="1"/>
  <c r="Q53" i="6" s="1"/>
  <c r="R53" i="6" s="1"/>
  <c r="O52" i="6"/>
  <c r="P52" i="6" s="1"/>
  <c r="Q52" i="6" s="1"/>
  <c r="R52" i="6" s="1"/>
  <c r="O51" i="6"/>
  <c r="P51" i="6" s="1"/>
  <c r="Q51" i="6" s="1"/>
  <c r="R51" i="6" s="1"/>
  <c r="O50" i="6"/>
  <c r="P50" i="6" s="1"/>
  <c r="Q50" i="6" s="1"/>
  <c r="R50" i="6" s="1"/>
  <c r="O49" i="6"/>
  <c r="P49" i="6" s="1"/>
  <c r="Q49" i="6" s="1"/>
  <c r="R49" i="6" s="1"/>
  <c r="O48" i="6"/>
  <c r="P48" i="6" s="1"/>
  <c r="Q48" i="6" s="1"/>
  <c r="R48" i="6" s="1"/>
  <c r="O47" i="6"/>
  <c r="P47" i="6" s="1"/>
  <c r="Q47" i="6" s="1"/>
  <c r="R47" i="6" s="1"/>
  <c r="O46" i="6"/>
  <c r="P46" i="6" s="1"/>
  <c r="Q46" i="6" s="1"/>
  <c r="R46" i="6" s="1"/>
  <c r="O45" i="6"/>
  <c r="P45" i="6" s="1"/>
  <c r="Q45" i="6" s="1"/>
  <c r="R45" i="6" s="1"/>
  <c r="O44" i="6"/>
  <c r="P44" i="6" s="1"/>
  <c r="Q44" i="6" s="1"/>
  <c r="R44" i="6" s="1"/>
  <c r="O43" i="6"/>
  <c r="P43" i="6" s="1"/>
  <c r="Q43" i="6" s="1"/>
  <c r="R43" i="6" s="1"/>
  <c r="O42" i="6"/>
  <c r="P42" i="6" s="1"/>
  <c r="Q42" i="6" s="1"/>
  <c r="R42" i="6" s="1"/>
  <c r="O41" i="6"/>
  <c r="P41" i="6" s="1"/>
  <c r="Q41" i="6" s="1"/>
  <c r="R41" i="6" s="1"/>
  <c r="O40" i="6"/>
  <c r="P40" i="6" s="1"/>
  <c r="Q40" i="6" s="1"/>
  <c r="R40" i="6" s="1"/>
  <c r="O39" i="6"/>
  <c r="P39" i="6" s="1"/>
  <c r="Q39" i="6" s="1"/>
  <c r="R39" i="6" s="1"/>
  <c r="O38" i="6"/>
  <c r="P38" i="6" s="1"/>
  <c r="Q38" i="6" s="1"/>
  <c r="R38" i="6" s="1"/>
  <c r="O37" i="6"/>
  <c r="P37" i="6" s="1"/>
  <c r="Q37" i="6" s="1"/>
  <c r="R37" i="6" s="1"/>
  <c r="O36" i="6"/>
  <c r="P36" i="6" s="1"/>
  <c r="Q36" i="6" s="1"/>
  <c r="R36" i="6" s="1"/>
  <c r="O35" i="6"/>
  <c r="P35" i="6" s="1"/>
  <c r="Q35" i="6" s="1"/>
  <c r="R35" i="6" s="1"/>
  <c r="O34" i="6"/>
  <c r="P34" i="6" s="1"/>
  <c r="Q34" i="6" s="1"/>
  <c r="R34" i="6" s="1"/>
  <c r="O33" i="6"/>
  <c r="P33" i="6" s="1"/>
  <c r="Q33" i="6" s="1"/>
  <c r="R33" i="6" s="1"/>
  <c r="O32" i="6"/>
  <c r="P32" i="6" s="1"/>
  <c r="Q32" i="6" s="1"/>
  <c r="R32" i="6" s="1"/>
  <c r="O31" i="6"/>
  <c r="P31" i="6" s="1"/>
  <c r="Q31" i="6" s="1"/>
  <c r="R31" i="6" s="1"/>
  <c r="O30" i="6"/>
  <c r="P30" i="6" s="1"/>
  <c r="Q30" i="6" s="1"/>
  <c r="R30" i="6" s="1"/>
  <c r="O29" i="6"/>
  <c r="P29" i="6" s="1"/>
  <c r="Q29" i="6" s="1"/>
  <c r="R29" i="6" s="1"/>
  <c r="O28" i="6"/>
  <c r="P28" i="6" s="1"/>
  <c r="Q28" i="6" s="1"/>
  <c r="R28" i="6" s="1"/>
  <c r="O27" i="6"/>
  <c r="P27" i="6" s="1"/>
  <c r="Q27" i="6" s="1"/>
  <c r="R27" i="6" s="1"/>
  <c r="O26" i="6"/>
  <c r="P26" i="6" s="1"/>
  <c r="Q26" i="6" s="1"/>
  <c r="R26" i="6" s="1"/>
  <c r="O25" i="6"/>
  <c r="P25" i="6" s="1"/>
  <c r="Q25" i="6" s="1"/>
  <c r="R25" i="6" s="1"/>
  <c r="O24" i="6"/>
  <c r="P24" i="6" s="1"/>
  <c r="Q24" i="6" s="1"/>
  <c r="R24" i="6" s="1"/>
  <c r="O23" i="6"/>
  <c r="P23" i="6" s="1"/>
  <c r="Q23" i="6" s="1"/>
  <c r="R23" i="6" s="1"/>
  <c r="O22" i="6"/>
  <c r="P22" i="6" s="1"/>
  <c r="Q22" i="6" s="1"/>
  <c r="R22" i="6" s="1"/>
  <c r="O21" i="6"/>
  <c r="P21" i="6" s="1"/>
  <c r="Q21" i="6" s="1"/>
  <c r="R21" i="6" s="1"/>
  <c r="O20" i="6"/>
  <c r="P20" i="6" s="1"/>
  <c r="Q20" i="6" s="1"/>
  <c r="R20" i="6" s="1"/>
  <c r="O19" i="6"/>
  <c r="P19" i="6" s="1"/>
  <c r="Q19" i="6" s="1"/>
  <c r="R19" i="6" s="1"/>
  <c r="O18" i="6"/>
  <c r="P18" i="6" s="1"/>
  <c r="Q18" i="6" s="1"/>
  <c r="R18" i="6" s="1"/>
  <c r="M18" i="6"/>
  <c r="O17" i="6"/>
  <c r="P17" i="6" s="1"/>
  <c r="Q17" i="6" s="1"/>
  <c r="R17" i="6" s="1"/>
  <c r="M17" i="6"/>
  <c r="O16" i="6"/>
  <c r="P16" i="6" s="1"/>
  <c r="Q16" i="6" s="1"/>
  <c r="R16" i="6" s="1"/>
  <c r="M16" i="6"/>
  <c r="O15" i="6"/>
  <c r="P15" i="6" s="1"/>
  <c r="Q15" i="6" s="1"/>
  <c r="R15" i="6" s="1"/>
  <c r="M15" i="6"/>
  <c r="O14" i="6"/>
  <c r="P14" i="6" s="1"/>
  <c r="Q14" i="6" s="1"/>
  <c r="R14" i="6" s="1"/>
  <c r="M14" i="6"/>
  <c r="O13" i="6"/>
  <c r="P13" i="6" s="1"/>
  <c r="Q13" i="6" s="1"/>
  <c r="R13" i="6" s="1"/>
  <c r="M13" i="6"/>
  <c r="O12" i="6"/>
  <c r="P12" i="6" s="1"/>
  <c r="Q12" i="6" s="1"/>
  <c r="R12" i="6" s="1"/>
  <c r="M12" i="6"/>
  <c r="O11" i="6"/>
  <c r="P11" i="6" s="1"/>
  <c r="Q11" i="6" s="1"/>
  <c r="R11" i="6" s="1"/>
  <c r="M11" i="6"/>
  <c r="O10" i="6"/>
  <c r="P10" i="6" s="1"/>
  <c r="Q10" i="6" s="1"/>
  <c r="R10" i="6" s="1"/>
  <c r="M10" i="6"/>
  <c r="O9" i="6"/>
  <c r="P9" i="6" s="1"/>
  <c r="Q9" i="6" s="1"/>
  <c r="R9" i="6" s="1"/>
  <c r="M9" i="6"/>
  <c r="O8" i="6"/>
  <c r="P8" i="6" s="1"/>
  <c r="Q8" i="6" s="1"/>
  <c r="R8" i="6" s="1"/>
  <c r="K8" i="6"/>
  <c r="M8" i="6" s="1"/>
  <c r="P7" i="6"/>
  <c r="Q7" i="6" s="1"/>
  <c r="R7" i="6" s="1"/>
  <c r="O7" i="6"/>
  <c r="K7" i="6"/>
  <c r="M7" i="6" s="1"/>
  <c r="O6" i="6"/>
  <c r="P6" i="6" s="1"/>
  <c r="Q6" i="6" s="1"/>
  <c r="R6" i="6" s="1"/>
  <c r="K6" i="6"/>
  <c r="M6" i="6" s="1"/>
  <c r="O5" i="6"/>
  <c r="P5" i="6" s="1"/>
  <c r="Q5" i="6" s="1"/>
  <c r="R5" i="6" s="1"/>
  <c r="K5" i="6"/>
  <c r="M5" i="6" s="1"/>
  <c r="O74" i="12"/>
  <c r="P74" i="12" s="1"/>
  <c r="Q74" i="12" s="1"/>
  <c r="R74" i="12" s="1"/>
  <c r="O73" i="12"/>
  <c r="P73" i="12" s="1"/>
  <c r="Q73" i="12" s="1"/>
  <c r="R73" i="12" s="1"/>
  <c r="O72" i="12"/>
  <c r="P72" i="12" s="1"/>
  <c r="Q72" i="12" s="1"/>
  <c r="R72" i="12" s="1"/>
  <c r="O71" i="12"/>
  <c r="P71" i="12" s="1"/>
  <c r="Q71" i="12" s="1"/>
  <c r="R71" i="12" s="1"/>
  <c r="O70" i="12"/>
  <c r="P70" i="12" s="1"/>
  <c r="Q70" i="12" s="1"/>
  <c r="R70" i="12" s="1"/>
  <c r="O69" i="12"/>
  <c r="P69" i="12" s="1"/>
  <c r="Q69" i="12" s="1"/>
  <c r="R69" i="12" s="1"/>
  <c r="O68" i="12"/>
  <c r="P68" i="12" s="1"/>
  <c r="Q68" i="12" s="1"/>
  <c r="R68" i="12" s="1"/>
  <c r="O67" i="12"/>
  <c r="P67" i="12" s="1"/>
  <c r="Q67" i="12" s="1"/>
  <c r="R67" i="12" s="1"/>
  <c r="O66" i="12"/>
  <c r="P66" i="12" s="1"/>
  <c r="Q66" i="12" s="1"/>
  <c r="R66" i="12" s="1"/>
  <c r="O65" i="12"/>
  <c r="P65" i="12" s="1"/>
  <c r="Q65" i="12" s="1"/>
  <c r="R65" i="12" s="1"/>
  <c r="O64" i="12"/>
  <c r="P64" i="12" s="1"/>
  <c r="Q64" i="12" s="1"/>
  <c r="R64" i="12" s="1"/>
  <c r="O63" i="12"/>
  <c r="P63" i="12" s="1"/>
  <c r="Q63" i="12" s="1"/>
  <c r="R63" i="12" s="1"/>
  <c r="O62" i="12"/>
  <c r="P62" i="12" s="1"/>
  <c r="Q62" i="12" s="1"/>
  <c r="R62" i="12" s="1"/>
  <c r="O61" i="12"/>
  <c r="P61" i="12" s="1"/>
  <c r="Q61" i="12" s="1"/>
  <c r="R61" i="12" s="1"/>
  <c r="O60" i="12"/>
  <c r="P60" i="12" s="1"/>
  <c r="Q60" i="12" s="1"/>
  <c r="R60" i="12" s="1"/>
  <c r="O59" i="12"/>
  <c r="P59" i="12" s="1"/>
  <c r="Q59" i="12" s="1"/>
  <c r="R59" i="12" s="1"/>
  <c r="O58" i="12"/>
  <c r="P58" i="12" s="1"/>
  <c r="Q58" i="12" s="1"/>
  <c r="R58" i="12" s="1"/>
  <c r="O57" i="12"/>
  <c r="P57" i="12" s="1"/>
  <c r="Q57" i="12" s="1"/>
  <c r="R57" i="12" s="1"/>
  <c r="O56" i="12"/>
  <c r="P56" i="12" s="1"/>
  <c r="Q56" i="12" s="1"/>
  <c r="R56" i="12" s="1"/>
  <c r="O55" i="12"/>
  <c r="P55" i="12" s="1"/>
  <c r="Q55" i="12" s="1"/>
  <c r="R55" i="12" s="1"/>
  <c r="O54" i="12"/>
  <c r="P54" i="12" s="1"/>
  <c r="Q54" i="12" s="1"/>
  <c r="R54" i="12" s="1"/>
  <c r="O53" i="12"/>
  <c r="P53" i="12" s="1"/>
  <c r="Q53" i="12" s="1"/>
  <c r="R53" i="12" s="1"/>
  <c r="O52" i="12"/>
  <c r="P52" i="12" s="1"/>
  <c r="Q52" i="12" s="1"/>
  <c r="R52" i="12" s="1"/>
  <c r="O51" i="12"/>
  <c r="P51" i="12" s="1"/>
  <c r="Q51" i="12" s="1"/>
  <c r="R51" i="12" s="1"/>
  <c r="O50" i="12"/>
  <c r="P50" i="12" s="1"/>
  <c r="Q50" i="12" s="1"/>
  <c r="R50" i="12" s="1"/>
  <c r="O49" i="12"/>
  <c r="P49" i="12" s="1"/>
  <c r="Q49" i="12" s="1"/>
  <c r="R49" i="12" s="1"/>
  <c r="O48" i="12"/>
  <c r="P48" i="12" s="1"/>
  <c r="Q48" i="12" s="1"/>
  <c r="R48" i="12" s="1"/>
  <c r="O47" i="12"/>
  <c r="P47" i="12" s="1"/>
  <c r="Q47" i="12" s="1"/>
  <c r="R47" i="12" s="1"/>
  <c r="O46" i="12"/>
  <c r="P46" i="12" s="1"/>
  <c r="Q46" i="12" s="1"/>
  <c r="R46" i="12" s="1"/>
  <c r="O45" i="12"/>
  <c r="P45" i="12" s="1"/>
  <c r="Q45" i="12" s="1"/>
  <c r="R45" i="12" s="1"/>
  <c r="O44" i="12"/>
  <c r="P44" i="12" s="1"/>
  <c r="Q44" i="12" s="1"/>
  <c r="R44" i="12" s="1"/>
  <c r="O43" i="12"/>
  <c r="P43" i="12" s="1"/>
  <c r="Q43" i="12" s="1"/>
  <c r="R43" i="12" s="1"/>
  <c r="O42" i="12"/>
  <c r="P42" i="12" s="1"/>
  <c r="Q42" i="12" s="1"/>
  <c r="R42" i="12" s="1"/>
  <c r="O41" i="12"/>
  <c r="P41" i="12" s="1"/>
  <c r="Q41" i="12" s="1"/>
  <c r="R41" i="12" s="1"/>
  <c r="O40" i="12"/>
  <c r="P40" i="12" s="1"/>
  <c r="Q40" i="12" s="1"/>
  <c r="R40" i="12" s="1"/>
  <c r="O39" i="12"/>
  <c r="P39" i="12" s="1"/>
  <c r="Q39" i="12" s="1"/>
  <c r="R39" i="12" s="1"/>
  <c r="O38" i="12"/>
  <c r="P38" i="12" s="1"/>
  <c r="Q38" i="12" s="1"/>
  <c r="R38" i="12" s="1"/>
  <c r="O37" i="12"/>
  <c r="P37" i="12" s="1"/>
  <c r="Q37" i="12" s="1"/>
  <c r="R37" i="12" s="1"/>
  <c r="O36" i="12"/>
  <c r="P36" i="12" s="1"/>
  <c r="Q36" i="12" s="1"/>
  <c r="R36" i="12" s="1"/>
  <c r="O35" i="12"/>
  <c r="P35" i="12" s="1"/>
  <c r="Q35" i="12" s="1"/>
  <c r="R35" i="12" s="1"/>
  <c r="O34" i="12"/>
  <c r="P34" i="12" s="1"/>
  <c r="Q34" i="12" s="1"/>
  <c r="R34" i="12" s="1"/>
  <c r="O33" i="12"/>
  <c r="P33" i="12" s="1"/>
  <c r="Q33" i="12" s="1"/>
  <c r="R33" i="12" s="1"/>
  <c r="O32" i="12"/>
  <c r="P32" i="12" s="1"/>
  <c r="Q32" i="12" s="1"/>
  <c r="R32" i="12" s="1"/>
  <c r="O31" i="12"/>
  <c r="P31" i="12" s="1"/>
  <c r="Q31" i="12" s="1"/>
  <c r="R31" i="12" s="1"/>
  <c r="O30" i="12"/>
  <c r="P30" i="12" s="1"/>
  <c r="Q30" i="12" s="1"/>
  <c r="R30" i="12" s="1"/>
  <c r="O29" i="12"/>
  <c r="P29" i="12" s="1"/>
  <c r="Q29" i="12" s="1"/>
  <c r="R29" i="12" s="1"/>
  <c r="O28" i="12"/>
  <c r="P28" i="12" s="1"/>
  <c r="Q28" i="12" s="1"/>
  <c r="R28" i="12" s="1"/>
  <c r="O27" i="12"/>
  <c r="P27" i="12" s="1"/>
  <c r="Q27" i="12" s="1"/>
  <c r="R27" i="12" s="1"/>
  <c r="O26" i="12"/>
  <c r="P26" i="12" s="1"/>
  <c r="Q26" i="12" s="1"/>
  <c r="R26" i="12" s="1"/>
  <c r="O25" i="12"/>
  <c r="P25" i="12" s="1"/>
  <c r="Q25" i="12" s="1"/>
  <c r="R25" i="12" s="1"/>
  <c r="O24" i="12"/>
  <c r="P24" i="12" s="1"/>
  <c r="Q24" i="12" s="1"/>
  <c r="R24" i="12" s="1"/>
  <c r="O23" i="12"/>
  <c r="P23" i="12" s="1"/>
  <c r="Q23" i="12" s="1"/>
  <c r="R23" i="12" s="1"/>
  <c r="O22" i="12"/>
  <c r="P22" i="12" s="1"/>
  <c r="Q22" i="12" s="1"/>
  <c r="R22" i="12" s="1"/>
  <c r="O21" i="12"/>
  <c r="P21" i="12" s="1"/>
  <c r="Q21" i="12" s="1"/>
  <c r="R21" i="12" s="1"/>
  <c r="O20" i="12"/>
  <c r="P20" i="12" s="1"/>
  <c r="Q20" i="12" s="1"/>
  <c r="R20" i="12" s="1"/>
  <c r="O19" i="12"/>
  <c r="P19" i="12" s="1"/>
  <c r="Q19" i="12" s="1"/>
  <c r="R19" i="12" s="1"/>
  <c r="O18" i="12"/>
  <c r="P18" i="12" s="1"/>
  <c r="Q18" i="12" s="1"/>
  <c r="R18" i="12" s="1"/>
  <c r="O17" i="12"/>
  <c r="P17" i="12" s="1"/>
  <c r="Q17" i="12" s="1"/>
  <c r="R17" i="12" s="1"/>
  <c r="O16" i="12"/>
  <c r="P16" i="12" s="1"/>
  <c r="Q16" i="12" s="1"/>
  <c r="R16" i="12" s="1"/>
  <c r="M16" i="12"/>
  <c r="O15" i="12"/>
  <c r="P15" i="12" s="1"/>
  <c r="Q15" i="12" s="1"/>
  <c r="R15" i="12" s="1"/>
  <c r="M15" i="12"/>
  <c r="O14" i="12"/>
  <c r="P14" i="12" s="1"/>
  <c r="Q14" i="12" s="1"/>
  <c r="R14" i="12" s="1"/>
  <c r="M14" i="12"/>
  <c r="O13" i="12"/>
  <c r="P13" i="12" s="1"/>
  <c r="Q13" i="12" s="1"/>
  <c r="R13" i="12" s="1"/>
  <c r="M13" i="12"/>
  <c r="O12" i="12"/>
  <c r="P12" i="12" s="1"/>
  <c r="Q12" i="12" s="1"/>
  <c r="R12" i="12" s="1"/>
  <c r="M12" i="12"/>
  <c r="O11" i="12"/>
  <c r="P11" i="12" s="1"/>
  <c r="Q11" i="12" s="1"/>
  <c r="R11" i="12" s="1"/>
  <c r="M11" i="12"/>
  <c r="O10" i="12"/>
  <c r="P10" i="12" s="1"/>
  <c r="Q10" i="12" s="1"/>
  <c r="R10" i="12" s="1"/>
  <c r="M10" i="12"/>
  <c r="O9" i="12"/>
  <c r="P9" i="12" s="1"/>
  <c r="Q9" i="12" s="1"/>
  <c r="R9" i="12" s="1"/>
  <c r="M9" i="12"/>
  <c r="O8" i="12"/>
  <c r="P8" i="12" s="1"/>
  <c r="Q8" i="12" s="1"/>
  <c r="R8" i="12" s="1"/>
  <c r="M8" i="12"/>
  <c r="O7" i="12"/>
  <c r="P7" i="12" s="1"/>
  <c r="Q7" i="12" s="1"/>
  <c r="R7" i="12" s="1"/>
  <c r="M7" i="12"/>
  <c r="O6" i="12"/>
  <c r="P6" i="12" s="1"/>
  <c r="Q6" i="12" s="1"/>
  <c r="R6" i="12" s="1"/>
  <c r="M6" i="12"/>
  <c r="O5" i="12"/>
  <c r="P5" i="12" s="1"/>
  <c r="Q5" i="12" s="1"/>
  <c r="R5" i="12" s="1"/>
  <c r="M5" i="12"/>
  <c r="K6" i="1"/>
  <c r="L6" i="1"/>
  <c r="M6" i="1"/>
  <c r="K7" i="1"/>
  <c r="L7" i="1"/>
  <c r="M7" i="1" s="1"/>
  <c r="K8" i="1"/>
  <c r="L8" i="1"/>
  <c r="M8" i="1"/>
  <c r="K9" i="1"/>
  <c r="L9" i="1"/>
  <c r="M9" i="1" s="1"/>
  <c r="K10" i="1"/>
  <c r="L10" i="1" s="1"/>
  <c r="M10" i="1" s="1"/>
  <c r="K11" i="1"/>
  <c r="L11" i="1"/>
  <c r="M11" i="1"/>
  <c r="K12" i="1"/>
  <c r="L12" i="1" s="1"/>
  <c r="M12" i="1" s="1"/>
  <c r="K13" i="1"/>
  <c r="L13" i="1"/>
  <c r="M13" i="1"/>
  <c r="K14" i="1"/>
  <c r="L14" i="1"/>
  <c r="M14" i="1"/>
  <c r="K15" i="1"/>
  <c r="L15" i="1"/>
  <c r="M15" i="1" s="1"/>
  <c r="K16" i="1"/>
  <c r="L16" i="1"/>
  <c r="M16" i="1"/>
  <c r="K17" i="1"/>
  <c r="L17" i="1"/>
  <c r="M17" i="1" s="1"/>
  <c r="K18" i="1"/>
  <c r="L18" i="1" s="1"/>
  <c r="M18" i="1" s="1"/>
  <c r="K19" i="1"/>
  <c r="L19" i="1"/>
  <c r="M19" i="1"/>
  <c r="K20" i="1"/>
  <c r="L20" i="1" s="1"/>
  <c r="M20" i="1" s="1"/>
  <c r="K21" i="1"/>
  <c r="L21" i="1"/>
  <c r="M21" i="1"/>
  <c r="K22" i="1"/>
  <c r="L22" i="1"/>
  <c r="M22" i="1"/>
  <c r="K23" i="1"/>
  <c r="L23" i="1"/>
  <c r="M23" i="1" s="1"/>
  <c r="K24" i="1"/>
  <c r="L24" i="1"/>
  <c r="M24" i="1"/>
  <c r="K25" i="1"/>
  <c r="L25" i="1"/>
  <c r="M25" i="1" s="1"/>
  <c r="K26" i="1"/>
  <c r="L26" i="1" s="1"/>
  <c r="M26" i="1" s="1"/>
  <c r="K27" i="1"/>
  <c r="L27" i="1"/>
  <c r="M27" i="1"/>
  <c r="K28" i="1"/>
  <c r="L28" i="1" s="1"/>
  <c r="M28" i="1" s="1"/>
  <c r="K29" i="1"/>
  <c r="L29" i="1"/>
  <c r="M29" i="1"/>
  <c r="K30" i="1"/>
  <c r="L30" i="1"/>
  <c r="M30" i="1"/>
  <c r="K31" i="1"/>
  <c r="L31" i="1"/>
  <c r="M31" i="1" s="1"/>
  <c r="K32" i="1"/>
  <c r="L32" i="1"/>
  <c r="M32" i="1"/>
  <c r="K33" i="1"/>
  <c r="L33" i="1"/>
  <c r="M33" i="1" s="1"/>
  <c r="K34" i="1"/>
  <c r="L34" i="1" s="1"/>
  <c r="M34" i="1" s="1"/>
  <c r="K35" i="1"/>
  <c r="L35" i="1"/>
  <c r="M35" i="1"/>
  <c r="K36" i="1"/>
  <c r="L36" i="1" s="1"/>
  <c r="M36" i="1" s="1"/>
  <c r="K37" i="1"/>
  <c r="L37" i="1" s="1"/>
  <c r="M37" i="1" s="1"/>
  <c r="K38" i="1"/>
  <c r="L38" i="1"/>
  <c r="M38" i="1"/>
  <c r="K39" i="1"/>
  <c r="L39" i="1"/>
  <c r="M39" i="1" s="1"/>
  <c r="K40" i="1"/>
  <c r="L40" i="1"/>
  <c r="M40" i="1"/>
  <c r="K41" i="1"/>
  <c r="L41" i="1"/>
  <c r="M41" i="1" s="1"/>
  <c r="K42" i="1"/>
  <c r="L42" i="1" s="1"/>
  <c r="M42" i="1" s="1"/>
  <c r="K43" i="1"/>
  <c r="L43" i="1"/>
  <c r="M43" i="1"/>
  <c r="K44" i="1"/>
  <c r="L44" i="1" s="1"/>
  <c r="M44" i="1" s="1"/>
  <c r="K45" i="1"/>
  <c r="L45" i="1" s="1"/>
  <c r="M45" i="1" s="1"/>
  <c r="K46" i="1"/>
  <c r="L46" i="1"/>
  <c r="M46" i="1"/>
  <c r="K47" i="1"/>
  <c r="L47" i="1"/>
  <c r="M47" i="1" s="1"/>
  <c r="K48" i="1"/>
  <c r="L48" i="1"/>
  <c r="M48" i="1"/>
  <c r="K49" i="1"/>
  <c r="L49" i="1"/>
  <c r="M49" i="1" s="1"/>
  <c r="K50" i="1"/>
  <c r="L50" i="1" s="1"/>
  <c r="M50" i="1" s="1"/>
  <c r="K51" i="1"/>
  <c r="L51" i="1"/>
  <c r="M51" i="1"/>
  <c r="K52" i="1"/>
  <c r="L52" i="1" s="1"/>
  <c r="M52" i="1" s="1"/>
  <c r="K53" i="1"/>
  <c r="L53" i="1" s="1"/>
  <c r="M53" i="1" s="1"/>
  <c r="K54" i="1"/>
  <c r="L54" i="1"/>
  <c r="M54" i="1"/>
  <c r="K55" i="1"/>
  <c r="L55" i="1"/>
  <c r="M55" i="1" s="1"/>
  <c r="K56" i="1"/>
  <c r="L56" i="1"/>
  <c r="M56" i="1"/>
  <c r="K57" i="1"/>
  <c r="L57" i="1"/>
  <c r="M57" i="1" s="1"/>
  <c r="K58" i="1"/>
  <c r="L58" i="1" s="1"/>
  <c r="M58" i="1" s="1"/>
  <c r="K59" i="1"/>
  <c r="L59" i="1"/>
  <c r="M59" i="1"/>
  <c r="K60" i="1"/>
  <c r="L60" i="1" s="1"/>
  <c r="M60" i="1" s="1"/>
  <c r="K61" i="1"/>
  <c r="L61" i="1" s="1"/>
  <c r="M61" i="1" s="1"/>
  <c r="K62" i="1"/>
  <c r="L62" i="1"/>
  <c r="M62" i="1"/>
  <c r="K63" i="1"/>
  <c r="L63" i="1"/>
  <c r="M63" i="1" s="1"/>
  <c r="K64" i="1"/>
  <c r="L64" i="1"/>
  <c r="M64" i="1"/>
  <c r="K65" i="1"/>
  <c r="L65" i="1"/>
  <c r="M65" i="1" s="1"/>
  <c r="K66" i="1"/>
  <c r="L66" i="1" s="1"/>
  <c r="M66" i="1" s="1"/>
  <c r="K67" i="1"/>
  <c r="L67" i="1"/>
  <c r="M67" i="1"/>
  <c r="K68" i="1"/>
  <c r="L68" i="1" s="1"/>
  <c r="M68" i="1" s="1"/>
  <c r="K69" i="1"/>
  <c r="L69" i="1" s="1"/>
  <c r="M69" i="1" s="1"/>
  <c r="K70" i="1"/>
  <c r="L70" i="1"/>
  <c r="M70" i="1"/>
  <c r="K71" i="1"/>
  <c r="L71" i="1"/>
  <c r="M71" i="1" s="1"/>
  <c r="K72" i="1"/>
  <c r="L72" i="1"/>
  <c r="M72" i="1"/>
  <c r="K73" i="1"/>
  <c r="L73" i="1"/>
  <c r="M73" i="1" s="1"/>
  <c r="K74" i="1"/>
  <c r="L74" i="1" s="1"/>
  <c r="M74" i="1" s="1"/>
  <c r="K75" i="1"/>
  <c r="L75" i="1"/>
  <c r="M75" i="1"/>
  <c r="K76" i="1"/>
  <c r="L76" i="1" s="1"/>
  <c r="M76" i="1" s="1"/>
  <c r="K77" i="1"/>
  <c r="L77" i="1" s="1"/>
  <c r="M77" i="1" s="1"/>
  <c r="K78" i="1"/>
  <c r="L78" i="1"/>
  <c r="M78" i="1"/>
  <c r="K79" i="1"/>
  <c r="L79" i="1"/>
  <c r="M79" i="1" s="1"/>
  <c r="K80" i="1"/>
  <c r="L80" i="1"/>
  <c r="M80" i="1"/>
  <c r="K81" i="1"/>
  <c r="L81" i="1"/>
  <c r="M81" i="1" s="1"/>
  <c r="K82" i="1"/>
  <c r="L82" i="1" s="1"/>
  <c r="M82" i="1" s="1"/>
  <c r="K83" i="1"/>
  <c r="L83" i="1"/>
  <c r="M83" i="1"/>
  <c r="K84" i="1"/>
  <c r="L84" i="1" s="1"/>
  <c r="M84" i="1" s="1"/>
  <c r="K85" i="1"/>
  <c r="L85" i="1" s="1"/>
  <c r="M85" i="1" s="1"/>
  <c r="K86" i="1"/>
  <c r="L86" i="1"/>
  <c r="M86" i="1"/>
  <c r="K87" i="1"/>
  <c r="L87" i="1"/>
  <c r="M87" i="1" s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M5" i="1"/>
  <c r="L5" i="1"/>
  <c r="K5" i="1"/>
  <c r="J6" i="1"/>
  <c r="J7" i="1"/>
  <c r="J8" i="1"/>
  <c r="J9" i="1"/>
  <c r="J5" i="1"/>
  <c r="M21" i="13" l="1"/>
  <c r="S23" i="13" s="1"/>
</calcChain>
</file>

<file path=xl/sharedStrings.xml><?xml version="1.0" encoding="utf-8"?>
<sst xmlns="http://schemas.openxmlformats.org/spreadsheetml/2006/main" count="4890" uniqueCount="1326">
  <si>
    <t>TOAMart　●●店</t>
    <rPh sb="10" eb="11">
      <t>テン</t>
    </rPh>
    <phoneticPr fontId="3"/>
  </si>
  <si>
    <t>仕入れ先</t>
    <rPh sb="0" eb="2">
      <t>シイ</t>
    </rPh>
    <rPh sb="3" eb="4">
      <t>サキ</t>
    </rPh>
    <phoneticPr fontId="3"/>
  </si>
  <si>
    <t>商品名</t>
    <rPh sb="0" eb="3">
      <t>ショウヒンメイ</t>
    </rPh>
    <phoneticPr fontId="3"/>
  </si>
  <si>
    <t>仕入値</t>
    <rPh sb="0" eb="2">
      <t>シイ</t>
    </rPh>
    <rPh sb="2" eb="3">
      <t>アタイ</t>
    </rPh>
    <phoneticPr fontId="3"/>
  </si>
  <si>
    <t>売価</t>
    <rPh sb="0" eb="2">
      <t>バイカ</t>
    </rPh>
    <phoneticPr fontId="3"/>
  </si>
  <si>
    <t>仕入数量</t>
    <rPh sb="0" eb="2">
      <t>シイ</t>
    </rPh>
    <rPh sb="2" eb="4">
      <t>スウリョウ</t>
    </rPh>
    <phoneticPr fontId="3"/>
  </si>
  <si>
    <t>日付</t>
    <rPh sb="0" eb="2">
      <t>ヒヅケ</t>
    </rPh>
    <phoneticPr fontId="3"/>
  </si>
  <si>
    <t>JAN</t>
    <phoneticPr fontId="3"/>
  </si>
  <si>
    <t>●月在庫数</t>
    <rPh sb="1" eb="2">
      <t>ガツ</t>
    </rPh>
    <rPh sb="2" eb="5">
      <t>ザイコスウ</t>
    </rPh>
    <phoneticPr fontId="3"/>
  </si>
  <si>
    <t>販売数</t>
    <rPh sb="0" eb="3">
      <t>ハンバイスウ</t>
    </rPh>
    <phoneticPr fontId="3"/>
  </si>
  <si>
    <t>売上金額</t>
    <rPh sb="0" eb="2">
      <t>ウリアゲ</t>
    </rPh>
    <rPh sb="2" eb="4">
      <t>キンガク</t>
    </rPh>
    <phoneticPr fontId="3"/>
  </si>
  <si>
    <t>（販売）原価</t>
    <rPh sb="1" eb="3">
      <t>ハンバイ</t>
    </rPh>
    <rPh sb="4" eb="6">
      <t>ゲンカ</t>
    </rPh>
    <phoneticPr fontId="3"/>
  </si>
  <si>
    <t>利益</t>
    <rPh sb="0" eb="2">
      <t>リエキ</t>
    </rPh>
    <phoneticPr fontId="3"/>
  </si>
  <si>
    <t>TOAMart　札幌店</t>
    <phoneticPr fontId="3"/>
  </si>
  <si>
    <t>TOAMart　仙台店</t>
    <phoneticPr fontId="3"/>
  </si>
  <si>
    <t>TOAMart　松戸店</t>
    <phoneticPr fontId="3"/>
  </si>
  <si>
    <t>TOAMart　高崎店</t>
    <phoneticPr fontId="3"/>
  </si>
  <si>
    <t>TOAMart　横浜店</t>
    <phoneticPr fontId="3"/>
  </si>
  <si>
    <t>TOAMart　甲府店</t>
    <phoneticPr fontId="3"/>
  </si>
  <si>
    <t>TOAMart　岡山店</t>
    <phoneticPr fontId="3"/>
  </si>
  <si>
    <t>TOAMart　松山店</t>
    <phoneticPr fontId="3"/>
  </si>
  <si>
    <t>TOAMart　大阪店</t>
    <phoneticPr fontId="3"/>
  </si>
  <si>
    <t>TOAMart　奈良店</t>
    <phoneticPr fontId="3"/>
  </si>
  <si>
    <t>株式会社スエヒロコーポレーション</t>
    <rPh sb="0" eb="4">
      <t>カブシキカイシャ</t>
    </rPh>
    <phoneticPr fontId="3"/>
  </si>
  <si>
    <t>たべっ子どうぶつビスケット5P</t>
    <rPh sb="3" eb="4">
      <t>コ</t>
    </rPh>
    <phoneticPr fontId="3"/>
  </si>
  <si>
    <t>仕入値
（税抜）</t>
    <rPh sb="0" eb="2">
      <t>シイ</t>
    </rPh>
    <rPh sb="2" eb="3">
      <t>アタイ</t>
    </rPh>
    <rPh sb="6" eb="7">
      <t>ヌ</t>
    </rPh>
    <phoneticPr fontId="3"/>
  </si>
  <si>
    <t>仕入値
（税込）</t>
    <rPh sb="0" eb="2">
      <t>シイ</t>
    </rPh>
    <rPh sb="2" eb="3">
      <t>アタイ</t>
    </rPh>
    <phoneticPr fontId="3"/>
  </si>
  <si>
    <t>消費税</t>
    <rPh sb="0" eb="3">
      <t>ショウヒゼイ</t>
    </rPh>
    <phoneticPr fontId="3"/>
  </si>
  <si>
    <t>仕入原価
（税込）</t>
    <rPh sb="0" eb="2">
      <t>シイ</t>
    </rPh>
    <rPh sb="2" eb="4">
      <t>ゲンカ</t>
    </rPh>
    <rPh sb="6" eb="8">
      <t>ゼイコ</t>
    </rPh>
    <phoneticPr fontId="3"/>
  </si>
  <si>
    <t>HN60805 365ひざ掛け　袋入り</t>
    <rPh sb="13" eb="14">
      <t>カ</t>
    </rPh>
    <rPh sb="16" eb="18">
      <t>フクロイ</t>
    </rPh>
    <phoneticPr fontId="3"/>
  </si>
  <si>
    <t>ﾌｧｰｽﾄﾘｯﾌﾟ柔軟剤　高知1200ml</t>
    <rPh sb="9" eb="12">
      <t>ジュウナンザイ</t>
    </rPh>
    <rPh sb="13" eb="15">
      <t>コウチ</t>
    </rPh>
    <phoneticPr fontId="3"/>
  </si>
  <si>
    <t>ｸﾗｼｴ ﾌﾘｽｸｿﾙﾄｸﾘｽﾀﾙﾎﾞﾄﾙｿﾙﾃｨﾗｲﾁ</t>
    <phoneticPr fontId="3"/>
  </si>
  <si>
    <t>TOAMart　秋葉原店</t>
    <phoneticPr fontId="3"/>
  </si>
  <si>
    <t>快適マスク　やわらか50枚入</t>
    <phoneticPr fontId="3"/>
  </si>
  <si>
    <t>レザーシティジャンパン株式会社</t>
    <rPh sb="11" eb="15">
      <t>カブシキカイシャ</t>
    </rPh>
    <phoneticPr fontId="3"/>
  </si>
  <si>
    <t>高機能99％カット　不織布マスク　ふつうサイズ（ベージュ）　50枚入</t>
  </si>
  <si>
    <t>レアリベール　スムージー　ミックスベリー味</t>
  </si>
  <si>
    <t>レアリベール　スムージー　トロピカルミックス味</t>
  </si>
  <si>
    <t>レアリベール　スムージー　トライアルセット</t>
  </si>
  <si>
    <t>レアリベール　スムージー　ミックスベリー味　スティック</t>
  </si>
  <si>
    <t>レアリベール　スムージー　トロピカルミックス味　スティック</t>
  </si>
  <si>
    <t>アイメディータ</t>
  </si>
  <si>
    <t>アクリルパーテーション</t>
  </si>
  <si>
    <t>アラシールド</t>
  </si>
  <si>
    <t>さわやかな香りで虫をよせつけない ブラック</t>
  </si>
  <si>
    <t>〈Clear　Air〉クリアエアー　カラー：ブルー</t>
  </si>
  <si>
    <t>クレールパリ（白）1000ml【1本】</t>
  </si>
  <si>
    <t>CO2マネージャー</t>
  </si>
  <si>
    <t>D-シェイク（ストロベリー味）</t>
  </si>
  <si>
    <t>D-シェイク（シャルドネ味）</t>
  </si>
  <si>
    <t>サーモマネージャー/サーモマネージャーEX専用ディスペンサートレイ</t>
  </si>
  <si>
    <t>アルコール除菌350ml　エタノス除菌スプレー</t>
  </si>
  <si>
    <t>超音波式アロマ加湿器フォグドロップ大容量3.8L</t>
  </si>
  <si>
    <t>氷冷ジェルシート（16枚入り）</t>
  </si>
  <si>
    <t>アルコールハンドスプレー詰替用1500ml</t>
  </si>
  <si>
    <t>ジャンプタイム JUMPTIME（L.GRAY × CHARCOAL）</t>
  </si>
  <si>
    <t>酸素缶9L</t>
  </si>
  <si>
    <t>酸素缶5L</t>
  </si>
  <si>
    <t>ハンドジェル500ml　MADE　IN　CHINA</t>
  </si>
  <si>
    <t>ファンズフリー（ホワイト）</t>
  </si>
  <si>
    <t>株式会社東亜産業（自社）</t>
    <rPh sb="0" eb="2">
      <t>カブシキ</t>
    </rPh>
    <rPh sb="2" eb="4">
      <t>カイシャ</t>
    </rPh>
    <rPh sb="4" eb="8">
      <t>トウアサンギョウ</t>
    </rPh>
    <rPh sb="9" eb="11">
      <t>ジシャ</t>
    </rPh>
    <phoneticPr fontId="3"/>
  </si>
  <si>
    <t>Te-Clear（テ クリア）
フローラル
ハンドクリーム / 50g</t>
  </si>
  <si>
    <t>Te-Clear（テ クリア）
レモン
ハンドクリーム / 50g</t>
  </si>
  <si>
    <t>Te-Clear（テ クリア）
ローズ
ハンドクリーム / 50g</t>
  </si>
  <si>
    <t>Fluke Time
（フルークタイム）
オールインワンジェル / 150g</t>
  </si>
  <si>
    <t>Fixglowspray
（フィックスグロウスプレー）
化粧崩れ防止スプレー / 50ml</t>
  </si>
  <si>
    <t xml:space="preserve">One pure
（ワンピュア）
フルーティー
柔軟剤 / 600ml
</t>
  </si>
  <si>
    <t xml:space="preserve">One pure
（ワンピュア）
ソープ
柔軟剤 / 600ml
</t>
  </si>
  <si>
    <t xml:space="preserve">One pure
（ワンピュア）
フローラル
柔軟剤 / 600ml
</t>
  </si>
  <si>
    <t>青汁全身シャンプー/1000ＭＬ</t>
    <rPh sb="0" eb="2">
      <t>アオジル</t>
    </rPh>
    <rPh sb="2" eb="4">
      <t>ゼンシン</t>
    </rPh>
    <phoneticPr fontId="2"/>
  </si>
  <si>
    <r>
      <t xml:space="preserve">Te-Clear（テ クリア）
柚子
</t>
    </r>
    <r>
      <rPr>
        <sz val="11"/>
        <color rgb="FF000000"/>
        <rFont val="Meiryo UI"/>
        <family val="3"/>
        <charset val="128"/>
      </rPr>
      <t xml:space="preserve">
ハンドクリーム / 50g</t>
    </r>
    <rPh sb="16" eb="18">
      <t>ユズ</t>
    </rPh>
    <phoneticPr fontId="2"/>
  </si>
  <si>
    <r>
      <t>ウルクリアアルコールジェル</t>
    </r>
    <r>
      <rPr>
        <sz val="11"/>
        <color rgb="FF000000"/>
        <rFont val="Meiryo UI"/>
        <family val="3"/>
        <charset val="128"/>
      </rPr>
      <t xml:space="preserve"> / 60ml中国製</t>
    </r>
    <rPh sb="20" eb="23">
      <t>チュウゴクセイ</t>
    </rPh>
    <phoneticPr fontId="2"/>
  </si>
  <si>
    <r>
      <t>泡変色ハンドソープハンドソープ</t>
    </r>
    <r>
      <rPr>
        <sz val="11"/>
        <color rgb="FF000000"/>
        <rFont val="Meiryo UI"/>
        <family val="3"/>
        <charset val="128"/>
      </rPr>
      <t xml:space="preserve"> / 450ml　ブルー</t>
    </r>
    <rPh sb="0" eb="3">
      <t>アワヘンショク</t>
    </rPh>
    <phoneticPr fontId="2"/>
  </si>
  <si>
    <r>
      <t>泡変色ハンドソープハンドソープ</t>
    </r>
    <r>
      <rPr>
        <sz val="11"/>
        <color rgb="FF000000"/>
        <rFont val="Meiryo UI"/>
        <family val="3"/>
        <charset val="128"/>
      </rPr>
      <t xml:space="preserve"> / 450ml　オレンジ</t>
    </r>
    <rPh sb="0" eb="3">
      <t>アワヘンショク</t>
    </rPh>
    <phoneticPr fontId="2"/>
  </si>
  <si>
    <r>
      <t>泡変色ハンドソープ（詰め替え用）ブルーハンドソープ</t>
    </r>
    <r>
      <rPr>
        <sz val="11"/>
        <color rgb="FF000000"/>
        <rFont val="Meiryo UI"/>
        <family val="3"/>
        <charset val="128"/>
      </rPr>
      <t xml:space="preserve"> / 450ml</t>
    </r>
    <rPh sb="0" eb="3">
      <t>アワヘンショク</t>
    </rPh>
    <rPh sb="10" eb="11">
      <t>ツ</t>
    </rPh>
    <rPh sb="12" eb="13">
      <t>カ</t>
    </rPh>
    <rPh sb="14" eb="15">
      <t>ヨウ</t>
    </rPh>
    <phoneticPr fontId="2"/>
  </si>
  <si>
    <r>
      <t>泡変色ハンドソープ（詰め替え用）オレンジハンドソープ</t>
    </r>
    <r>
      <rPr>
        <sz val="11"/>
        <color rgb="FF000000"/>
        <rFont val="Meiryo UI"/>
        <family val="3"/>
        <charset val="128"/>
      </rPr>
      <t xml:space="preserve"> / 450ml</t>
    </r>
    <rPh sb="0" eb="3">
      <t>アワヘンショク</t>
    </rPh>
    <rPh sb="10" eb="11">
      <t>ツ</t>
    </rPh>
    <rPh sb="12" eb="13">
      <t>カ</t>
    </rPh>
    <rPh sb="14" eb="15">
      <t>ヨウ</t>
    </rPh>
    <phoneticPr fontId="2"/>
  </si>
  <si>
    <t>株式会社東亜製薬</t>
    <rPh sb="0" eb="2">
      <t>カブシキ</t>
    </rPh>
    <rPh sb="2" eb="4">
      <t>カイシャ</t>
    </rPh>
    <rPh sb="4" eb="8">
      <t>トウアセイヤク</t>
    </rPh>
    <phoneticPr fontId="3"/>
  </si>
  <si>
    <t>4580645020534</t>
    <phoneticPr fontId="3"/>
  </si>
  <si>
    <t>4580645020565</t>
    <phoneticPr fontId="3"/>
  </si>
  <si>
    <t>4580645020664</t>
    <phoneticPr fontId="3"/>
  </si>
  <si>
    <t>4580645020695</t>
    <phoneticPr fontId="3"/>
  </si>
  <si>
    <t>4580645020602</t>
    <phoneticPr fontId="3"/>
  </si>
  <si>
    <t>4580645020619</t>
    <phoneticPr fontId="3"/>
  </si>
  <si>
    <t>4580645020626</t>
    <phoneticPr fontId="3"/>
  </si>
  <si>
    <t>4580645020572</t>
    <phoneticPr fontId="3"/>
  </si>
  <si>
    <t>4580645020589</t>
    <phoneticPr fontId="3"/>
  </si>
  <si>
    <t>4580645020732</t>
    <phoneticPr fontId="3"/>
  </si>
  <si>
    <t>4580645020794</t>
    <phoneticPr fontId="3"/>
  </si>
  <si>
    <t>4580645020749</t>
    <phoneticPr fontId="3"/>
  </si>
  <si>
    <t>4580645020800</t>
    <phoneticPr fontId="3"/>
  </si>
  <si>
    <t>4580645020411</t>
    <phoneticPr fontId="3"/>
  </si>
  <si>
    <t>4580645020985</t>
    <phoneticPr fontId="3"/>
  </si>
  <si>
    <t>4901588230888</t>
    <phoneticPr fontId="3"/>
  </si>
  <si>
    <t>4902135328942</t>
    <phoneticPr fontId="3"/>
  </si>
  <si>
    <t>4901551368761</t>
    <phoneticPr fontId="3"/>
  </si>
  <si>
    <t>種別</t>
    <rPh sb="0" eb="2">
      <t>シュベツ</t>
    </rPh>
    <phoneticPr fontId="3"/>
  </si>
  <si>
    <t>日用雑貨</t>
  </si>
  <si>
    <t>日用雑貨</t>
    <rPh sb="0" eb="2">
      <t>ニチヨウ</t>
    </rPh>
    <rPh sb="2" eb="4">
      <t>ザッカ</t>
    </rPh>
    <phoneticPr fontId="3"/>
  </si>
  <si>
    <t>不明</t>
    <rPh sb="0" eb="2">
      <t>フメイ</t>
    </rPh>
    <phoneticPr fontId="3"/>
  </si>
  <si>
    <t>レアリベール　サプリメント　バランスコントロール</t>
    <phoneticPr fontId="3"/>
  </si>
  <si>
    <t xml:space="preserve">4562441906564	</t>
    <phoneticPr fontId="3"/>
  </si>
  <si>
    <t>ハンドジェル500ml詰替え用　MADE　IN　CHINA</t>
    <phoneticPr fontId="3"/>
  </si>
  <si>
    <t>アクリルパーテーションSサイズ</t>
    <phoneticPr fontId="3"/>
  </si>
  <si>
    <t>4562441909268</t>
    <phoneticPr fontId="3"/>
  </si>
  <si>
    <t>4562441907240</t>
    <phoneticPr fontId="3"/>
  </si>
  <si>
    <t>4562441908933</t>
    <phoneticPr fontId="3"/>
  </si>
  <si>
    <t>さわやかな香りで虫をよせつけない ベージュ</t>
    <phoneticPr fontId="3"/>
  </si>
  <si>
    <t>ハンドジェル500ml　MADE　IN　JAPAN</t>
    <phoneticPr fontId="3"/>
  </si>
  <si>
    <t>4562441906526</t>
    <phoneticPr fontId="3"/>
  </si>
  <si>
    <t xml:space="preserve">	4562441906472</t>
    <phoneticPr fontId="3"/>
  </si>
  <si>
    <t>UV除菌バッグ（ピンク）</t>
    <phoneticPr fontId="3"/>
  </si>
  <si>
    <t>4562441907455</t>
    <phoneticPr fontId="3"/>
  </si>
  <si>
    <t>360首掛け扇風機　鈴楽　ブラック</t>
    <phoneticPr fontId="3"/>
  </si>
  <si>
    <t>4562441907196</t>
    <phoneticPr fontId="3"/>
  </si>
  <si>
    <t>OXITECH(オキシテック）</t>
    <phoneticPr fontId="3"/>
  </si>
  <si>
    <t>OXINAVI（オキシナビ）</t>
    <phoneticPr fontId="3"/>
  </si>
  <si>
    <t xml:space="preserve">4562441908827	</t>
    <phoneticPr fontId="3"/>
  </si>
  <si>
    <t>4562441908896</t>
    <phoneticPr fontId="3"/>
  </si>
  <si>
    <t>Uruクリンハンドジェル60ml</t>
    <phoneticPr fontId="3"/>
  </si>
  <si>
    <t>ファンズフリー（ブラック）</t>
    <phoneticPr fontId="3"/>
  </si>
  <si>
    <t>別途リスト</t>
    <rPh sb="0" eb="2">
      <t>ベット</t>
    </rPh>
    <phoneticPr fontId="3"/>
  </si>
  <si>
    <t>有限会社シュール</t>
    <rPh sb="0" eb="4">
      <t>ユウゲンカイシャ</t>
    </rPh>
    <phoneticPr fontId="3"/>
  </si>
  <si>
    <t>DZ1437</t>
  </si>
  <si>
    <t>DZ1436</t>
  </si>
  <si>
    <t>DZ4512</t>
  </si>
  <si>
    <t>DZ4486</t>
  </si>
  <si>
    <t>DZ4329</t>
  </si>
  <si>
    <t>DZ1930</t>
  </si>
  <si>
    <t>DZ1912</t>
  </si>
  <si>
    <t>DZT2019</t>
  </si>
  <si>
    <t>DZ4471</t>
    <phoneticPr fontId="3"/>
  </si>
  <si>
    <t>AR1764</t>
  </si>
  <si>
    <t>AR1909</t>
  </si>
  <si>
    <t>AR1925</t>
  </si>
  <si>
    <t>AR1935</t>
  </si>
  <si>
    <t>AR11341</t>
  </si>
  <si>
    <t>AR11339</t>
  </si>
  <si>
    <t>AR11123</t>
  </si>
  <si>
    <t>AR11132</t>
  </si>
  <si>
    <t>商品画像</t>
    <rPh sb="0" eb="4">
      <t>ショウヒンガゾウ</t>
    </rPh>
    <phoneticPr fontId="3"/>
  </si>
  <si>
    <t>KF94型四層不織布マスクー1個別包装日本製　普通サイズ　（ホワイト）</t>
  </si>
  <si>
    <t>KF94型四層不織布マスクー1個別包装日本製　普通サイズ　（ブラック）</t>
  </si>
  <si>
    <t>KF94型四層不織布マスクー1個別包装日本製　普通サイズ　（コーラル）</t>
  </si>
  <si>
    <t>KF94型四層不織布マスクー1個別包装日本製　普通サイズ　（ベージュ）</t>
  </si>
  <si>
    <t>三層不織布マス個別包装　　　日本製　普通サイズ　（ホワイト）</t>
  </si>
  <si>
    <t>三層不織布マス個別包装　　　日本製　普通サイズ　（ブラック）</t>
  </si>
  <si>
    <t>三層不織布マス個別包装　　　日本製　普通サイズ　（グレー）</t>
  </si>
  <si>
    <t>三層不織布マス個別包装　　　日本製　普通サイズ　（ルビーレッド）</t>
  </si>
  <si>
    <t>子供用三層不織布マス個別包装　日本製　（ホワイト）</t>
  </si>
  <si>
    <t>子供用三層不織布マス個別包装　日本製　（グレー）</t>
  </si>
  <si>
    <t>子供用三層不織布マス個別包装　日本製　（ピンク）</t>
  </si>
  <si>
    <t>KF94型四層不織布マスクー2個別包装日本製　普通サイズ　（ホワイト）</t>
  </si>
  <si>
    <t>KF95型四層不織布マスクー2個別包装日本製　普通サイズ　（ブラック）</t>
  </si>
  <si>
    <t>KF96型四層不織布マスクー2個別包装日本製　普通サイズ　（コーラル）</t>
  </si>
  <si>
    <t>KF96型四層不織布マスクー3個別包装日本製　普通サイズ　（ホワイト）</t>
  </si>
  <si>
    <t>KF96型四層不織布マスクー3個別包装日本製　普通サイズ　（ブラック）</t>
  </si>
  <si>
    <t>KF96型四層不織布マスクー3個別包装日本製　普通サイズ　（コーラル）</t>
  </si>
  <si>
    <t>KF96型四層不織布マスクー3個別包装日本製　普通サイズ　（ベージュ）</t>
  </si>
  <si>
    <t>仕入合計
（税込）</t>
    <rPh sb="0" eb="2">
      <t>シイ</t>
    </rPh>
    <rPh sb="2" eb="4">
      <t>ゴウケイ</t>
    </rPh>
    <rPh sb="6" eb="8">
      <t>ゼイコ</t>
    </rPh>
    <phoneticPr fontId="3"/>
  </si>
  <si>
    <t>複数</t>
    <rPh sb="0" eb="2">
      <t>フクスウ</t>
    </rPh>
    <phoneticPr fontId="3"/>
  </si>
  <si>
    <t>サングラス／PC用ブルーライトカット</t>
    <phoneticPr fontId="3"/>
  </si>
  <si>
    <t>ダテ眼鏡</t>
    <phoneticPr fontId="3"/>
  </si>
  <si>
    <t>エニックス</t>
  </si>
  <si>
    <t>エニックス</t>
    <phoneticPr fontId="3"/>
  </si>
  <si>
    <t>入荷予定</t>
    <rPh sb="0" eb="2">
      <t>ニュウカ</t>
    </rPh>
    <rPh sb="2" eb="4">
      <t>ヨテイ</t>
    </rPh>
    <phoneticPr fontId="3"/>
  </si>
  <si>
    <t>確認中</t>
    <rPh sb="0" eb="3">
      <t>カクニンチュウ</t>
    </rPh>
    <phoneticPr fontId="3"/>
  </si>
  <si>
    <t>PC用ブルーライトカット</t>
  </si>
  <si>
    <t>サングラス</t>
    <phoneticPr fontId="3"/>
  </si>
  <si>
    <t>4549411118172</t>
    <phoneticPr fontId="3"/>
  </si>
  <si>
    <t>4549411118196</t>
    <phoneticPr fontId="3"/>
  </si>
  <si>
    <t>4549411118189</t>
    <phoneticPr fontId="3"/>
  </si>
  <si>
    <t>自動車用品</t>
    <rPh sb="0" eb="5">
      <t>ジドウシャヨウヒン</t>
    </rPh>
    <phoneticPr fontId="1"/>
  </si>
  <si>
    <t>株式会社エニックス</t>
    <rPh sb="0" eb="2">
      <t>カブシキ</t>
    </rPh>
    <rPh sb="2" eb="4">
      <t>カイシャ</t>
    </rPh>
    <phoneticPr fontId="3"/>
  </si>
  <si>
    <t>株式会社freeBe</t>
    <rPh sb="0" eb="2">
      <t>カブシキ</t>
    </rPh>
    <rPh sb="2" eb="4">
      <t>カイシャ</t>
    </rPh>
    <phoneticPr fontId="3"/>
  </si>
  <si>
    <t>P2915W　車内用LEDバルブ</t>
    <rPh sb="7" eb="10">
      <t>シャナイヨウ</t>
    </rPh>
    <phoneticPr fontId="3"/>
  </si>
  <si>
    <t>P2916W　車内用LEDバルブ</t>
    <phoneticPr fontId="3"/>
  </si>
  <si>
    <t>P2920W　車内用LEDバルブ</t>
    <phoneticPr fontId="3"/>
  </si>
  <si>
    <t>P2926W　車内用LEDバルブ</t>
    <phoneticPr fontId="3"/>
  </si>
  <si>
    <t>P2930W　車内用LEDバルブ</t>
    <phoneticPr fontId="3"/>
  </si>
  <si>
    <t>P2931W　車内用LEDバルブ</t>
    <phoneticPr fontId="3"/>
  </si>
  <si>
    <t>温室時計   T HD501</t>
  </si>
  <si>
    <t>ドライヤーEH- NE 28- H</t>
  </si>
  <si>
    <t>イヤーフォースパルフェ</t>
  </si>
  <si>
    <t>栃木レザー財布</t>
  </si>
  <si>
    <t>家電</t>
    <rPh sb="0" eb="2">
      <t>カデン</t>
    </rPh>
    <phoneticPr fontId="3"/>
  </si>
  <si>
    <t>家電（補聴器）</t>
    <rPh sb="0" eb="2">
      <t>カデン</t>
    </rPh>
    <rPh sb="3" eb="6">
      <t>ホチョウキ</t>
    </rPh>
    <phoneticPr fontId="3"/>
  </si>
  <si>
    <t>株式会社タジマヤ 上野支店</t>
    <rPh sb="0" eb="4">
      <t>カブシキカイシャ</t>
    </rPh>
    <rPh sb="9" eb="11">
      <t>ウエノ</t>
    </rPh>
    <rPh sb="11" eb="13">
      <t>シテン</t>
    </rPh>
    <phoneticPr fontId="3"/>
  </si>
  <si>
    <t>ベビースタードデカイラーメンコンソメ味 73g</t>
    <rPh sb="18" eb="19">
      <t>アジ</t>
    </rPh>
    <phoneticPr fontId="1"/>
  </si>
  <si>
    <t>ハウス　とんがりコーン　あっさり塩75g</t>
    <rPh sb="16" eb="17">
      <t>シオ</t>
    </rPh>
    <phoneticPr fontId="1"/>
  </si>
  <si>
    <t>神州一　み子ちゃん　850g</t>
    <rPh sb="0" eb="1">
      <t>カミ</t>
    </rPh>
    <rPh sb="1" eb="2">
      <t>シュウ</t>
    </rPh>
    <rPh sb="2" eb="3">
      <t>イチ</t>
    </rPh>
    <rPh sb="5" eb="6">
      <t>コ</t>
    </rPh>
    <phoneticPr fontId="1"/>
  </si>
  <si>
    <t>日清（袋５食）チキンラーメン</t>
    <rPh sb="0" eb="2">
      <t>ニッシン</t>
    </rPh>
    <rPh sb="3" eb="4">
      <t>フクロ</t>
    </rPh>
    <rPh sb="5" eb="6">
      <t>ショク</t>
    </rPh>
    <phoneticPr fontId="1"/>
  </si>
  <si>
    <t>明星（袋５食）チャルメラ</t>
    <rPh sb="0" eb="2">
      <t>メイセイ</t>
    </rPh>
    <rPh sb="3" eb="4">
      <t>フクロ</t>
    </rPh>
    <rPh sb="5" eb="6">
      <t>ショク</t>
    </rPh>
    <phoneticPr fontId="1"/>
  </si>
  <si>
    <t>午後の紅茶　マスカットティーソーダ　P450ml</t>
    <rPh sb="0" eb="2">
      <t>ゴゴ</t>
    </rPh>
    <rPh sb="3" eb="5">
      <t>コウチャ</t>
    </rPh>
    <phoneticPr fontId="1"/>
  </si>
  <si>
    <t>小岩井　純水ぶどう　P430ml</t>
    <rPh sb="0" eb="3">
      <t>コイワイ</t>
    </rPh>
    <rPh sb="4" eb="5">
      <t>ジュン</t>
    </rPh>
    <rPh sb="5" eb="6">
      <t>スイ</t>
    </rPh>
    <phoneticPr fontId="1"/>
  </si>
  <si>
    <t>キリン　香ばし麦茶　P555ml</t>
    <rPh sb="4" eb="5">
      <t>コウ</t>
    </rPh>
    <rPh sb="7" eb="9">
      <t>ムギチャ</t>
    </rPh>
    <phoneticPr fontId="1"/>
  </si>
  <si>
    <t>カルピスウォーター　P500ml</t>
  </si>
  <si>
    <t>不二家　レモンスカッシュ　缶350g</t>
    <rPh sb="0" eb="3">
      <t>フジヤ</t>
    </rPh>
    <rPh sb="13" eb="14">
      <t>カン</t>
    </rPh>
    <phoneticPr fontId="1"/>
  </si>
  <si>
    <t>不二家　ネクター　ピーチ　缶350g</t>
    <rPh sb="0" eb="3">
      <t>フジヤ</t>
    </rPh>
    <rPh sb="13" eb="14">
      <t>カン</t>
    </rPh>
    <phoneticPr fontId="1"/>
  </si>
  <si>
    <t>エスエス　エスカップ　100ml</t>
  </si>
  <si>
    <t>三ツ矢　サイダー　缶250ml</t>
    <rPh sb="0" eb="1">
      <t>ミ</t>
    </rPh>
    <rPh sb="2" eb="3">
      <t>ヤ</t>
    </rPh>
    <rPh sb="9" eb="10">
      <t>カン</t>
    </rPh>
    <phoneticPr fontId="1"/>
  </si>
  <si>
    <t>サントリー　天然水（南アルプス）自販P550ml</t>
    <rPh sb="6" eb="8">
      <t>テンネン</t>
    </rPh>
    <rPh sb="8" eb="9">
      <t>スイ</t>
    </rPh>
    <rPh sb="10" eb="11">
      <t>ミナミ</t>
    </rPh>
    <rPh sb="16" eb="18">
      <t>ジハン</t>
    </rPh>
    <phoneticPr fontId="1"/>
  </si>
  <si>
    <t>ジョージア　エメラルドマウンテン185g</t>
  </si>
  <si>
    <t>コカ・コーラ　缶350ml</t>
    <rPh sb="7" eb="8">
      <t>カン</t>
    </rPh>
    <phoneticPr fontId="1"/>
  </si>
  <si>
    <t>ポッカS　キレートレモン　155mlビン</t>
  </si>
  <si>
    <t>コカ・コーラ　缶250ml</t>
    <rPh sb="7" eb="8">
      <t>カン</t>
    </rPh>
    <phoneticPr fontId="1"/>
  </si>
  <si>
    <t>カルビー　ポテト　うすしお味60g　まとめ値引き</t>
    <rPh sb="13" eb="14">
      <t>アジ</t>
    </rPh>
    <rPh sb="21" eb="23">
      <t>ネビ</t>
    </rPh>
    <phoneticPr fontId="1"/>
  </si>
  <si>
    <t>カルビー　ポテト　のりしお味60g　まとめ値引き</t>
    <rPh sb="13" eb="14">
      <t>アジ</t>
    </rPh>
    <rPh sb="21" eb="23">
      <t>ネビ</t>
    </rPh>
    <phoneticPr fontId="1"/>
  </si>
  <si>
    <t>＄カルビー　ポテトコンソメパンチ60g</t>
  </si>
  <si>
    <t>【萬】いつでも新鮮しぼりたて生しょうゆ　200ml</t>
    <rPh sb="1" eb="2">
      <t>マン</t>
    </rPh>
    <rPh sb="7" eb="9">
      <t>シンセン</t>
    </rPh>
    <rPh sb="14" eb="15">
      <t>ナマ</t>
    </rPh>
    <phoneticPr fontId="1"/>
  </si>
  <si>
    <t>QP　マヨネーズ　350g</t>
  </si>
  <si>
    <t>カゴメ　トマトケチャップ　500g</t>
  </si>
  <si>
    <t>カゴメ　トマトケチャップ　300g</t>
  </si>
  <si>
    <t>QP　マヨネーズ　200g</t>
  </si>
  <si>
    <t>ポッカS　玉露入りお茶　Ｐ275ml</t>
    <rPh sb="5" eb="8">
      <t>ギョクロイ</t>
    </rPh>
    <rPh sb="10" eb="11">
      <t>チャ</t>
    </rPh>
    <phoneticPr fontId="1"/>
  </si>
  <si>
    <t>マルちゃん　緑のたぬき天そば</t>
    <rPh sb="6" eb="7">
      <t>ミドリ</t>
    </rPh>
    <rPh sb="11" eb="12">
      <t>テン</t>
    </rPh>
    <phoneticPr fontId="1"/>
  </si>
  <si>
    <t>マルちゃん　赤いきつねうどん</t>
    <rPh sb="6" eb="7">
      <t>アカ</t>
    </rPh>
    <phoneticPr fontId="1"/>
  </si>
  <si>
    <t>湖池屋　スコーン　やみつきバーベキュー75ｇ</t>
    <rPh sb="0" eb="1">
      <t>ミズウミ</t>
    </rPh>
    <rPh sb="1" eb="2">
      <t>イケ</t>
    </rPh>
    <rPh sb="2" eb="3">
      <t>ヤ</t>
    </rPh>
    <phoneticPr fontId="1"/>
  </si>
  <si>
    <t>東ハト　どっさりビッグポテコ　うましお126ｇ</t>
    <rPh sb="0" eb="1">
      <t>ヒガシ</t>
    </rPh>
    <phoneticPr fontId="1"/>
  </si>
  <si>
    <t>ベビースター　チキンレギュラー74ｇ</t>
  </si>
  <si>
    <t>東ハト　キャラメルコーン80ｇ</t>
    <rPh sb="0" eb="1">
      <t>ヒガシ</t>
    </rPh>
    <phoneticPr fontId="1"/>
  </si>
  <si>
    <t>日清　カップヌードル　カレー</t>
    <rPh sb="0" eb="2">
      <t>ニッシン</t>
    </rPh>
    <phoneticPr fontId="1"/>
  </si>
  <si>
    <t>日清　カップヌードル　</t>
    <rPh sb="0" eb="2">
      <t>ニッシン</t>
    </rPh>
    <phoneticPr fontId="1"/>
  </si>
  <si>
    <t>日清　カップヌードル　シーフード</t>
    <rPh sb="0" eb="2">
      <t>ニッシン</t>
    </rPh>
    <phoneticPr fontId="1"/>
  </si>
  <si>
    <t>ペヤング　ソースやきそば</t>
  </si>
  <si>
    <t>明治　銀座ハヤシ　180ｇ</t>
    <rPh sb="0" eb="2">
      <t>メイジ</t>
    </rPh>
    <rPh sb="3" eb="5">
      <t>ギンザ</t>
    </rPh>
    <phoneticPr fontId="1"/>
  </si>
  <si>
    <t>明治　銀座カレー辛口　180g</t>
    <rPh sb="0" eb="2">
      <t>メイジ</t>
    </rPh>
    <rPh sb="3" eb="5">
      <t>ギンザ</t>
    </rPh>
    <rPh sb="8" eb="10">
      <t>カラクチ</t>
    </rPh>
    <phoneticPr fontId="1"/>
  </si>
  <si>
    <t>明治　銀座カレー中辛　180ｇ</t>
    <rPh sb="0" eb="2">
      <t>メイジ</t>
    </rPh>
    <rPh sb="3" eb="5">
      <t>ギンザ</t>
    </rPh>
    <rPh sb="8" eb="10">
      <t>チュウカラ</t>
    </rPh>
    <phoneticPr fontId="1"/>
  </si>
  <si>
    <t>マルちゃん　あったかごはん　200×3</t>
  </si>
  <si>
    <t>永谷園　あさげ　6袋</t>
    <rPh sb="0" eb="3">
      <t>ナガタニエン</t>
    </rPh>
    <rPh sb="9" eb="10">
      <t>フクロ</t>
    </rPh>
    <phoneticPr fontId="1"/>
  </si>
  <si>
    <r>
      <t>エバラ　焼肉のたれ</t>
    </r>
    <r>
      <rPr>
        <sz val="11"/>
        <color theme="1"/>
        <rFont val="游ゴシック"/>
        <family val="2"/>
        <charset val="128"/>
      </rPr>
      <t>（醤油味）300ｇ</t>
    </r>
    <rPh sb="4" eb="6">
      <t>ヤキニク</t>
    </rPh>
    <rPh sb="10" eb="12">
      <t>ショウユ</t>
    </rPh>
    <rPh sb="12" eb="13">
      <t>アジ</t>
    </rPh>
    <phoneticPr fontId="1"/>
  </si>
  <si>
    <t>エバラ　焼肉のたれ　辛口300ｇ</t>
    <rPh sb="4" eb="6">
      <t>ヤキニク</t>
    </rPh>
    <rPh sb="10" eb="12">
      <t>カラクチ</t>
    </rPh>
    <phoneticPr fontId="1"/>
  </si>
  <si>
    <t>旭松　カップ生みそずい　合わせとうふ</t>
    <rPh sb="0" eb="1">
      <t>アサヒ</t>
    </rPh>
    <rPh sb="1" eb="2">
      <t>マツ</t>
    </rPh>
    <rPh sb="6" eb="7">
      <t>ナマ</t>
    </rPh>
    <rPh sb="12" eb="13">
      <t>ア</t>
    </rPh>
    <phoneticPr fontId="1"/>
  </si>
  <si>
    <t>伯方の塩　500g</t>
    <rPh sb="0" eb="2">
      <t>ハカタ</t>
    </rPh>
    <rPh sb="3" eb="4">
      <t>シオ</t>
    </rPh>
    <phoneticPr fontId="1"/>
  </si>
  <si>
    <t>昭和　天ぷら粉　700ｇ</t>
    <rPh sb="0" eb="2">
      <t>ショウワ</t>
    </rPh>
    <rPh sb="3" eb="4">
      <t>テン</t>
    </rPh>
    <rPh sb="6" eb="7">
      <t>コ</t>
    </rPh>
    <phoneticPr fontId="1"/>
  </si>
  <si>
    <t>S&amp;B おろし生わさび　43ｇ</t>
    <rPh sb="7" eb="8">
      <t>ナマ</t>
    </rPh>
    <phoneticPr fontId="1"/>
  </si>
  <si>
    <t>フライスター　セブンパン粉180ｇ</t>
    <rPh sb="12" eb="13">
      <t>コ</t>
    </rPh>
    <phoneticPr fontId="1"/>
  </si>
  <si>
    <t>旭松　カップ生みそずい　合わせ長ねぎ</t>
    <rPh sb="0" eb="1">
      <t>アサヒ</t>
    </rPh>
    <rPh sb="1" eb="2">
      <t>マツ</t>
    </rPh>
    <rPh sb="6" eb="7">
      <t>ナマ</t>
    </rPh>
    <rPh sb="12" eb="13">
      <t>ア</t>
    </rPh>
    <rPh sb="15" eb="16">
      <t>ナガ</t>
    </rPh>
    <phoneticPr fontId="1"/>
  </si>
  <si>
    <t>S&amp;B 本生本からし　43ｇ</t>
    <rPh sb="4" eb="5">
      <t>ホン</t>
    </rPh>
    <phoneticPr fontId="1"/>
  </si>
  <si>
    <t>S&amp;B おろし生しょうが　40ｇ</t>
  </si>
  <si>
    <t>亀田　柿の種　6袋詰190ｇ</t>
    <rPh sb="0" eb="2">
      <t>カメダ</t>
    </rPh>
    <rPh sb="3" eb="4">
      <t>カキ</t>
    </rPh>
    <rPh sb="5" eb="6">
      <t>タネ</t>
    </rPh>
    <rPh sb="8" eb="9">
      <t>フクロ</t>
    </rPh>
    <rPh sb="9" eb="10">
      <t>ツ</t>
    </rPh>
    <phoneticPr fontId="1"/>
  </si>
  <si>
    <t>亀田　ハッピーターン　108ｇ</t>
    <rPh sb="0" eb="2">
      <t>カメダ</t>
    </rPh>
    <phoneticPr fontId="1"/>
  </si>
  <si>
    <t>栗山　星たべよ　しお味2枚×11袋</t>
    <rPh sb="0" eb="2">
      <t>クリヤマ</t>
    </rPh>
    <rPh sb="3" eb="4">
      <t>ホシ</t>
    </rPh>
    <rPh sb="10" eb="11">
      <t>アジ</t>
    </rPh>
    <rPh sb="12" eb="13">
      <t>マイ</t>
    </rPh>
    <rPh sb="16" eb="17">
      <t>フクロ</t>
    </rPh>
    <phoneticPr fontId="1"/>
  </si>
  <si>
    <t>栗山　ばかうけ　青のり2枚×9袋</t>
    <rPh sb="0" eb="2">
      <t>クリヤマ</t>
    </rPh>
    <rPh sb="8" eb="9">
      <t>アオ</t>
    </rPh>
    <rPh sb="12" eb="13">
      <t>マイ</t>
    </rPh>
    <rPh sb="15" eb="16">
      <t>フクロ</t>
    </rPh>
    <phoneticPr fontId="1"/>
  </si>
  <si>
    <t>ポッカS　がぶ飲みメロンクリームソーダP500ml</t>
    <rPh sb="7" eb="8">
      <t>ノ</t>
    </rPh>
    <phoneticPr fontId="1"/>
  </si>
  <si>
    <t>ファイア　挽きたて微糖　185g</t>
    <rPh sb="5" eb="6">
      <t>ヒ</t>
    </rPh>
    <rPh sb="9" eb="11">
      <t>ビトウ</t>
    </rPh>
    <phoneticPr fontId="1"/>
  </si>
  <si>
    <t>ボス　カフェオレ　185g</t>
  </si>
  <si>
    <t>4902775067355</t>
    <phoneticPr fontId="3"/>
  </si>
  <si>
    <t>4902402873977</t>
    <phoneticPr fontId="3"/>
  </si>
  <si>
    <t>4902703010859</t>
    <phoneticPr fontId="3"/>
  </si>
  <si>
    <t>4902105051108</t>
    <phoneticPr fontId="3"/>
  </si>
  <si>
    <t>4902881000543</t>
    <phoneticPr fontId="3"/>
  </si>
  <si>
    <t>4909411087920</t>
    <phoneticPr fontId="3"/>
  </si>
  <si>
    <t>4909411076955</t>
    <phoneticPr fontId="3"/>
  </si>
  <si>
    <t>4909411070557</t>
    <phoneticPr fontId="3"/>
  </si>
  <si>
    <t>4901340689213</t>
    <phoneticPr fontId="3"/>
  </si>
  <si>
    <t>4902555250991</t>
    <phoneticPr fontId="3"/>
  </si>
  <si>
    <t>4902555220154</t>
    <phoneticPr fontId="3"/>
  </si>
  <si>
    <t>4987300521007</t>
    <phoneticPr fontId="3"/>
  </si>
  <si>
    <t>4514603217612</t>
    <phoneticPr fontId="3"/>
  </si>
  <si>
    <t>4901777243484</t>
    <phoneticPr fontId="3"/>
  </si>
  <si>
    <t>4902102107341</t>
    <phoneticPr fontId="3"/>
  </si>
  <si>
    <t>4902102000055</t>
    <phoneticPr fontId="3"/>
  </si>
  <si>
    <t>4902102000161</t>
    <phoneticPr fontId="3"/>
  </si>
  <si>
    <t>4901330502881</t>
    <phoneticPr fontId="3"/>
  </si>
  <si>
    <t>4901330512361</t>
    <phoneticPr fontId="3"/>
  </si>
  <si>
    <t>4901330523145</t>
    <phoneticPr fontId="3"/>
  </si>
  <si>
    <t>4901515122378</t>
    <phoneticPr fontId="3"/>
  </si>
  <si>
    <t>4901577301094</t>
    <phoneticPr fontId="3"/>
  </si>
  <si>
    <t>4901306010525</t>
    <phoneticPr fontId="3"/>
  </si>
  <si>
    <t>4901306010532</t>
    <phoneticPr fontId="3"/>
  </si>
  <si>
    <t>4582409188177</t>
    <phoneticPr fontId="3"/>
  </si>
  <si>
    <t>4901990522748</t>
    <phoneticPr fontId="3"/>
  </si>
  <si>
    <t>4901990522731</t>
    <phoneticPr fontId="3"/>
  </si>
  <si>
    <t>4901335508819</t>
    <phoneticPr fontId="3"/>
  </si>
  <si>
    <t>4901940039180</t>
    <phoneticPr fontId="3"/>
  </si>
  <si>
    <t>4902775045377</t>
    <phoneticPr fontId="3"/>
  </si>
  <si>
    <t>4901940111107</t>
    <phoneticPr fontId="3"/>
  </si>
  <si>
    <t>4902885000686</t>
    <phoneticPr fontId="3"/>
  </si>
  <si>
    <t>4902777351469</t>
    <phoneticPr fontId="3"/>
  </si>
  <si>
    <t>4902777351384</t>
    <phoneticPr fontId="3"/>
  </si>
  <si>
    <t>4902777351223</t>
    <phoneticPr fontId="3"/>
  </si>
  <si>
    <t>4901990161589</t>
    <phoneticPr fontId="3"/>
  </si>
  <si>
    <t>4902388023359</t>
    <phoneticPr fontId="3"/>
  </si>
  <si>
    <t>4901108001165</t>
    <phoneticPr fontId="3"/>
  </si>
  <si>
    <t>4901108001189</t>
    <phoneticPr fontId="3"/>
  </si>
  <si>
    <t>4901139362761</t>
    <phoneticPr fontId="3"/>
  </si>
  <si>
    <t>4902566003012</t>
    <phoneticPr fontId="3"/>
  </si>
  <si>
    <t>4901760427853</t>
    <phoneticPr fontId="3"/>
  </si>
  <si>
    <t>4901002066550</t>
    <phoneticPr fontId="3"/>
  </si>
  <si>
    <t>4902427111542</t>
    <phoneticPr fontId="3"/>
  </si>
  <si>
    <t>4901139362778</t>
    <phoneticPr fontId="3"/>
  </si>
  <si>
    <t>4901002887056</t>
    <phoneticPr fontId="3"/>
  </si>
  <si>
    <t>4901002066581</t>
    <phoneticPr fontId="3"/>
  </si>
  <si>
    <t>4901313937822</t>
    <phoneticPr fontId="3"/>
  </si>
  <si>
    <t>4901313931257</t>
    <phoneticPr fontId="3"/>
  </si>
  <si>
    <t>4901336131146</t>
    <phoneticPr fontId="3"/>
  </si>
  <si>
    <t>4901336123516</t>
    <phoneticPr fontId="3"/>
  </si>
  <si>
    <t>4582409178420</t>
    <phoneticPr fontId="3"/>
  </si>
  <si>
    <t>4909411083342</t>
    <phoneticPr fontId="3"/>
  </si>
  <si>
    <t>4901777235434</t>
    <phoneticPr fontId="3"/>
  </si>
  <si>
    <t>食品</t>
    <rPh sb="0" eb="2">
      <t>ショクヒン</t>
    </rPh>
    <phoneticPr fontId="3"/>
  </si>
  <si>
    <t>株式会社オールワン</t>
    <rPh sb="0" eb="2">
      <t>カブシキ</t>
    </rPh>
    <rPh sb="2" eb="4">
      <t>カイシャ</t>
    </rPh>
    <phoneticPr fontId="3"/>
  </si>
  <si>
    <t>株式会社オールワン</t>
    <phoneticPr fontId="3"/>
  </si>
  <si>
    <t>衣料</t>
    <phoneticPr fontId="3"/>
  </si>
  <si>
    <t>日用雑貨</t>
    <phoneticPr fontId="3"/>
  </si>
  <si>
    <t>衣料</t>
  </si>
  <si>
    <t>化粧品</t>
    <phoneticPr fontId="3"/>
  </si>
  <si>
    <t>化粧品</t>
    <rPh sb="0" eb="3">
      <t>ケショウヒン</t>
    </rPh>
    <phoneticPr fontId="3"/>
  </si>
  <si>
    <t>みなくる株式会社</t>
    <rPh sb="4" eb="8">
      <t>カブシキガイシャ</t>
    </rPh>
    <phoneticPr fontId="3"/>
  </si>
  <si>
    <t>4Dグミ/ディズニーキャラクター</t>
    <phoneticPr fontId="3"/>
  </si>
  <si>
    <t>ニットジャガード手袋ランダムアソート</t>
    <phoneticPr fontId="3"/>
  </si>
  <si>
    <t>インド綿バスマット</t>
    <phoneticPr fontId="3"/>
  </si>
  <si>
    <t>サラヤ　便座除菌クリーナー　携帯用　10枚入</t>
    <phoneticPr fontId="3"/>
  </si>
  <si>
    <t>ルナ　虫よけスプレー　180ｍｌ</t>
    <phoneticPr fontId="3"/>
  </si>
  <si>
    <t>メディソックスナイト　Ｍ〜Ｌサイズ</t>
    <phoneticPr fontId="3"/>
  </si>
  <si>
    <t>グリーンコレクション　フォーク</t>
    <phoneticPr fontId="3"/>
  </si>
  <si>
    <t>スライムねんど　MINI　ナタデココ　6種アソート　</t>
    <rPh sb="16" eb="17">
      <t>シュ</t>
    </rPh>
    <phoneticPr fontId="3"/>
  </si>
  <si>
    <t>キレイマスク　不織布マスク　10枚入り</t>
    <rPh sb="16" eb="17">
      <t>マイ</t>
    </rPh>
    <rPh sb="17" eb="18">
      <t>イ</t>
    </rPh>
    <phoneticPr fontId="3"/>
  </si>
  <si>
    <t>婦人靴下ローカットソックスランダムアソート</t>
    <phoneticPr fontId="3"/>
  </si>
  <si>
    <t>マシュマロスライム　パステルカラー　6種アソート</t>
    <rPh sb="19" eb="20">
      <t>シュ</t>
    </rPh>
    <phoneticPr fontId="3"/>
  </si>
  <si>
    <t>【訳あり】UVカット手袋　冷感フィット　超長　オフホワイト</t>
    <phoneticPr fontId="3"/>
  </si>
  <si>
    <t>【訳あり】UVカット手袋　ゆったり滑り止め付きロング　黒</t>
    <phoneticPr fontId="3"/>
  </si>
  <si>
    <t>リボンリアルシェルミラー</t>
    <phoneticPr fontId="3"/>
  </si>
  <si>
    <t>ドット柄　受け皿付きプランター　ピンク</t>
    <phoneticPr fontId="3"/>
  </si>
  <si>
    <t>ドット柄　受け皿付きプランター　グリーン</t>
    <phoneticPr fontId="3"/>
  </si>
  <si>
    <t>ドット柄　受け皿付きプランター　ネイビーブルー</t>
    <phoneticPr fontId="3"/>
  </si>
  <si>
    <t>ブーツ用消臭剤　2本セット</t>
    <phoneticPr fontId="3"/>
  </si>
  <si>
    <t>食卓テーブル用ウェットタオル 70枚入</t>
    <phoneticPr fontId="3"/>
  </si>
  <si>
    <t>おいしい赤汁　3ｇｘ20包
賞味期限：2022年6月</t>
    <rPh sb="14" eb="18">
      <t>ショウミキゲン</t>
    </rPh>
    <rPh sb="23" eb="24">
      <t>ネン</t>
    </rPh>
    <rPh sb="25" eb="26">
      <t>ガツ</t>
    </rPh>
    <phoneticPr fontId="3"/>
  </si>
  <si>
    <t>三緑青汁　3ｇｘ20包
賞味期限：2022年6月</t>
    <rPh sb="12" eb="16">
      <t>ショウミキゲン</t>
    </rPh>
    <rPh sb="21" eb="22">
      <t>ネン</t>
    </rPh>
    <rPh sb="23" eb="24">
      <t>ガツ</t>
    </rPh>
    <phoneticPr fontId="3"/>
  </si>
  <si>
    <t>高濃度エラスチン200　15粒</t>
    <phoneticPr fontId="3"/>
  </si>
  <si>
    <t>LOVE WITH YOU　小皿5Pセット</t>
    <phoneticPr fontId="3"/>
  </si>
  <si>
    <t>LOVE WITH YOU　ファイブボウルセット</t>
    <phoneticPr fontId="3"/>
  </si>
  <si>
    <t>LOVE WITH YOU　パーティーセット　</t>
    <phoneticPr fontId="3"/>
  </si>
  <si>
    <t>さくら柄ガーゼハンドタオル　綿100％</t>
    <rPh sb="14" eb="15">
      <t>メン</t>
    </rPh>
    <phoneticPr fontId="3"/>
  </si>
  <si>
    <t>日本盛 日本酒の潤いたっぷり保湿化粧水 500mL</t>
    <rPh sb="8" eb="9">
      <t>ウルオ</t>
    </rPh>
    <rPh sb="14" eb="16">
      <t>ホシツ</t>
    </rPh>
    <phoneticPr fontId="3"/>
  </si>
  <si>
    <t>メディスラリガードル ブラック M-Lサイズ</t>
    <phoneticPr fontId="3"/>
  </si>
  <si>
    <t xml:space="preserve">キッチンハンドルホルダー　 梅 </t>
    <phoneticPr fontId="3"/>
  </si>
  <si>
    <t xml:space="preserve"> KILNER　ハンドルジャー フラワーキャップ　0.4L </t>
    <phoneticPr fontId="3"/>
  </si>
  <si>
    <t xml:space="preserve"> ミミアミィ 冷やしミスト いちご 　160ml </t>
    <phoneticPr fontId="3"/>
  </si>
  <si>
    <t>華麗な私のマスク　5枚入</t>
    <rPh sb="10" eb="11">
      <t>マイ</t>
    </rPh>
    <rPh sb="11" eb="12">
      <t>イ</t>
    </rPh>
    <phoneticPr fontId="3"/>
  </si>
  <si>
    <t>贅沢な私のマスク　5枚入</t>
    <phoneticPr fontId="3"/>
  </si>
  <si>
    <t>【訳あり】折り畳み式 ミニPCテーブル　ブラック</t>
    <phoneticPr fontId="3"/>
  </si>
  <si>
    <t>子供用ガーゼマスク1P　　8柄アソート</t>
    <rPh sb="0" eb="2">
      <t>コドモ</t>
    </rPh>
    <rPh sb="2" eb="3">
      <t>ヨウ</t>
    </rPh>
    <rPh sb="14" eb="15">
      <t>ガラ</t>
    </rPh>
    <phoneticPr fontId="3"/>
  </si>
  <si>
    <t>資生堂シーブリーズ　ボディシート30枚入　3種セット</t>
    <rPh sb="0" eb="3">
      <t>シセイドウ</t>
    </rPh>
    <rPh sb="18" eb="19">
      <t>マイ</t>
    </rPh>
    <rPh sb="19" eb="20">
      <t>イ</t>
    </rPh>
    <rPh sb="22" eb="23">
      <t>シュ</t>
    </rPh>
    <phoneticPr fontId="3"/>
  </si>
  <si>
    <t>メンズボクサーパンツ　カラーサイズアソート</t>
    <phoneticPr fontId="3"/>
  </si>
  <si>
    <t>下駄箱の防カビアロマ2種アソート台紙セット</t>
    <rPh sb="0" eb="3">
      <t>ゲタハコ</t>
    </rPh>
    <rPh sb="4" eb="5">
      <t>ボウ</t>
    </rPh>
    <rPh sb="11" eb="12">
      <t>シュ</t>
    </rPh>
    <rPh sb="16" eb="18">
      <t>ダイシ</t>
    </rPh>
    <phoneticPr fontId="3"/>
  </si>
  <si>
    <r>
      <t>ディズニー</t>
    </r>
    <r>
      <rPr>
        <sz val="11"/>
        <color theme="1"/>
        <rFont val="Microsoft YaHei"/>
        <family val="2"/>
        <charset val="134"/>
      </rPr>
      <t xml:space="preserve"> </t>
    </r>
    <r>
      <rPr>
        <sz val="11"/>
        <color theme="1"/>
        <rFont val="游ゴシック"/>
        <family val="2"/>
        <charset val="128"/>
        <scheme val="minor"/>
      </rPr>
      <t>ミッキー＆フレンズ　マグカップ</t>
    </r>
    <phoneticPr fontId="3"/>
  </si>
  <si>
    <r>
      <t xml:space="preserve">白無地　Tシャツ　M・L・XL
</t>
    </r>
    <r>
      <rPr>
        <b/>
        <sz val="11"/>
        <color rgb="FFFF0000"/>
        <rFont val="游ゴシック"/>
        <family val="3"/>
        <charset val="128"/>
        <scheme val="minor"/>
      </rPr>
      <t>※Sが完売です。アソート3サイズでお願いします</t>
    </r>
    <r>
      <rPr>
        <sz val="11"/>
        <color rgb="FFFF0000"/>
        <rFont val="游ゴシック"/>
        <family val="3"/>
        <charset val="128"/>
        <scheme val="minor"/>
      </rPr>
      <t>。</t>
    </r>
    <rPh sb="0" eb="3">
      <t>シロムジ</t>
    </rPh>
    <rPh sb="19" eb="21">
      <t>カンバイ</t>
    </rPh>
    <rPh sb="34" eb="35">
      <t>ネガ</t>
    </rPh>
    <phoneticPr fontId="3"/>
  </si>
  <si>
    <t>LBR-MGUSB1m 10Wマグネットワイヤレス充電ケーブル</t>
  </si>
  <si>
    <t>LBR-CR4IN1 カードリーダー4in1銀色</t>
  </si>
  <si>
    <t>LBR-AD2USB21　　2.1A 2ポートAC-USB充電器</t>
  </si>
  <si>
    <t>LBR-PD18 Libra PD対応18W急速充電iOS用充電通信ケーブル 1m</t>
  </si>
  <si>
    <t xml:space="preserve">LBR-apc2u TYPE-C→USB2変換アダプタ </t>
  </si>
  <si>
    <t>LBR-apu2c USB2→TYPE-C変換アダプタ</t>
  </si>
  <si>
    <t>LBR-c2l 　TYPE-C→iOS変換アダプタ</t>
  </si>
  <si>
    <t>LBR-c2m　TYPE-C→micro変換アダプタ</t>
  </si>
  <si>
    <t>LBR-m2c　micro→TYPE-C変換アダプタ</t>
  </si>
  <si>
    <t>LBR-l2c　 iOS用→TYPE-C変換アダプタ</t>
  </si>
  <si>
    <t>LBR-l2m iOS→microUSB変換アダプタ</t>
  </si>
  <si>
    <t>LBR-RLCWH巻き取り式iOS用充電通信ケーブル</t>
  </si>
  <si>
    <t>LBR-CPCC ホワイト ピースケーブル</t>
  </si>
  <si>
    <t>LBR-CWL ホワイト ダブルケーブル 15cm</t>
  </si>
  <si>
    <t xml:space="preserve">LBR-lmcc1m サーベラスケーブル1m </t>
  </si>
  <si>
    <t>LBR-lmcc2m サーベラスケーブル2m</t>
  </si>
  <si>
    <t xml:space="preserve">LBR-LC5PWH  iOS用充電通信ケーブル1m　5P ホワイト </t>
  </si>
  <si>
    <t xml:space="preserve">LBR-tac  ツインアダプタケーブル </t>
  </si>
  <si>
    <t>LBR-mc2m  microUSBケーブル2m</t>
  </si>
  <si>
    <t>LBR-RiosC1mBK ロープタイプiOS用充電通信ケーブル1m（黑）</t>
  </si>
  <si>
    <t>LBR-RiosC1mSV ロープタイプiOS用充電通信ケーブル1m（银）</t>
  </si>
  <si>
    <t>LBR-RiosC2mBK ロープタイプiOS用充電通信ケーブル2m （黑）</t>
  </si>
  <si>
    <t>LBR-LC2mWH  iOS用充電通信ケーブル2m</t>
  </si>
  <si>
    <t>LBR-RiosC2mGD ロープタイプiOS用充電通信ケーブル2m （金）</t>
  </si>
  <si>
    <t>LBR-RMC1mBK ロープタイプmicroUSBケーブル 1m（黑）</t>
  </si>
  <si>
    <t>LBR-RMC2mBK ロープタイプmicroUSBケーブル 2m（黑）</t>
  </si>
  <si>
    <t>LBR-RMC2mSV ロープタイプmicroUSBケーブル 2m （银）</t>
  </si>
  <si>
    <t xml:space="preserve">DT-nanoSIM3P  nanoSIMアダプタ </t>
  </si>
  <si>
    <t>株式会社デイトリッパー</t>
    <rPh sb="0" eb="4">
      <t>カブシキガイシャ</t>
    </rPh>
    <phoneticPr fontId="3"/>
  </si>
  <si>
    <t>ラオックス株式会社</t>
    <rPh sb="5" eb="7">
      <t>カブシキ</t>
    </rPh>
    <rPh sb="7" eb="9">
      <t>カイシャ</t>
    </rPh>
    <phoneticPr fontId="3"/>
  </si>
  <si>
    <t>ドライヤー</t>
    <phoneticPr fontId="3"/>
  </si>
  <si>
    <t>4988338201459</t>
    <phoneticPr fontId="3"/>
  </si>
  <si>
    <t>株式会社和楊徳信</t>
    <rPh sb="0" eb="2">
      <t>カブシキ</t>
    </rPh>
    <rPh sb="2" eb="4">
      <t>カイシャ</t>
    </rPh>
    <rPh sb="4" eb="5">
      <t>ワ</t>
    </rPh>
    <rPh sb="5" eb="6">
      <t>ヨウ</t>
    </rPh>
    <rPh sb="6" eb="8">
      <t>トクシン</t>
    </rPh>
    <phoneticPr fontId="3"/>
  </si>
  <si>
    <t>蝦夷鹿油シャンプー</t>
    <phoneticPr fontId="3"/>
  </si>
  <si>
    <t>蝦夷鹿油コンディショナー</t>
    <phoneticPr fontId="3"/>
  </si>
  <si>
    <t>蝦夷鹿油ボディーソープ</t>
    <phoneticPr fontId="3"/>
  </si>
  <si>
    <t>蝦夷鹿油クリーム</t>
    <phoneticPr fontId="3"/>
  </si>
  <si>
    <t>蝦夷鹿油せっけん</t>
    <phoneticPr fontId="3"/>
  </si>
  <si>
    <t>蝦夷鹿油トライアルセット</t>
    <phoneticPr fontId="3"/>
  </si>
  <si>
    <t>馬鹿油クリーム</t>
    <rPh sb="0" eb="1">
      <t>ウマ</t>
    </rPh>
    <rPh sb="1" eb="2">
      <t>シカ</t>
    </rPh>
    <rPh sb="2" eb="3">
      <t>アブラ</t>
    </rPh>
    <phoneticPr fontId="3"/>
  </si>
  <si>
    <t>鹿力王</t>
    <rPh sb="0" eb="1">
      <t>シカ</t>
    </rPh>
    <rPh sb="1" eb="2">
      <t>チカラ</t>
    </rPh>
    <rPh sb="2" eb="3">
      <t>オウ</t>
    </rPh>
    <phoneticPr fontId="3"/>
  </si>
  <si>
    <t>蝦夷鹿油美肌全身クリーム</t>
    <rPh sb="4" eb="6">
      <t>ビハダ</t>
    </rPh>
    <rPh sb="6" eb="8">
      <t>ゼンシン</t>
    </rPh>
    <phoneticPr fontId="3"/>
  </si>
  <si>
    <t>AVV</t>
    <phoneticPr fontId="3"/>
  </si>
  <si>
    <t>時計</t>
    <rPh sb="0" eb="2">
      <t>トケイ</t>
    </rPh>
    <phoneticPr fontId="3"/>
  </si>
  <si>
    <t>-</t>
    <phoneticPr fontId="3"/>
  </si>
  <si>
    <t>NNED</t>
    <phoneticPr fontId="3"/>
  </si>
  <si>
    <t>衣料品</t>
    <rPh sb="0" eb="3">
      <t>イリョウヒン</t>
    </rPh>
    <phoneticPr fontId="3"/>
  </si>
  <si>
    <t>Celule</t>
    <phoneticPr fontId="3"/>
  </si>
  <si>
    <t>Watch Station</t>
    <phoneticPr fontId="3"/>
  </si>
  <si>
    <t>ガーラ</t>
    <phoneticPr fontId="3"/>
  </si>
  <si>
    <t>バック</t>
    <phoneticPr fontId="3"/>
  </si>
  <si>
    <t>株式会社ダイツウ</t>
    <rPh sb="0" eb="2">
      <t>カブシキ</t>
    </rPh>
    <rPh sb="2" eb="4">
      <t>カイシャ</t>
    </rPh>
    <phoneticPr fontId="3"/>
  </si>
  <si>
    <t>CRチャッカスター</t>
    <phoneticPr fontId="3"/>
  </si>
  <si>
    <t>スティックスペシャルコーヒー2g</t>
    <phoneticPr fontId="3"/>
  </si>
  <si>
    <t>スティックシュガー3g</t>
    <phoneticPr fontId="3"/>
  </si>
  <si>
    <t>スンダリ　クリスマス　ベアーセット</t>
    <phoneticPr fontId="3"/>
  </si>
  <si>
    <t>シックシェーブガード　ミントアップ</t>
    <phoneticPr fontId="3"/>
  </si>
  <si>
    <t>ビューティーN</t>
    <phoneticPr fontId="3"/>
  </si>
  <si>
    <t>もこもこソックス</t>
    <phoneticPr fontId="3"/>
  </si>
  <si>
    <t>カップ　花型　669　野ばら</t>
    <rPh sb="4" eb="5">
      <t>ハナ</t>
    </rPh>
    <rPh sb="5" eb="6">
      <t>ガタ</t>
    </rPh>
    <rPh sb="11" eb="12">
      <t>ノ</t>
    </rPh>
    <phoneticPr fontId="3"/>
  </si>
  <si>
    <t>泡ふるエコソープ18g</t>
    <rPh sb="0" eb="1">
      <t>アワ</t>
    </rPh>
    <phoneticPr fontId="3"/>
  </si>
  <si>
    <t>中山福株式会社</t>
    <rPh sb="0" eb="2">
      <t>ナカヤマ</t>
    </rPh>
    <rPh sb="2" eb="3">
      <t>フク</t>
    </rPh>
    <rPh sb="3" eb="5">
      <t>カブシキ</t>
    </rPh>
    <rPh sb="5" eb="7">
      <t>カイシャ</t>
    </rPh>
    <phoneticPr fontId="3"/>
  </si>
  <si>
    <t>サーモス　フライパン等</t>
    <rPh sb="10" eb="11">
      <t>トウ</t>
    </rPh>
    <phoneticPr fontId="3"/>
  </si>
  <si>
    <t>ティファール　フライパン等</t>
    <rPh sb="12" eb="13">
      <t>トウ</t>
    </rPh>
    <phoneticPr fontId="3"/>
  </si>
  <si>
    <t>和平フレイズ　フライパン等</t>
    <phoneticPr fontId="3"/>
  </si>
  <si>
    <t>谷口金属工業　フライパン等</t>
    <rPh sb="0" eb="2">
      <t>タニグチ</t>
    </rPh>
    <rPh sb="2" eb="4">
      <t>キンゾク</t>
    </rPh>
    <rPh sb="4" eb="6">
      <t>コウギョウ</t>
    </rPh>
    <phoneticPr fontId="3"/>
  </si>
  <si>
    <t>パール金属　フライパン等</t>
    <phoneticPr fontId="3"/>
  </si>
  <si>
    <t>ベストコ　フライパン等</t>
    <phoneticPr fontId="3"/>
  </si>
  <si>
    <t>TAKAGI　フライパン等</t>
    <phoneticPr fontId="3"/>
  </si>
  <si>
    <t>株式会社トライアルカンパニー</t>
    <rPh sb="0" eb="2">
      <t>カブシキ</t>
    </rPh>
    <rPh sb="2" eb="4">
      <t>カイシャ</t>
    </rPh>
    <phoneticPr fontId="3"/>
  </si>
  <si>
    <t>カリー屋カレー中辛</t>
    <rPh sb="3" eb="4">
      <t>ヤ</t>
    </rPh>
    <rPh sb="7" eb="8">
      <t>チュウ</t>
    </rPh>
    <rPh sb="8" eb="9">
      <t>カラ</t>
    </rPh>
    <phoneticPr fontId="3"/>
  </si>
  <si>
    <t>たけのこの里</t>
    <rPh sb="5" eb="6">
      <t>サト</t>
    </rPh>
    <phoneticPr fontId="3"/>
  </si>
  <si>
    <t>きのこの山</t>
    <rPh sb="4" eb="5">
      <t>ヤマ</t>
    </rPh>
    <phoneticPr fontId="3"/>
  </si>
  <si>
    <t>チョコを味わうﾊﾟｲの実</t>
    <rPh sb="4" eb="5">
      <t>アジ</t>
    </rPh>
    <rPh sb="11" eb="12">
      <t>ミ</t>
    </rPh>
    <phoneticPr fontId="3"/>
  </si>
  <si>
    <t>カレー職人　ビーフ中辛</t>
    <rPh sb="3" eb="5">
      <t>ショクニン</t>
    </rPh>
    <rPh sb="9" eb="11">
      <t>チュウカラ</t>
    </rPh>
    <phoneticPr fontId="3"/>
  </si>
  <si>
    <t>ポッキーチョコレート</t>
    <phoneticPr fontId="3"/>
  </si>
  <si>
    <t>パイの実</t>
    <rPh sb="3" eb="4">
      <t>ミ</t>
    </rPh>
    <phoneticPr fontId="3"/>
  </si>
  <si>
    <t>キットカットミニ</t>
    <phoneticPr fontId="3"/>
  </si>
  <si>
    <t>伊右衛門 焙じ茶　525ml　ケース</t>
    <phoneticPr fontId="3"/>
  </si>
  <si>
    <t>UCCブラック無糖185g6p</t>
    <rPh sb="7" eb="9">
      <t>ムトウ</t>
    </rPh>
    <phoneticPr fontId="3"/>
  </si>
  <si>
    <t>ワンダモーニングshot</t>
    <phoneticPr fontId="3"/>
  </si>
  <si>
    <t>キットカット大人の甘さ</t>
    <rPh sb="6" eb="8">
      <t>オトナ</t>
    </rPh>
    <rPh sb="9" eb="10">
      <t>アマ</t>
    </rPh>
    <phoneticPr fontId="3"/>
  </si>
  <si>
    <t>食事の脂にこの1本　緑茶</t>
    <rPh sb="0" eb="2">
      <t>ショクジ</t>
    </rPh>
    <rPh sb="3" eb="4">
      <t>アブラ</t>
    </rPh>
    <rPh sb="8" eb="9">
      <t>ホン</t>
    </rPh>
    <rPh sb="10" eb="12">
      <t>リョクチャ</t>
    </rPh>
    <phoneticPr fontId="3"/>
  </si>
  <si>
    <t>伊右衛門 京都ブレンド600ml　1ケース</t>
    <rPh sb="5" eb="7">
      <t>キョウト</t>
    </rPh>
    <phoneticPr fontId="3"/>
  </si>
  <si>
    <t>CCレモン500ml　ケース</t>
    <phoneticPr fontId="3"/>
  </si>
  <si>
    <t>プロクオリティビーフカレー</t>
    <phoneticPr fontId="3"/>
  </si>
  <si>
    <t>ペヤングソース焼きそば</t>
    <rPh sb="7" eb="8">
      <t>ヤ</t>
    </rPh>
    <phoneticPr fontId="3"/>
  </si>
  <si>
    <t>ポテトチップス　しあわせバター</t>
    <phoneticPr fontId="3"/>
  </si>
  <si>
    <t>辛ラーメン　キムチ</t>
    <rPh sb="0" eb="1">
      <t>カラ</t>
    </rPh>
    <phoneticPr fontId="3"/>
  </si>
  <si>
    <t>ワンダ特製カフェオレ185g6P</t>
    <rPh sb="3" eb="5">
      <t>トクセイ</t>
    </rPh>
    <phoneticPr fontId="3"/>
  </si>
  <si>
    <t>株式会社ドン・キホーテ</t>
    <rPh sb="0" eb="2">
      <t>カブシキ</t>
    </rPh>
    <rPh sb="2" eb="4">
      <t>カイシャ</t>
    </rPh>
    <phoneticPr fontId="3"/>
  </si>
  <si>
    <t>チップスターL江戸前</t>
    <rPh sb="7" eb="10">
      <t>エドマエ</t>
    </rPh>
    <phoneticPr fontId="3"/>
  </si>
  <si>
    <t>ポテトチップス　のりしお</t>
    <phoneticPr fontId="3"/>
  </si>
  <si>
    <t>ポテトチップス　うすしお</t>
    <phoneticPr fontId="3"/>
  </si>
  <si>
    <t>オーザック　磯のり塩</t>
    <rPh sb="6" eb="7">
      <t>イソ</t>
    </rPh>
    <rPh sb="9" eb="10">
      <t>シオ</t>
    </rPh>
    <phoneticPr fontId="3"/>
  </si>
  <si>
    <t>堅あげポテトうすしお味</t>
    <rPh sb="0" eb="1">
      <t>カタ</t>
    </rPh>
    <rPh sb="10" eb="11">
      <t>アジ</t>
    </rPh>
    <phoneticPr fontId="3"/>
  </si>
  <si>
    <t>コアラのマーチ　シェアパック</t>
    <phoneticPr fontId="3"/>
  </si>
  <si>
    <t>紗々</t>
    <rPh sb="0" eb="1">
      <t>サ</t>
    </rPh>
    <phoneticPr fontId="3"/>
  </si>
  <si>
    <t>サツドラ</t>
    <phoneticPr fontId="3"/>
  </si>
  <si>
    <t>エリス　新素肌感多い日</t>
    <rPh sb="4" eb="5">
      <t>シン</t>
    </rPh>
    <rPh sb="5" eb="7">
      <t>スハダ</t>
    </rPh>
    <rPh sb="7" eb="8">
      <t>カン</t>
    </rPh>
    <rPh sb="8" eb="9">
      <t>オオ</t>
    </rPh>
    <rPh sb="10" eb="11">
      <t>ヒ</t>
    </rPh>
    <phoneticPr fontId="3"/>
  </si>
  <si>
    <t>エリス　新素肌感ふつう～</t>
    <rPh sb="4" eb="5">
      <t>シン</t>
    </rPh>
    <rPh sb="5" eb="7">
      <t>スハダ</t>
    </rPh>
    <rPh sb="7" eb="8">
      <t>カン</t>
    </rPh>
    <phoneticPr fontId="3"/>
  </si>
  <si>
    <t>エリス　新素肌感ふつう</t>
    <rPh sb="4" eb="5">
      <t>シン</t>
    </rPh>
    <rPh sb="5" eb="7">
      <t>スハダ</t>
    </rPh>
    <rPh sb="7" eb="8">
      <t>カン</t>
    </rPh>
    <phoneticPr fontId="3"/>
  </si>
  <si>
    <t>エリエールイーナトイレット</t>
    <phoneticPr fontId="3"/>
  </si>
  <si>
    <t>王子ネピア</t>
    <rPh sb="0" eb="2">
      <t>オウジ</t>
    </rPh>
    <phoneticPr fontId="3"/>
  </si>
  <si>
    <t>ペプシ生ゼロ600ml</t>
    <rPh sb="3" eb="4">
      <t>ナマ</t>
    </rPh>
    <phoneticPr fontId="3"/>
  </si>
  <si>
    <t>ドデカミン500ml</t>
    <phoneticPr fontId="3"/>
  </si>
  <si>
    <t>まろふわメロンクリームソーダ</t>
    <phoneticPr fontId="3"/>
  </si>
  <si>
    <t>ラムネオー250g</t>
    <phoneticPr fontId="3"/>
  </si>
  <si>
    <t>ジョージアご褒美カフェオレ</t>
    <rPh sb="6" eb="8">
      <t>ホウビ</t>
    </rPh>
    <phoneticPr fontId="3"/>
  </si>
  <si>
    <t>アクエリアス</t>
    <phoneticPr fontId="3"/>
  </si>
  <si>
    <t>チェリオライフガード</t>
    <phoneticPr fontId="3"/>
  </si>
  <si>
    <t>リアルゴールド160ｍｌケース</t>
    <phoneticPr fontId="3"/>
  </si>
  <si>
    <t>Welchsぶどう１房分のポリフェノール</t>
    <rPh sb="10" eb="11">
      <t>フサ</t>
    </rPh>
    <rPh sb="11" eb="12">
      <t>ブン</t>
    </rPh>
    <phoneticPr fontId="3"/>
  </si>
  <si>
    <t>マウンテンデゥー350ml　ケース</t>
    <phoneticPr fontId="3"/>
  </si>
  <si>
    <t>ファンタ　アップル　490ml</t>
    <phoneticPr fontId="3"/>
  </si>
  <si>
    <t>ファンタ　グレープ160ml</t>
    <phoneticPr fontId="3"/>
  </si>
  <si>
    <t>ファンタ　オレンジ160ml</t>
    <phoneticPr fontId="3"/>
  </si>
  <si>
    <t>キットカット　ミニ</t>
    <phoneticPr fontId="3"/>
  </si>
  <si>
    <t>ポテトチップスうすしお</t>
    <phoneticPr fontId="3"/>
  </si>
  <si>
    <t>ミンティア　コールド</t>
    <phoneticPr fontId="3"/>
  </si>
  <si>
    <t>ミンティア　ワイルド</t>
    <phoneticPr fontId="3"/>
  </si>
  <si>
    <t>森本仕入れ</t>
    <rPh sb="0" eb="2">
      <t>モリモト</t>
    </rPh>
    <rPh sb="2" eb="4">
      <t>シイ</t>
    </rPh>
    <phoneticPr fontId="3"/>
  </si>
  <si>
    <t>株式会社タジマヤ　上野支店</t>
    <rPh sb="0" eb="4">
      <t>カブシキガイシャ</t>
    </rPh>
    <rPh sb="9" eb="11">
      <t>ウエノ</t>
    </rPh>
    <rPh sb="11" eb="13">
      <t>シテン</t>
    </rPh>
    <phoneticPr fontId="3"/>
  </si>
  <si>
    <t>ジョージア　エメラルドマウンテン185ｇ</t>
    <phoneticPr fontId="3"/>
  </si>
  <si>
    <t>コカ・コーラ　缶350ml</t>
    <rPh sb="7" eb="8">
      <t>カン</t>
    </rPh>
    <phoneticPr fontId="3"/>
  </si>
  <si>
    <t>0000049780741</t>
    <phoneticPr fontId="3"/>
  </si>
  <si>
    <t>コカ・コーラ缶　250ml</t>
    <rPh sb="6" eb="7">
      <t>カン</t>
    </rPh>
    <phoneticPr fontId="3"/>
  </si>
  <si>
    <t>日清　カップヌードル　カレー</t>
    <rPh sb="0" eb="2">
      <t>ニッシン</t>
    </rPh>
    <phoneticPr fontId="3"/>
  </si>
  <si>
    <t>0000049698640</t>
    <phoneticPr fontId="3"/>
  </si>
  <si>
    <t>日清　カップヌードル　シーフード</t>
    <rPh sb="0" eb="2">
      <t>ニッシン</t>
    </rPh>
    <phoneticPr fontId="3"/>
  </si>
  <si>
    <t>日清　カップヌードル</t>
    <rPh sb="0" eb="2">
      <t>ニッシン</t>
    </rPh>
    <phoneticPr fontId="3"/>
  </si>
  <si>
    <t>マルちゃん　緑のたぬき天そば</t>
    <rPh sb="6" eb="7">
      <t>ミドリ</t>
    </rPh>
    <rPh sb="11" eb="12">
      <t>テン</t>
    </rPh>
    <phoneticPr fontId="3"/>
  </si>
  <si>
    <t>0000049698633</t>
    <phoneticPr fontId="3"/>
  </si>
  <si>
    <t>0000049698626</t>
    <phoneticPr fontId="3"/>
  </si>
  <si>
    <t>ポッカS　キレートレモン　155mlビン</t>
    <phoneticPr fontId="3"/>
  </si>
  <si>
    <t>マルちゃん　赤いきつねうどん</t>
    <rPh sb="6" eb="7">
      <t>アカ</t>
    </rPh>
    <phoneticPr fontId="3"/>
  </si>
  <si>
    <t>ポッカS　玉露入りお茶　P275ml</t>
    <rPh sb="5" eb="8">
      <t>ギョクロイ</t>
    </rPh>
    <rPh sb="10" eb="11">
      <t>チャ</t>
    </rPh>
    <phoneticPr fontId="3"/>
  </si>
  <si>
    <t>【萬】いつでも新鮮しぼりたて生しょうゆ　200ml</t>
    <rPh sb="1" eb="2">
      <t>マン</t>
    </rPh>
    <rPh sb="7" eb="9">
      <t>シンセン</t>
    </rPh>
    <rPh sb="14" eb="15">
      <t>ナマ</t>
    </rPh>
    <phoneticPr fontId="3"/>
  </si>
  <si>
    <t>QP　マヨネーズ　350g</t>
    <phoneticPr fontId="3"/>
  </si>
  <si>
    <t>カゴメ　トマトケチャップ　500g</t>
    <phoneticPr fontId="3"/>
  </si>
  <si>
    <t>カゴメ　トマトケチャップ　300g</t>
    <phoneticPr fontId="3"/>
  </si>
  <si>
    <t>QP　マヨネーズ　200g</t>
    <phoneticPr fontId="3"/>
  </si>
  <si>
    <t>0000049840292</t>
    <phoneticPr fontId="3"/>
  </si>
  <si>
    <t>カルビー　ポテトチップス　うすしお味60ｇ</t>
    <rPh sb="17" eb="18">
      <t>アジ</t>
    </rPh>
    <phoneticPr fontId="3"/>
  </si>
  <si>
    <t>カルビー　ポテト　のりしお60ｇ</t>
    <phoneticPr fontId="3"/>
  </si>
  <si>
    <t>＄カルビー　ポテトコンソメパンチ60ｇ</t>
    <phoneticPr fontId="3"/>
  </si>
  <si>
    <t>湖池屋　スコーン　やみつきバーべキュー75g</t>
    <rPh sb="0" eb="3">
      <t>コイケヤ</t>
    </rPh>
    <phoneticPr fontId="3"/>
  </si>
  <si>
    <t>東ハト　どっさりビッグポテコ　うましお126ｇ</t>
    <rPh sb="0" eb="1">
      <t>トウ</t>
    </rPh>
    <phoneticPr fontId="3"/>
  </si>
  <si>
    <t>ベビースター　チキンレギュラー74ｇ</t>
    <phoneticPr fontId="3"/>
  </si>
  <si>
    <t>東ハト　キャラメルコーン80ｇ</t>
    <rPh sb="0" eb="1">
      <t>トウ</t>
    </rPh>
    <phoneticPr fontId="3"/>
  </si>
  <si>
    <t>明治　銀座ハヤシ</t>
    <rPh sb="0" eb="2">
      <t>メイジ</t>
    </rPh>
    <rPh sb="3" eb="5">
      <t>ギンザ</t>
    </rPh>
    <phoneticPr fontId="3"/>
  </si>
  <si>
    <t>明治　銀座カリー辛口　180ｇ</t>
    <rPh sb="0" eb="2">
      <t>メイジ</t>
    </rPh>
    <rPh sb="3" eb="5">
      <t>ギンザ</t>
    </rPh>
    <rPh sb="8" eb="10">
      <t>カラクチ</t>
    </rPh>
    <phoneticPr fontId="3"/>
  </si>
  <si>
    <t>明治　銀座カリー中辛　180ｇ</t>
    <rPh sb="0" eb="2">
      <t>メイジ</t>
    </rPh>
    <rPh sb="3" eb="5">
      <t>ギンザ</t>
    </rPh>
    <rPh sb="8" eb="10">
      <t>チュウカラ</t>
    </rPh>
    <phoneticPr fontId="3"/>
  </si>
  <si>
    <t>マルちゃん　あったかごはん　200×３</t>
    <phoneticPr fontId="3"/>
  </si>
  <si>
    <t>永谷園　あさげ　6袋入</t>
    <rPh sb="0" eb="3">
      <t>ナガタニエン</t>
    </rPh>
    <rPh sb="9" eb="10">
      <t>フクロ</t>
    </rPh>
    <rPh sb="10" eb="11">
      <t>イ</t>
    </rPh>
    <phoneticPr fontId="3"/>
  </si>
  <si>
    <t>エバラ　焼肉のたれ（醤油味）300ｇ</t>
    <rPh sb="4" eb="5">
      <t>ヤ</t>
    </rPh>
    <rPh sb="5" eb="6">
      <t>ニク</t>
    </rPh>
    <rPh sb="10" eb="13">
      <t>ショウユアジ</t>
    </rPh>
    <phoneticPr fontId="3"/>
  </si>
  <si>
    <t>エバラ　焼肉のたれ　辛口300ｇ</t>
    <rPh sb="4" eb="5">
      <t>ヤ</t>
    </rPh>
    <rPh sb="5" eb="6">
      <t>ニク</t>
    </rPh>
    <rPh sb="10" eb="12">
      <t>カラクチ</t>
    </rPh>
    <phoneticPr fontId="3"/>
  </si>
  <si>
    <t>旭松　カップ生みそずい　合わせとうふ</t>
    <rPh sb="0" eb="2">
      <t>アサヒマツ</t>
    </rPh>
    <rPh sb="6" eb="7">
      <t>ナマ</t>
    </rPh>
    <rPh sb="12" eb="13">
      <t>ア</t>
    </rPh>
    <phoneticPr fontId="3"/>
  </si>
  <si>
    <t>伯方の塩　500ｇ</t>
    <rPh sb="0" eb="2">
      <t>ハカタ</t>
    </rPh>
    <rPh sb="3" eb="4">
      <t>シオ</t>
    </rPh>
    <phoneticPr fontId="3"/>
  </si>
  <si>
    <t>昭和　天ぷら粉　700ｇ</t>
    <rPh sb="0" eb="2">
      <t>ショウワ</t>
    </rPh>
    <rPh sb="3" eb="4">
      <t>テン</t>
    </rPh>
    <rPh sb="6" eb="7">
      <t>コナ</t>
    </rPh>
    <phoneticPr fontId="3"/>
  </si>
  <si>
    <t>S＆B　おろし生わさび　43ｇ</t>
    <rPh sb="7" eb="8">
      <t>ナマ</t>
    </rPh>
    <phoneticPr fontId="3"/>
  </si>
  <si>
    <t>フライスター　セブンパン粉　180ｇ</t>
    <rPh sb="12" eb="13">
      <t>コ</t>
    </rPh>
    <phoneticPr fontId="3"/>
  </si>
  <si>
    <t>旭松　カップ生みそずい　合わせ長ねぎ</t>
    <rPh sb="0" eb="2">
      <t>アサヒマツ</t>
    </rPh>
    <rPh sb="6" eb="7">
      <t>ナマ</t>
    </rPh>
    <rPh sb="12" eb="13">
      <t>ア</t>
    </rPh>
    <rPh sb="15" eb="16">
      <t>ナガ</t>
    </rPh>
    <phoneticPr fontId="3"/>
  </si>
  <si>
    <t>S＆B　本生本からし　43ｇ</t>
    <rPh sb="4" eb="6">
      <t>ホンナマ</t>
    </rPh>
    <rPh sb="6" eb="7">
      <t>ホン</t>
    </rPh>
    <phoneticPr fontId="3"/>
  </si>
  <si>
    <t>S＆B　おろし生しょうが　40ｇ</t>
    <rPh sb="7" eb="8">
      <t>ナマ</t>
    </rPh>
    <phoneticPr fontId="3"/>
  </si>
  <si>
    <t>亀田　柿の種　６袋詰190ｇ</t>
    <rPh sb="0" eb="2">
      <t>カメダ</t>
    </rPh>
    <rPh sb="3" eb="4">
      <t>カキ</t>
    </rPh>
    <rPh sb="5" eb="6">
      <t>タネ</t>
    </rPh>
    <rPh sb="8" eb="9">
      <t>フクロ</t>
    </rPh>
    <rPh sb="9" eb="10">
      <t>ヅ</t>
    </rPh>
    <phoneticPr fontId="3"/>
  </si>
  <si>
    <t>亀田　ハッピーターン　108ｇ</t>
    <rPh sb="0" eb="2">
      <t>カメダ</t>
    </rPh>
    <phoneticPr fontId="3"/>
  </si>
  <si>
    <t>栗山　星たべよ　しお味2枚×11袋</t>
    <rPh sb="0" eb="2">
      <t>クリヤマ</t>
    </rPh>
    <rPh sb="3" eb="4">
      <t>ホシ</t>
    </rPh>
    <rPh sb="10" eb="11">
      <t>アジ</t>
    </rPh>
    <rPh sb="12" eb="13">
      <t>マイ</t>
    </rPh>
    <rPh sb="16" eb="17">
      <t>フクロ</t>
    </rPh>
    <phoneticPr fontId="3"/>
  </si>
  <si>
    <t>栗山　ばかうけ　青のり2枚×9袋</t>
    <rPh sb="0" eb="2">
      <t>クリヤマ</t>
    </rPh>
    <rPh sb="8" eb="9">
      <t>アオ</t>
    </rPh>
    <rPh sb="12" eb="13">
      <t>マイ</t>
    </rPh>
    <rPh sb="15" eb="16">
      <t>フクロ</t>
    </rPh>
    <phoneticPr fontId="3"/>
  </si>
  <si>
    <t>ベビースター　ドデカイラーメンコンソメ味　73ｇ</t>
    <rPh sb="19" eb="20">
      <t>アジ</t>
    </rPh>
    <phoneticPr fontId="3"/>
  </si>
  <si>
    <t>ハウス　とんがりコーン　あっさり塩75ｇ</t>
    <rPh sb="16" eb="17">
      <t>シオ</t>
    </rPh>
    <phoneticPr fontId="3"/>
  </si>
  <si>
    <t>カルピスウォーター　P500ml</t>
    <phoneticPr fontId="3"/>
  </si>
  <si>
    <t>不二家　レモンスカッシュ　缶350ｇ</t>
    <rPh sb="0" eb="3">
      <t>フジヤ</t>
    </rPh>
    <rPh sb="13" eb="14">
      <t>カン</t>
    </rPh>
    <phoneticPr fontId="3"/>
  </si>
  <si>
    <t>不二家　ネクター　ピーチ350ｇ</t>
    <rPh sb="0" eb="3">
      <t>フジヤ</t>
    </rPh>
    <phoneticPr fontId="3"/>
  </si>
  <si>
    <t>エスエス　エスカップ　100ｍｌ</t>
    <phoneticPr fontId="3"/>
  </si>
  <si>
    <t>三ツ矢　サイダー　缶250ml</t>
    <rPh sb="0" eb="1">
      <t>ミ</t>
    </rPh>
    <rPh sb="2" eb="3">
      <t>ヤ</t>
    </rPh>
    <rPh sb="9" eb="10">
      <t>カン</t>
    </rPh>
    <phoneticPr fontId="3"/>
  </si>
  <si>
    <t>サントリー　天然水（南アルプス）自販P550ｍｌ</t>
    <rPh sb="6" eb="9">
      <t>テンネンスイ</t>
    </rPh>
    <rPh sb="10" eb="11">
      <t>ミナミ</t>
    </rPh>
    <rPh sb="16" eb="18">
      <t>ジハン</t>
    </rPh>
    <phoneticPr fontId="3"/>
  </si>
  <si>
    <t>神州一　み子ちゃん　850g</t>
    <rPh sb="0" eb="1">
      <t>カミ</t>
    </rPh>
    <rPh sb="1" eb="2">
      <t>シュウ</t>
    </rPh>
    <rPh sb="2" eb="3">
      <t>イチ</t>
    </rPh>
    <rPh sb="5" eb="6">
      <t>コ</t>
    </rPh>
    <phoneticPr fontId="3"/>
  </si>
  <si>
    <t>日清（袋５食）チキンラーメン</t>
    <rPh sb="0" eb="2">
      <t>ニッシン</t>
    </rPh>
    <rPh sb="3" eb="4">
      <t>フクロ</t>
    </rPh>
    <rPh sb="5" eb="6">
      <t>ショク</t>
    </rPh>
    <phoneticPr fontId="3"/>
  </si>
  <si>
    <t>明星（袋５食）チャルメラ</t>
    <rPh sb="0" eb="2">
      <t>ミョウジョウ</t>
    </rPh>
    <rPh sb="3" eb="4">
      <t>フクロ</t>
    </rPh>
    <rPh sb="5" eb="6">
      <t>ショク</t>
    </rPh>
    <phoneticPr fontId="3"/>
  </si>
  <si>
    <t>午後の紅茶　マスカットティーソーダ　P450ml</t>
    <rPh sb="0" eb="2">
      <t>ゴゴ</t>
    </rPh>
    <rPh sb="3" eb="5">
      <t>コウチャ</t>
    </rPh>
    <phoneticPr fontId="3"/>
  </si>
  <si>
    <t>小岩井　純粋ぶどう　P450ｍｌ</t>
    <rPh sb="0" eb="3">
      <t>コイワイ</t>
    </rPh>
    <rPh sb="4" eb="6">
      <t>ジュンスイ</t>
    </rPh>
    <phoneticPr fontId="3"/>
  </si>
  <si>
    <t>キリン　香ばし麦茶　P555ｍｌ</t>
    <rPh sb="4" eb="5">
      <t>コウ</t>
    </rPh>
    <rPh sb="7" eb="9">
      <t>ムギチャ</t>
    </rPh>
    <phoneticPr fontId="3"/>
  </si>
  <si>
    <t>ポッカS　がぶ飲みメロンクリームソーダP500ｍｌ</t>
    <rPh sb="7" eb="8">
      <t>ノ</t>
    </rPh>
    <phoneticPr fontId="3"/>
  </si>
  <si>
    <t>ファイア　挽きたて微糖　185ｇ</t>
    <rPh sb="5" eb="6">
      <t>ヒ</t>
    </rPh>
    <rPh sb="9" eb="11">
      <t>ビトウ</t>
    </rPh>
    <phoneticPr fontId="3"/>
  </si>
  <si>
    <t>ボス　カフェオレ　185ｇ</t>
    <phoneticPr fontId="3"/>
  </si>
  <si>
    <t>シスコ　チョコフレーク濃厚仕立て　63ｇ</t>
    <rPh sb="11" eb="13">
      <t>ノウコウ</t>
    </rPh>
    <rPh sb="13" eb="15">
      <t>ジタ</t>
    </rPh>
    <phoneticPr fontId="3"/>
  </si>
  <si>
    <t>4901620122133</t>
    <phoneticPr fontId="3"/>
  </si>
  <si>
    <t>スイートファクトリー　バナナミルクかすてら</t>
    <phoneticPr fontId="3"/>
  </si>
  <si>
    <t>4973484037014</t>
    <phoneticPr fontId="3"/>
  </si>
  <si>
    <t>山脇　黒糖ピーナッツかりんとう１１０ｇ</t>
    <rPh sb="0" eb="2">
      <t>ヤマワキ</t>
    </rPh>
    <rPh sb="3" eb="5">
      <t>コクトウ</t>
    </rPh>
    <phoneticPr fontId="3"/>
  </si>
  <si>
    <t>4903034015032</t>
    <phoneticPr fontId="3"/>
  </si>
  <si>
    <t>森永　ｉｎゼリー　エネルギーブドウ糖　鬼滅の刃</t>
    <rPh sb="0" eb="2">
      <t>モリナガ</t>
    </rPh>
    <rPh sb="17" eb="18">
      <t>トウ</t>
    </rPh>
    <rPh sb="19" eb="21">
      <t>キメツ</t>
    </rPh>
    <rPh sb="22" eb="23">
      <t>ヤイバ</t>
    </rPh>
    <phoneticPr fontId="3"/>
  </si>
  <si>
    <t>4902888731402</t>
    <phoneticPr fontId="3"/>
  </si>
  <si>
    <t>オリヒロ　ぷるんと蒟蒻ゼリーパウチマスカット　6個</t>
    <rPh sb="9" eb="11">
      <t>コンニャク</t>
    </rPh>
    <rPh sb="24" eb="25">
      <t>コ</t>
    </rPh>
    <phoneticPr fontId="3"/>
  </si>
  <si>
    <t>オリヒロ　ぷるんと蒟蒻ゼリーパウチグレープ　６個</t>
    <rPh sb="9" eb="11">
      <t>コンニャク</t>
    </rPh>
    <rPh sb="23" eb="24">
      <t>コ</t>
    </rPh>
    <phoneticPr fontId="3"/>
  </si>
  <si>
    <t>4571157254579</t>
    <phoneticPr fontId="3"/>
  </si>
  <si>
    <t>4571157254340</t>
    <phoneticPr fontId="3"/>
  </si>
  <si>
    <t>プリングルズ　チーズS缶　53ｇ</t>
    <rPh sb="11" eb="12">
      <t>カン</t>
    </rPh>
    <phoneticPr fontId="3"/>
  </si>
  <si>
    <t>8886467118296</t>
    <phoneticPr fontId="3"/>
  </si>
  <si>
    <t>プリングルズ　サワークリーム＆オニオン　53ｇ</t>
    <phoneticPr fontId="3"/>
  </si>
  <si>
    <t>8886467102004</t>
    <phoneticPr fontId="3"/>
  </si>
  <si>
    <t>8886467101984</t>
    <phoneticPr fontId="3"/>
  </si>
  <si>
    <t>カルビー　Jagabee　バターしょうゆ味80ｇ</t>
    <rPh sb="20" eb="21">
      <t>アジ</t>
    </rPh>
    <phoneticPr fontId="3"/>
  </si>
  <si>
    <t>（や）有楽　ブラックサンダー</t>
    <rPh sb="3" eb="5">
      <t>ユウラク</t>
    </rPh>
    <phoneticPr fontId="3"/>
  </si>
  <si>
    <t>カルビー　Jagabee　うすしお味80ｇ</t>
    <rPh sb="17" eb="18">
      <t>アジ</t>
    </rPh>
    <phoneticPr fontId="3"/>
  </si>
  <si>
    <t>4901330646394</t>
    <phoneticPr fontId="3"/>
  </si>
  <si>
    <t>4903032001594</t>
    <phoneticPr fontId="3"/>
  </si>
  <si>
    <t>4901330646417</t>
    <phoneticPr fontId="3"/>
  </si>
  <si>
    <t>ネスレ　キットカットミニ　１４枚</t>
    <rPh sb="15" eb="16">
      <t>マイ</t>
    </rPh>
    <phoneticPr fontId="3"/>
  </si>
  <si>
    <t>4902201178303</t>
    <phoneticPr fontId="3"/>
  </si>
  <si>
    <t>森永　チョコボール　ピーナッツ28ｇ</t>
    <rPh sb="0" eb="2">
      <t>モリナガ</t>
    </rPh>
    <phoneticPr fontId="3"/>
  </si>
  <si>
    <t>4902888221842</t>
    <phoneticPr fontId="3"/>
  </si>
  <si>
    <t>森永　ダース　ミルク１２粒</t>
    <rPh sb="0" eb="2">
      <t>モリナガ</t>
    </rPh>
    <rPh sb="12" eb="13">
      <t>ツブ</t>
    </rPh>
    <phoneticPr fontId="3"/>
  </si>
  <si>
    <t>4902888219368</t>
    <phoneticPr fontId="3"/>
  </si>
  <si>
    <t>ブルボンアルフォート　FS199ｇ</t>
    <phoneticPr fontId="3"/>
  </si>
  <si>
    <t>明治　メルティーキッスプレミアムショコラ　60ｇ</t>
    <rPh sb="0" eb="2">
      <t>メイジ</t>
    </rPh>
    <phoneticPr fontId="3"/>
  </si>
  <si>
    <t>4901360335893</t>
    <phoneticPr fontId="3"/>
  </si>
  <si>
    <t>4902777085470</t>
    <phoneticPr fontId="3"/>
  </si>
  <si>
    <t>味の素　ほんだし　瓶60ｇ</t>
    <rPh sb="0" eb="1">
      <t>アジ</t>
    </rPh>
    <rPh sb="2" eb="3">
      <t>モト</t>
    </rPh>
    <rPh sb="9" eb="10">
      <t>ビン</t>
    </rPh>
    <phoneticPr fontId="3"/>
  </si>
  <si>
    <t>0000049621129</t>
    <phoneticPr fontId="3"/>
  </si>
  <si>
    <t>かどや　金印純正ごま油　200ｇ</t>
    <rPh sb="4" eb="5">
      <t>キン</t>
    </rPh>
    <rPh sb="5" eb="6">
      <t>ジルシ</t>
    </rPh>
    <rPh sb="6" eb="8">
      <t>ジュンセイ</t>
    </rPh>
    <rPh sb="10" eb="11">
      <t>アブラ</t>
    </rPh>
    <phoneticPr fontId="3"/>
  </si>
  <si>
    <t>ミツカン　味ぽん　600ｍｌ</t>
    <rPh sb="5" eb="6">
      <t>アジ</t>
    </rPh>
    <phoneticPr fontId="3"/>
  </si>
  <si>
    <t>讃岐物産　讃岐そば　２３０ｇ</t>
    <rPh sb="0" eb="2">
      <t>サヌキ</t>
    </rPh>
    <rPh sb="2" eb="4">
      <t>ブッサン</t>
    </rPh>
    <rPh sb="5" eb="7">
      <t>サヌキ</t>
    </rPh>
    <phoneticPr fontId="3"/>
  </si>
  <si>
    <t>味の素　コンソメ　２１個入箱</t>
    <rPh sb="0" eb="1">
      <t>アジ</t>
    </rPh>
    <rPh sb="2" eb="3">
      <t>モト</t>
    </rPh>
    <rPh sb="11" eb="12">
      <t>コ</t>
    </rPh>
    <rPh sb="12" eb="13">
      <t>イ</t>
    </rPh>
    <rPh sb="13" eb="14">
      <t>ハコ</t>
    </rPh>
    <phoneticPr fontId="3"/>
  </si>
  <si>
    <t>さば水煮月下EOF2　２００ｇ</t>
    <rPh sb="2" eb="3">
      <t>ミズ</t>
    </rPh>
    <rPh sb="3" eb="4">
      <t>ニ</t>
    </rPh>
    <rPh sb="4" eb="6">
      <t>ゲッカ</t>
    </rPh>
    <phoneticPr fontId="3"/>
  </si>
  <si>
    <t>マルハ　やきとりたれEO　P4R</t>
    <phoneticPr fontId="3"/>
  </si>
  <si>
    <t>マルハ　やきとりしおEO　P4R</t>
    <phoneticPr fontId="3"/>
  </si>
  <si>
    <t>マルハ　さんま蒲焼　K5A</t>
    <rPh sb="7" eb="9">
      <t>カバヤキ</t>
    </rPh>
    <phoneticPr fontId="3"/>
  </si>
  <si>
    <t>マルハ　さば味噌煮月下EOF2　200ｇ</t>
    <rPh sb="6" eb="8">
      <t>ミソ</t>
    </rPh>
    <rPh sb="9" eb="11">
      <t>ゲッカ</t>
    </rPh>
    <phoneticPr fontId="3"/>
  </si>
  <si>
    <t>4901458002065</t>
    <phoneticPr fontId="3"/>
  </si>
  <si>
    <t>4902106541424</t>
    <phoneticPr fontId="3"/>
  </si>
  <si>
    <t>4901736402303</t>
    <phoneticPr fontId="3"/>
  </si>
  <si>
    <t>4901001003570</t>
    <phoneticPr fontId="3"/>
  </si>
  <si>
    <t>4901901145899</t>
    <phoneticPr fontId="3"/>
  </si>
  <si>
    <t>4901901307556</t>
    <phoneticPr fontId="3"/>
  </si>
  <si>
    <t>4901901307532</t>
    <phoneticPr fontId="3"/>
  </si>
  <si>
    <t>4901901356141</t>
    <phoneticPr fontId="3"/>
  </si>
  <si>
    <t>4901901145097</t>
    <phoneticPr fontId="3"/>
  </si>
  <si>
    <t>揖保乃糸　そうめん　300ｇ</t>
    <rPh sb="0" eb="4">
      <t>イボノイト</t>
    </rPh>
    <phoneticPr fontId="3"/>
  </si>
  <si>
    <t>アヲハタ　５５オレンジマーマレード　150ｇ</t>
    <phoneticPr fontId="3"/>
  </si>
  <si>
    <t>QP　深煎りごまドレッシング　１８０ｍｌ</t>
    <rPh sb="3" eb="5">
      <t>フカイ</t>
    </rPh>
    <phoneticPr fontId="3"/>
  </si>
  <si>
    <t>アヲハタ　５５アンズ　150ｇ</t>
    <phoneticPr fontId="3"/>
  </si>
  <si>
    <t>明治屋　果実実感つぶつぶイチゴジャム　１６０ｇ</t>
    <rPh sb="0" eb="3">
      <t>メイジヤ</t>
    </rPh>
    <rPh sb="4" eb="6">
      <t>カジツ</t>
    </rPh>
    <rPh sb="6" eb="8">
      <t>ジッカン</t>
    </rPh>
    <phoneticPr fontId="3"/>
  </si>
  <si>
    <t>明治屋　つぶつぶBベリージャム　１６０ｇ</t>
    <rPh sb="0" eb="3">
      <t>メイジヤ</t>
    </rPh>
    <phoneticPr fontId="3"/>
  </si>
  <si>
    <t>オーマイ　１．９ｍｍスパゲッティ　３００ｇ</t>
    <phoneticPr fontId="3"/>
  </si>
  <si>
    <t>日清　川田讃岐うどん　４５０ｇ</t>
    <rPh sb="0" eb="2">
      <t>ニッシン</t>
    </rPh>
    <rPh sb="3" eb="5">
      <t>カワタ</t>
    </rPh>
    <rPh sb="5" eb="7">
      <t>サヌキ</t>
    </rPh>
    <phoneticPr fontId="3"/>
  </si>
  <si>
    <t>讃岐物産　讃岐きしめん　２７０ｇ</t>
    <rPh sb="0" eb="2">
      <t>サヌキ</t>
    </rPh>
    <rPh sb="2" eb="4">
      <t>ブッサン</t>
    </rPh>
    <rPh sb="5" eb="7">
      <t>サヌキ</t>
    </rPh>
    <phoneticPr fontId="3"/>
  </si>
  <si>
    <t>はごろも　シーチキンL　９０ｇ</t>
    <phoneticPr fontId="3"/>
  </si>
  <si>
    <t>4976640000013</t>
    <phoneticPr fontId="3"/>
  </si>
  <si>
    <t>0000045185939</t>
    <phoneticPr fontId="3"/>
  </si>
  <si>
    <t>4901577073557</t>
    <phoneticPr fontId="3"/>
  </si>
  <si>
    <t>0000045185960</t>
    <phoneticPr fontId="3"/>
  </si>
  <si>
    <t>0000049206487</t>
    <phoneticPr fontId="3"/>
  </si>
  <si>
    <t>0000049206494</t>
    <phoneticPr fontId="3"/>
  </si>
  <si>
    <t>4902170010840</t>
    <phoneticPr fontId="3"/>
  </si>
  <si>
    <t>4972012796317</t>
    <phoneticPr fontId="3"/>
  </si>
  <si>
    <t>4901736180065</t>
    <phoneticPr fontId="3"/>
  </si>
  <si>
    <t>4902560021920</t>
    <phoneticPr fontId="3"/>
  </si>
  <si>
    <t>キー　グランドテイスト　コク深いリッチ３３０ｇ</t>
    <rPh sb="14" eb="15">
      <t>フカ</t>
    </rPh>
    <phoneticPr fontId="3"/>
  </si>
  <si>
    <t>マルちゃん　ふっくら赤飯３個パック　１６０ｇ×３</t>
    <rPh sb="10" eb="12">
      <t>セキハン</t>
    </rPh>
    <rPh sb="13" eb="14">
      <t>コ</t>
    </rPh>
    <phoneticPr fontId="3"/>
  </si>
  <si>
    <t>マ・マー　１．４ｍｍスパゲティ３００ｇ</t>
    <phoneticPr fontId="3"/>
  </si>
  <si>
    <t>森永　ミルクココア　３００ｇ</t>
    <rPh sb="0" eb="2">
      <t>モリナガ</t>
    </rPh>
    <phoneticPr fontId="3"/>
  </si>
  <si>
    <t>キー　グランドテイスト　まろやかなマイルド３３０ｇ</t>
    <phoneticPr fontId="3"/>
  </si>
  <si>
    <t>日清　キャノーラ油　１ｋｇ</t>
    <rPh sb="0" eb="2">
      <t>ニッシン</t>
    </rPh>
    <rPh sb="8" eb="9">
      <t>アブラ</t>
    </rPh>
    <phoneticPr fontId="3"/>
  </si>
  <si>
    <t>4901372100595</t>
    <phoneticPr fontId="3"/>
  </si>
  <si>
    <t>4901990167024</t>
    <phoneticPr fontId="3"/>
  </si>
  <si>
    <t>4902110304022</t>
    <phoneticPr fontId="3"/>
  </si>
  <si>
    <t>4902888543739</t>
    <phoneticPr fontId="3"/>
  </si>
  <si>
    <t>4901372100601</t>
    <phoneticPr fontId="3"/>
  </si>
  <si>
    <t>4901372100618</t>
    <phoneticPr fontId="3"/>
  </si>
  <si>
    <t>4902380135845</t>
    <phoneticPr fontId="3"/>
  </si>
  <si>
    <t>ロッテ　ホカロンミニ　１０P</t>
    <phoneticPr fontId="3"/>
  </si>
  <si>
    <t>4903336271051</t>
    <phoneticPr fontId="3"/>
  </si>
  <si>
    <t>花王　ビオレU詰替泡ハンドソープ</t>
    <rPh sb="0" eb="2">
      <t>カオウ</t>
    </rPh>
    <rPh sb="7" eb="9">
      <t>ツメカ</t>
    </rPh>
    <rPh sb="9" eb="10">
      <t>アワ</t>
    </rPh>
    <phoneticPr fontId="3"/>
  </si>
  <si>
    <t>キクロン　泡スター　かためブルー</t>
    <rPh sb="5" eb="6">
      <t>アワ</t>
    </rPh>
    <phoneticPr fontId="3"/>
  </si>
  <si>
    <t>ビオレU　泡ハンドソープポンプ２５０ｍｌ</t>
    <rPh sb="5" eb="6">
      <t>アワ</t>
    </rPh>
    <phoneticPr fontId="3"/>
  </si>
  <si>
    <t>花王　マジックリンスプレー　４００ｍｌ</t>
    <rPh sb="0" eb="2">
      <t>カオウ</t>
    </rPh>
    <phoneticPr fontId="3"/>
  </si>
  <si>
    <t>花王　キッチン泡ハイター　本体スプレー</t>
    <rPh sb="0" eb="2">
      <t>カオウ</t>
    </rPh>
    <rPh sb="7" eb="8">
      <t>アワ</t>
    </rPh>
    <rPh sb="13" eb="15">
      <t>ホンタイ</t>
    </rPh>
    <phoneticPr fontId="3"/>
  </si>
  <si>
    <t>トイレクイックル　詰替用ジャンボパック　２０枚入</t>
    <rPh sb="9" eb="10">
      <t>ツ</t>
    </rPh>
    <rPh sb="10" eb="11">
      <t>カ</t>
    </rPh>
    <rPh sb="11" eb="12">
      <t>ヨウ</t>
    </rPh>
    <rPh sb="22" eb="23">
      <t>マイ</t>
    </rPh>
    <rPh sb="23" eb="24">
      <t>イ</t>
    </rPh>
    <phoneticPr fontId="3"/>
  </si>
  <si>
    <t>レック　激落ちダブルキング</t>
    <rPh sb="4" eb="5">
      <t>ゲキ</t>
    </rPh>
    <rPh sb="5" eb="6">
      <t>オ</t>
    </rPh>
    <phoneticPr fontId="3"/>
  </si>
  <si>
    <t>4548404200030</t>
    <phoneticPr fontId="3"/>
  </si>
  <si>
    <t>4901301289421</t>
    <phoneticPr fontId="3"/>
  </si>
  <si>
    <t>4901301036155</t>
    <phoneticPr fontId="3"/>
  </si>
  <si>
    <t>4901301733801</t>
    <phoneticPr fontId="3"/>
  </si>
  <si>
    <t>4901301233424</t>
    <phoneticPr fontId="3"/>
  </si>
  <si>
    <t>4903320580060</t>
    <phoneticPr fontId="3"/>
  </si>
  <si>
    <t>トップ　プラチナクリア　９００ｇ</t>
    <phoneticPr fontId="3"/>
  </si>
  <si>
    <t>アタック　高活性バイオEX　大９００ｇ</t>
    <rPh sb="5" eb="8">
      <t>コウカッセイ</t>
    </rPh>
    <rPh sb="14" eb="15">
      <t>ダイ</t>
    </rPh>
    <phoneticPr fontId="3"/>
  </si>
  <si>
    <t>東海　コン郎ボンベ　３本セット</t>
    <rPh sb="0" eb="2">
      <t>トウカイ</t>
    </rPh>
    <rPh sb="5" eb="6">
      <t>ロウ</t>
    </rPh>
    <rPh sb="11" eb="12">
      <t>ホン</t>
    </rPh>
    <phoneticPr fontId="3"/>
  </si>
  <si>
    <t>クレラップ　ミニ２２ｃｍ×２０ｍ</t>
    <phoneticPr fontId="3"/>
  </si>
  <si>
    <t>ロッテ　快速ホカロン　貼る１０P</t>
    <rPh sb="4" eb="6">
      <t>カイソク</t>
    </rPh>
    <rPh sb="11" eb="12">
      <t>ハ</t>
    </rPh>
    <phoneticPr fontId="3"/>
  </si>
  <si>
    <t>花王　かんたんマイペット　詰替</t>
    <rPh sb="0" eb="2">
      <t>カオウ</t>
    </rPh>
    <rPh sb="13" eb="15">
      <t>ツメカ</t>
    </rPh>
    <phoneticPr fontId="3"/>
  </si>
  <si>
    <t>ガラスマジックリン　つめかえ用３５０ｍｌ</t>
    <rPh sb="14" eb="15">
      <t>ヨウ</t>
    </rPh>
    <phoneticPr fontId="3"/>
  </si>
  <si>
    <t>エリエール超吸収キッチンタオル４R７０カット</t>
    <rPh sb="5" eb="6">
      <t>チョウ</t>
    </rPh>
    <rPh sb="6" eb="8">
      <t>キュウシュウ</t>
    </rPh>
    <phoneticPr fontId="3"/>
  </si>
  <si>
    <t>花王　キッチンハイター（小）６００</t>
    <rPh sb="0" eb="2">
      <t>カオウ</t>
    </rPh>
    <rPh sb="12" eb="13">
      <t>ショウ</t>
    </rPh>
    <phoneticPr fontId="3"/>
  </si>
  <si>
    <t>4903301254751</t>
    <phoneticPr fontId="3"/>
  </si>
  <si>
    <t>4901301365545</t>
    <phoneticPr fontId="3"/>
  </si>
  <si>
    <t>4904650000785</t>
    <phoneticPr fontId="3"/>
  </si>
  <si>
    <t>4901422152208</t>
    <phoneticPr fontId="3"/>
  </si>
  <si>
    <t>4903336262059</t>
    <phoneticPr fontId="3"/>
  </si>
  <si>
    <t>4902011724028</t>
    <phoneticPr fontId="3"/>
  </si>
  <si>
    <t>4901301017598</t>
    <phoneticPr fontId="3"/>
  </si>
  <si>
    <t>4901301733764</t>
    <phoneticPr fontId="3"/>
  </si>
  <si>
    <t>4901301237927</t>
    <phoneticPr fontId="3"/>
  </si>
  <si>
    <t>エリエール　除菌アルコールタオル携帯３２枚×２P</t>
    <rPh sb="6" eb="8">
      <t>ジョキン</t>
    </rPh>
    <rPh sb="16" eb="18">
      <t>ケイタイ</t>
    </rPh>
    <rPh sb="20" eb="21">
      <t>マイ</t>
    </rPh>
    <phoneticPr fontId="3"/>
  </si>
  <si>
    <t>エリエール　ティシュー　１８０W5P</t>
    <phoneticPr fontId="3"/>
  </si>
  <si>
    <t>エルフォーレ　１２RS</t>
    <phoneticPr fontId="3"/>
  </si>
  <si>
    <t>エルフォーレ　１２RW</t>
    <phoneticPr fontId="3"/>
  </si>
  <si>
    <t>クレラップ　３０ｃｍ×２０ｍレギュラ</t>
    <phoneticPr fontId="3"/>
  </si>
  <si>
    <t>サンホイル　２５ｍ×８ｍ</t>
    <phoneticPr fontId="3"/>
  </si>
  <si>
    <t>4902011733822</t>
    <phoneticPr fontId="3"/>
  </si>
  <si>
    <t>4902011713619</t>
    <phoneticPr fontId="3"/>
  </si>
  <si>
    <t>4902011729450</t>
    <phoneticPr fontId="3"/>
  </si>
  <si>
    <t>4902011729467</t>
    <phoneticPr fontId="3"/>
  </si>
  <si>
    <t>4901422153205</t>
    <phoneticPr fontId="3"/>
  </si>
  <si>
    <t>4901603025086</t>
    <phoneticPr fontId="3"/>
  </si>
  <si>
    <t>花王　ハイター（小）６００ｍｌ</t>
    <rPh sb="0" eb="2">
      <t>カオウ</t>
    </rPh>
    <rPh sb="8" eb="9">
      <t>ショウ</t>
    </rPh>
    <phoneticPr fontId="3"/>
  </si>
  <si>
    <t>ネピア　ネピネピ　１２RW</t>
    <phoneticPr fontId="3"/>
  </si>
  <si>
    <t>キュキュット　本体　２４０ｍｌ</t>
    <rPh sb="7" eb="9">
      <t>ホンタイ</t>
    </rPh>
    <phoneticPr fontId="3"/>
  </si>
  <si>
    <t>キュキュット　ピンクグレープ詰替用　３８５ｍｌ</t>
    <rPh sb="14" eb="16">
      <t>ツメカ</t>
    </rPh>
    <rPh sb="16" eb="17">
      <t>ヨウ</t>
    </rPh>
    <phoneticPr fontId="3"/>
  </si>
  <si>
    <t>エリエール　イーナティシュー　１５０W5P</t>
    <phoneticPr fontId="3"/>
  </si>
  <si>
    <t>4901301017246</t>
    <phoneticPr fontId="3"/>
  </si>
  <si>
    <t>4901121267616</t>
    <phoneticPr fontId="3"/>
  </si>
  <si>
    <t>4901301288417</t>
    <phoneticPr fontId="3"/>
  </si>
  <si>
    <t>4901301288462</t>
    <phoneticPr fontId="3"/>
  </si>
  <si>
    <t>4902011712827</t>
    <phoneticPr fontId="3"/>
  </si>
  <si>
    <t>アサヒ　モンスターカオス　缶３５５ｍｌ</t>
    <rPh sb="13" eb="14">
      <t>カン</t>
    </rPh>
    <phoneticPr fontId="3"/>
  </si>
  <si>
    <t>モンスター　ウルトラパラダイス缶３５５ｍｌ</t>
    <rPh sb="15" eb="16">
      <t>カン</t>
    </rPh>
    <phoneticPr fontId="3"/>
  </si>
  <si>
    <t>大塚　ポカリスエット　P５００ｍｌ</t>
    <rPh sb="0" eb="2">
      <t>オオツカ</t>
    </rPh>
    <phoneticPr fontId="3"/>
  </si>
  <si>
    <t>キリン　世界のキッチンから　ソルティライチP５００</t>
    <rPh sb="4" eb="6">
      <t>セカイ</t>
    </rPh>
    <phoneticPr fontId="3"/>
  </si>
  <si>
    <t>アサヒ　モンスターエナジー　３５５ｍｌ</t>
    <phoneticPr fontId="3"/>
  </si>
  <si>
    <t>アサヒ　モンスターウルトラ　３５５ｍｌ</t>
    <phoneticPr fontId="3"/>
  </si>
  <si>
    <t>大塚　マッチ　P500ml</t>
    <rPh sb="0" eb="2">
      <t>オオツカ</t>
    </rPh>
    <phoneticPr fontId="3"/>
  </si>
  <si>
    <t>4897036691083</t>
    <phoneticPr fontId="3"/>
  </si>
  <si>
    <t>4897036692707</t>
    <phoneticPr fontId="3"/>
  </si>
  <si>
    <t>0000045019517</t>
    <phoneticPr fontId="3"/>
  </si>
  <si>
    <t>4909411085551</t>
    <phoneticPr fontId="3"/>
  </si>
  <si>
    <t>4897036690017</t>
    <phoneticPr fontId="3"/>
  </si>
  <si>
    <t>4897036690888</t>
    <phoneticPr fontId="3"/>
  </si>
  <si>
    <t>4959127400391</t>
    <phoneticPr fontId="3"/>
  </si>
  <si>
    <t>ヒガシマル　海鮮皿うどんスープ付　２人前</t>
    <rPh sb="6" eb="8">
      <t>カイセン</t>
    </rPh>
    <rPh sb="8" eb="9">
      <t>サラ</t>
    </rPh>
    <rPh sb="15" eb="16">
      <t>ツ</t>
    </rPh>
    <rPh sb="18" eb="20">
      <t>ニンマエ</t>
    </rPh>
    <phoneticPr fontId="3"/>
  </si>
  <si>
    <t>4976740901647</t>
    <phoneticPr fontId="3"/>
  </si>
  <si>
    <t>永谷園　煮込みラーメン　しょうゆ味２人前×２回分</t>
    <rPh sb="0" eb="3">
      <t>ナガタニエン</t>
    </rPh>
    <rPh sb="4" eb="6">
      <t>ニコ</t>
    </rPh>
    <rPh sb="16" eb="17">
      <t>アジ</t>
    </rPh>
    <rPh sb="18" eb="20">
      <t>ニンマエ</t>
    </rPh>
    <rPh sb="22" eb="23">
      <t>カイ</t>
    </rPh>
    <rPh sb="23" eb="24">
      <t>ブン</t>
    </rPh>
    <phoneticPr fontId="3"/>
  </si>
  <si>
    <t>永谷園　煮込みラーメン　みそ味２人前×２回</t>
    <rPh sb="0" eb="3">
      <t>ナガタニエン</t>
    </rPh>
    <rPh sb="4" eb="6">
      <t>ニコ</t>
    </rPh>
    <rPh sb="14" eb="15">
      <t>アジ</t>
    </rPh>
    <rPh sb="16" eb="18">
      <t>ニンマエ</t>
    </rPh>
    <rPh sb="20" eb="21">
      <t>カイ</t>
    </rPh>
    <phoneticPr fontId="3"/>
  </si>
  <si>
    <t>永谷園　煮込みラーメン　鶏しお味</t>
    <rPh sb="0" eb="3">
      <t>ナガタニエン</t>
    </rPh>
    <rPh sb="4" eb="6">
      <t>ニコ</t>
    </rPh>
    <rPh sb="12" eb="13">
      <t>ニワトリ</t>
    </rPh>
    <rPh sb="15" eb="16">
      <t>アジ</t>
    </rPh>
    <phoneticPr fontId="3"/>
  </si>
  <si>
    <t>永谷園　煮込みラーメン　ちゃんぽん風　２人前×２</t>
    <rPh sb="0" eb="3">
      <t>ナガタニエン</t>
    </rPh>
    <rPh sb="4" eb="6">
      <t>ニコ</t>
    </rPh>
    <rPh sb="17" eb="18">
      <t>カゼ</t>
    </rPh>
    <rPh sb="20" eb="22">
      <t>ニンマエ</t>
    </rPh>
    <phoneticPr fontId="3"/>
  </si>
  <si>
    <t>ヒガシマル　長崎皿うどんスープ付　２人前</t>
    <rPh sb="6" eb="8">
      <t>ナガサキ</t>
    </rPh>
    <rPh sb="8" eb="9">
      <t>サラ</t>
    </rPh>
    <rPh sb="15" eb="16">
      <t>ツ</t>
    </rPh>
    <rPh sb="18" eb="20">
      <t>ニンマエ</t>
    </rPh>
    <phoneticPr fontId="3"/>
  </si>
  <si>
    <t>マルサン　ちゃんこ鍋スープ７５０ｇ</t>
    <rPh sb="9" eb="10">
      <t>ナベ</t>
    </rPh>
    <phoneticPr fontId="3"/>
  </si>
  <si>
    <t>マルサン　ごまみそ鍋スープしょうゆ味７５０ｇ</t>
    <rPh sb="9" eb="10">
      <t>ナベ</t>
    </rPh>
    <rPh sb="17" eb="18">
      <t>アジ</t>
    </rPh>
    <phoneticPr fontId="3"/>
  </si>
  <si>
    <t>ニッスイ　寄せ鍋スープしょうゆ味６５０ｇ</t>
    <rPh sb="5" eb="6">
      <t>ヨ</t>
    </rPh>
    <rPh sb="7" eb="8">
      <t>ナベ</t>
    </rPh>
    <rPh sb="15" eb="16">
      <t>アジ</t>
    </rPh>
    <phoneticPr fontId="3"/>
  </si>
  <si>
    <t>4902388460116</t>
    <phoneticPr fontId="3"/>
  </si>
  <si>
    <t>4902388460123</t>
    <phoneticPr fontId="3"/>
  </si>
  <si>
    <t>4902388460192</t>
    <phoneticPr fontId="3"/>
  </si>
  <si>
    <t>4902388460154</t>
    <phoneticPr fontId="3"/>
  </si>
  <si>
    <t>4976740900787</t>
    <phoneticPr fontId="3"/>
  </si>
  <si>
    <t>4901033732271</t>
    <phoneticPr fontId="3"/>
  </si>
  <si>
    <t>4901033332365</t>
    <phoneticPr fontId="3"/>
  </si>
  <si>
    <t>4902150112809</t>
    <phoneticPr fontId="3"/>
  </si>
  <si>
    <t>グリコ　プリッツ　熟トマト２パック</t>
    <rPh sb="9" eb="10">
      <t>ジュク</t>
    </rPh>
    <phoneticPr fontId="3"/>
  </si>
  <si>
    <t>ヒタチヤ　江戸麦茶　３８０ｇ</t>
    <rPh sb="5" eb="9">
      <t>エドムギチャ</t>
    </rPh>
    <phoneticPr fontId="3"/>
  </si>
  <si>
    <t>花福堂　越後わたぼうし餅６５０ｇ</t>
    <rPh sb="0" eb="1">
      <t>ハナ</t>
    </rPh>
    <rPh sb="1" eb="2">
      <t>フク</t>
    </rPh>
    <rPh sb="2" eb="3">
      <t>ドウ</t>
    </rPh>
    <rPh sb="4" eb="6">
      <t>エチゴ</t>
    </rPh>
    <rPh sb="11" eb="12">
      <t>モチ</t>
    </rPh>
    <phoneticPr fontId="3"/>
  </si>
  <si>
    <t>サンヨー　ミートソース　４号</t>
    <rPh sb="13" eb="14">
      <t>ゴウ</t>
    </rPh>
    <phoneticPr fontId="3"/>
  </si>
  <si>
    <t>森永　ハイチュウ　ストロベリー１２粒</t>
    <rPh sb="0" eb="2">
      <t>モリナガ</t>
    </rPh>
    <rPh sb="17" eb="18">
      <t>ツブ</t>
    </rPh>
    <phoneticPr fontId="3"/>
  </si>
  <si>
    <t>森永　すっパイチュウ　すっぱいレモン味１２粒</t>
    <rPh sb="0" eb="2">
      <t>モリナガ</t>
    </rPh>
    <rPh sb="18" eb="19">
      <t>アジ</t>
    </rPh>
    <rPh sb="21" eb="22">
      <t>ツブ</t>
    </rPh>
    <phoneticPr fontId="3"/>
  </si>
  <si>
    <t>グリコ　超カリカリプリッツ　バターしょうゆ味２P</t>
    <rPh sb="4" eb="5">
      <t>チョウ</t>
    </rPh>
    <rPh sb="21" eb="22">
      <t>アジ</t>
    </rPh>
    <phoneticPr fontId="3"/>
  </si>
  <si>
    <t>森永　ハイチュウ　グレープ１２粒</t>
    <rPh sb="0" eb="2">
      <t>モリナガ</t>
    </rPh>
    <rPh sb="15" eb="16">
      <t>ツブ</t>
    </rPh>
    <phoneticPr fontId="3"/>
  </si>
  <si>
    <t>＄森永　うまイチュウ白桃味１２粒</t>
    <rPh sb="1" eb="3">
      <t>モリナガ</t>
    </rPh>
    <rPh sb="10" eb="12">
      <t>ハクトウ</t>
    </rPh>
    <rPh sb="12" eb="13">
      <t>アジ</t>
    </rPh>
    <rPh sb="15" eb="16">
      <t>ツブ</t>
    </rPh>
    <phoneticPr fontId="3"/>
  </si>
  <si>
    <t>ヤマキ　徳一番花かつお　８０ｇ</t>
    <rPh sb="4" eb="7">
      <t>トクイチバン</t>
    </rPh>
    <rPh sb="7" eb="8">
      <t>ハナ</t>
    </rPh>
    <phoneticPr fontId="3"/>
  </si>
  <si>
    <t>森永　ハイチュウ　Gアップル１２粒</t>
    <rPh sb="0" eb="2">
      <t>モリナガ</t>
    </rPh>
    <rPh sb="16" eb="17">
      <t>ツブ</t>
    </rPh>
    <phoneticPr fontId="3"/>
  </si>
  <si>
    <t>グリコ　プリッツ　香りロースト２パック</t>
    <rPh sb="9" eb="10">
      <t>カオリ</t>
    </rPh>
    <phoneticPr fontId="3"/>
  </si>
  <si>
    <t>グリコ　プリッツ　旨サラダ２パック</t>
    <rPh sb="9" eb="10">
      <t>ウマ</t>
    </rPh>
    <phoneticPr fontId="3"/>
  </si>
  <si>
    <t>4901005520790</t>
    <phoneticPr fontId="3"/>
  </si>
  <si>
    <t>4589869470019</t>
    <phoneticPr fontId="3"/>
  </si>
  <si>
    <t>4978568144589</t>
    <phoneticPr fontId="3"/>
  </si>
  <si>
    <t>4901605984077</t>
    <phoneticPr fontId="3"/>
  </si>
  <si>
    <t>4902888116209</t>
    <phoneticPr fontId="3"/>
  </si>
  <si>
    <t>4902888200939</t>
    <phoneticPr fontId="3"/>
  </si>
  <si>
    <t>4901005520981</t>
    <phoneticPr fontId="3"/>
  </si>
  <si>
    <t>4902888116322</t>
    <phoneticPr fontId="3"/>
  </si>
  <si>
    <t>4902888249228</t>
    <phoneticPr fontId="3"/>
  </si>
  <si>
    <t>4903065015452</t>
    <phoneticPr fontId="3"/>
  </si>
  <si>
    <t>4902888116292</t>
    <phoneticPr fontId="3"/>
  </si>
  <si>
    <t>4901005520783</t>
    <phoneticPr fontId="3"/>
  </si>
  <si>
    <t>4901005520776</t>
    <phoneticPr fontId="3"/>
  </si>
  <si>
    <t>亀田　ぽたぽた焼　２０枚</t>
    <rPh sb="0" eb="2">
      <t>カメダ</t>
    </rPh>
    <rPh sb="7" eb="8">
      <t>ヤ</t>
    </rPh>
    <rPh sb="11" eb="12">
      <t>マイ</t>
    </rPh>
    <phoneticPr fontId="3"/>
  </si>
  <si>
    <t>ケロッグ　オールブラン　ブランフレーク２５０ｇ</t>
    <phoneticPr fontId="3"/>
  </si>
  <si>
    <t>ケロッグ　チョコワ　袋１５０ｇ</t>
    <rPh sb="10" eb="11">
      <t>フクロ</t>
    </rPh>
    <phoneticPr fontId="3"/>
  </si>
  <si>
    <t>ケロッグ　チョコクリスピー　袋２６０袋</t>
    <rPh sb="14" eb="15">
      <t>フクロ</t>
    </rPh>
    <rPh sb="18" eb="19">
      <t>フクロ</t>
    </rPh>
    <phoneticPr fontId="3"/>
  </si>
  <si>
    <t>リスカ　ハートチップル</t>
    <phoneticPr fontId="3"/>
  </si>
  <si>
    <t>やおきん　コーンポタージュ</t>
    <phoneticPr fontId="3"/>
  </si>
  <si>
    <t>4901313931271</t>
    <phoneticPr fontId="3"/>
  </si>
  <si>
    <t>4901113115024</t>
    <phoneticPr fontId="3"/>
  </si>
  <si>
    <t>4901113564808</t>
    <phoneticPr fontId="3"/>
  </si>
  <si>
    <t>4901113888324</t>
    <phoneticPr fontId="3"/>
  </si>
  <si>
    <t>4903326120024</t>
    <phoneticPr fontId="3"/>
  </si>
  <si>
    <t>4903013030018</t>
    <phoneticPr fontId="3"/>
  </si>
  <si>
    <t>サンガリア　すっきりとはちみつレモンP５００ｍｌ</t>
    <phoneticPr fontId="3"/>
  </si>
  <si>
    <t>小岩井　無添加野菜３２種の野菜と果実　缶２８０ｇ</t>
    <rPh sb="0" eb="3">
      <t>コイワイ</t>
    </rPh>
    <rPh sb="4" eb="7">
      <t>ムテンカ</t>
    </rPh>
    <rPh sb="7" eb="9">
      <t>ヤサイ</t>
    </rPh>
    <rPh sb="11" eb="12">
      <t>シュ</t>
    </rPh>
    <rPh sb="13" eb="15">
      <t>ヤサイ</t>
    </rPh>
    <rPh sb="16" eb="18">
      <t>カジツ</t>
    </rPh>
    <rPh sb="19" eb="20">
      <t>カン</t>
    </rPh>
    <phoneticPr fontId="3"/>
  </si>
  <si>
    <t>伊藤園　ウーロン茶　P５００ｍｌ</t>
    <rPh sb="0" eb="3">
      <t>イトウエン</t>
    </rPh>
    <rPh sb="8" eb="9">
      <t>チャ</t>
    </rPh>
    <phoneticPr fontId="3"/>
  </si>
  <si>
    <t>キリンレモン　P４５０ｍｌ</t>
    <phoneticPr fontId="3"/>
  </si>
  <si>
    <t>キリン　トマトジュース　濃縮トマト還元　１９０ｇ缶</t>
    <rPh sb="12" eb="14">
      <t>ノウシュク</t>
    </rPh>
    <rPh sb="17" eb="19">
      <t>カンゲン</t>
    </rPh>
    <rPh sb="24" eb="25">
      <t>カン</t>
    </rPh>
    <phoneticPr fontId="3"/>
  </si>
  <si>
    <t>4902179015587</t>
    <phoneticPr fontId="3"/>
  </si>
  <si>
    <t>4909411082611</t>
    <phoneticPr fontId="3"/>
  </si>
  <si>
    <t>4901085065372</t>
    <phoneticPr fontId="3"/>
  </si>
  <si>
    <t>4909411084295</t>
    <phoneticPr fontId="3"/>
  </si>
  <si>
    <t>4909411050283</t>
    <phoneticPr fontId="3"/>
  </si>
  <si>
    <t>田中　新潟米（新潟県産）２ｋｇ</t>
    <rPh sb="0" eb="2">
      <t>タナカ</t>
    </rPh>
    <rPh sb="3" eb="5">
      <t>ニイガタ</t>
    </rPh>
    <rPh sb="5" eb="6">
      <t>マイ</t>
    </rPh>
    <rPh sb="7" eb="10">
      <t>ニイガタケン</t>
    </rPh>
    <rPh sb="10" eb="11">
      <t>サン</t>
    </rPh>
    <phoneticPr fontId="3"/>
  </si>
  <si>
    <t>田中　新潟県産こしいぶき　２ｋｇ</t>
    <rPh sb="0" eb="2">
      <t>タナカ</t>
    </rPh>
    <rPh sb="3" eb="5">
      <t>ニイガタ</t>
    </rPh>
    <rPh sb="5" eb="6">
      <t>ケン</t>
    </rPh>
    <rPh sb="6" eb="7">
      <t>サン</t>
    </rPh>
    <phoneticPr fontId="3"/>
  </si>
  <si>
    <t>タイメリー　ランス（PSC）スライドライター２</t>
    <phoneticPr fontId="3"/>
  </si>
  <si>
    <t>東京パイプ　eターボライター</t>
    <rPh sb="0" eb="2">
      <t>トウキョウ</t>
    </rPh>
    <phoneticPr fontId="3"/>
  </si>
  <si>
    <t>クロレッツXP　クリアミント　ボトルR</t>
    <phoneticPr fontId="3"/>
  </si>
  <si>
    <t>ロッテ　ブラックブラック粒ワンプッシュボトル</t>
    <rPh sb="12" eb="13">
      <t>ツブ</t>
    </rPh>
    <phoneticPr fontId="3"/>
  </si>
  <si>
    <t>ロッテ　キシリトールフレッシュミントファミリーB</t>
    <phoneticPr fontId="3"/>
  </si>
  <si>
    <t>レッドブル　エナジードリンク２５０ｍｌ</t>
    <phoneticPr fontId="3"/>
  </si>
  <si>
    <t>東芝　単３アルカリ（２P）特売用</t>
    <rPh sb="0" eb="2">
      <t>トウシバ</t>
    </rPh>
    <rPh sb="3" eb="4">
      <t>タン</t>
    </rPh>
    <rPh sb="13" eb="16">
      <t>トクバイヨウ</t>
    </rPh>
    <phoneticPr fontId="3"/>
  </si>
  <si>
    <t>ロッテ　コアラのマーチいちご　４８ｇ</t>
    <phoneticPr fontId="3"/>
  </si>
  <si>
    <t>カンロ　ピュレグミ　グレープ５６ｇ</t>
    <phoneticPr fontId="3"/>
  </si>
  <si>
    <t>ロッテ　コアラのマーチチョコ　５０ｇ</t>
    <phoneticPr fontId="3"/>
  </si>
  <si>
    <t>4521570321020</t>
    <phoneticPr fontId="3"/>
  </si>
  <si>
    <t>4521570120227</t>
    <phoneticPr fontId="3"/>
  </si>
  <si>
    <t>4525106001790</t>
    <phoneticPr fontId="3"/>
  </si>
  <si>
    <t>4902006871645</t>
    <phoneticPr fontId="3"/>
  </si>
  <si>
    <t>4547894154991</t>
    <phoneticPr fontId="3"/>
  </si>
  <si>
    <t>4903333106530</t>
    <phoneticPr fontId="3"/>
  </si>
  <si>
    <t>4903333191239</t>
    <phoneticPr fontId="3"/>
  </si>
  <si>
    <t>4560292290061</t>
    <phoneticPr fontId="3"/>
  </si>
  <si>
    <t>4904530024986</t>
    <phoneticPr fontId="3"/>
  </si>
  <si>
    <t>4903333133062</t>
    <phoneticPr fontId="3"/>
  </si>
  <si>
    <t>4901351058633</t>
    <phoneticPr fontId="3"/>
  </si>
  <si>
    <t>4904650008569</t>
    <phoneticPr fontId="3"/>
  </si>
  <si>
    <t>4903333066254</t>
    <phoneticPr fontId="3"/>
  </si>
  <si>
    <t>午後の紅茶　ミルクティー自販機P500ｍｌ</t>
    <rPh sb="0" eb="2">
      <t>ゴゴ</t>
    </rPh>
    <rPh sb="3" eb="5">
      <t>コウチャ</t>
    </rPh>
    <rPh sb="12" eb="15">
      <t>ジハンキ</t>
    </rPh>
    <phoneticPr fontId="3"/>
  </si>
  <si>
    <t>カルピスソーダ　缶５００ｍｌ</t>
    <rPh sb="8" eb="9">
      <t>カン</t>
    </rPh>
    <phoneticPr fontId="3"/>
  </si>
  <si>
    <t>カルピスウォーター　P500ml（自販機用）</t>
    <rPh sb="17" eb="21">
      <t>ジハンキヨウ</t>
    </rPh>
    <phoneticPr fontId="3"/>
  </si>
  <si>
    <t>コトブキ　ペットラムネ</t>
    <phoneticPr fontId="3"/>
  </si>
  <si>
    <t>キリン　イミューズヨーグルトテイスト　５００ｍｌ</t>
    <phoneticPr fontId="3"/>
  </si>
  <si>
    <t>ポッカS　LEMONMADEオリジナルP５００ｍｌ</t>
    <phoneticPr fontId="3"/>
  </si>
  <si>
    <t>カゴメ　野菜生活ベリーサラダP７２０ｍｌ</t>
    <rPh sb="4" eb="6">
      <t>ヤサイ</t>
    </rPh>
    <rPh sb="6" eb="8">
      <t>セイカツ</t>
    </rPh>
    <phoneticPr fontId="3"/>
  </si>
  <si>
    <t>カゴメ　野菜生活　温州みかん＆ぽんかん７２０ｍｌ</t>
    <rPh sb="4" eb="8">
      <t>ヤサイセイカツ</t>
    </rPh>
    <rPh sb="9" eb="11">
      <t>ウンシュウ</t>
    </rPh>
    <phoneticPr fontId="3"/>
  </si>
  <si>
    <t>4909411076856</t>
    <phoneticPr fontId="3"/>
  </si>
  <si>
    <t>4901340009240</t>
    <phoneticPr fontId="3"/>
  </si>
  <si>
    <t>4901340056343</t>
    <phoneticPr fontId="3"/>
  </si>
  <si>
    <t>0000045052118</t>
    <phoneticPr fontId="3"/>
  </si>
  <si>
    <t>4909411086626</t>
    <phoneticPr fontId="3"/>
  </si>
  <si>
    <t>4589850826504</t>
    <phoneticPr fontId="3"/>
  </si>
  <si>
    <t>4901306075562</t>
    <phoneticPr fontId="3"/>
  </si>
  <si>
    <t>4901306048078</t>
    <phoneticPr fontId="3"/>
  </si>
  <si>
    <t>東海　ジェットライター</t>
    <rPh sb="0" eb="2">
      <t>トウカイ</t>
    </rPh>
    <phoneticPr fontId="3"/>
  </si>
  <si>
    <t>リファイン　ウェットティッシュノンアル除菌１２０枚</t>
    <rPh sb="19" eb="21">
      <t>ジョキン</t>
    </rPh>
    <rPh sb="24" eb="25">
      <t>マイ</t>
    </rPh>
    <phoneticPr fontId="3"/>
  </si>
  <si>
    <t>リファイン　ウェットティッシュ除菌ボトル１２０枚</t>
    <rPh sb="15" eb="17">
      <t>ジョキン</t>
    </rPh>
    <rPh sb="23" eb="24">
      <t>マイ</t>
    </rPh>
    <phoneticPr fontId="3"/>
  </si>
  <si>
    <t>リファイン　ベビー用ふんわりおしりふき８０枚３Ｐ</t>
    <rPh sb="9" eb="10">
      <t>ヨウ</t>
    </rPh>
    <rPh sb="21" eb="22">
      <t>マイ</t>
    </rPh>
    <phoneticPr fontId="3"/>
  </si>
  <si>
    <t>エリエール　除菌できるアルコールタオル本体１００</t>
    <rPh sb="6" eb="8">
      <t>ジョキン</t>
    </rPh>
    <rPh sb="19" eb="21">
      <t>ホンタイ</t>
    </rPh>
    <phoneticPr fontId="3"/>
  </si>
  <si>
    <t>4589506150038</t>
    <phoneticPr fontId="3"/>
  </si>
  <si>
    <t>4589506150052</t>
    <phoneticPr fontId="3"/>
  </si>
  <si>
    <t>458950615282</t>
    <phoneticPr fontId="3"/>
  </si>
  <si>
    <t>4902011731118</t>
    <phoneticPr fontId="3"/>
  </si>
  <si>
    <t>コカ・コーラ　缶３５０ｍｌ</t>
    <rPh sb="7" eb="8">
      <t>カン</t>
    </rPh>
    <phoneticPr fontId="3"/>
  </si>
  <si>
    <t>田中　新潟県産こしいぶき　２ｋｇ</t>
    <rPh sb="0" eb="2">
      <t>タナカ</t>
    </rPh>
    <rPh sb="3" eb="7">
      <t>ニイガタケンサン</t>
    </rPh>
    <phoneticPr fontId="3"/>
  </si>
  <si>
    <t>ペヤング　ソースやきそば</t>
    <phoneticPr fontId="3"/>
  </si>
  <si>
    <t>カルビー　ポテト　うすしお味６０ｇ</t>
    <rPh sb="13" eb="14">
      <t>アジ</t>
    </rPh>
    <phoneticPr fontId="3"/>
  </si>
  <si>
    <t>＄カルビー　ポテトコンソメパンチ６０ｇ</t>
    <phoneticPr fontId="3"/>
  </si>
  <si>
    <t>三ツ矢サイダー　P３００ｍｌ</t>
    <rPh sb="0" eb="1">
      <t>ミ</t>
    </rPh>
    <rPh sb="2" eb="3">
      <t>ヤ</t>
    </rPh>
    <phoneticPr fontId="3"/>
  </si>
  <si>
    <t>4514603306514</t>
    <phoneticPr fontId="3"/>
  </si>
  <si>
    <t>三ツ矢サイダー　缶２５０ｍｌ</t>
    <rPh sb="0" eb="1">
      <t>ミ</t>
    </rPh>
    <rPh sb="2" eb="3">
      <t>ヤ</t>
    </rPh>
    <rPh sb="8" eb="9">
      <t>カン</t>
    </rPh>
    <phoneticPr fontId="3"/>
  </si>
  <si>
    <t>（や）有楽　ブラックサンダー　１本</t>
    <rPh sb="3" eb="5">
      <t>ユウラク</t>
    </rPh>
    <rPh sb="16" eb="17">
      <t>ホン</t>
    </rPh>
    <phoneticPr fontId="3"/>
  </si>
  <si>
    <t>はごろも　シーチキンファンシー９０ｇ</t>
    <phoneticPr fontId="3"/>
  </si>
  <si>
    <t>カルビー　JagabeeバターしょうSTP　４０ｇ</t>
    <phoneticPr fontId="3"/>
  </si>
  <si>
    <t>カルビー　Jagabeeうすしお味STP　４０ｇ</t>
    <rPh sb="16" eb="17">
      <t>アジ</t>
    </rPh>
    <phoneticPr fontId="3"/>
  </si>
  <si>
    <t>4902560021890</t>
    <phoneticPr fontId="3"/>
  </si>
  <si>
    <t>4901330644833</t>
    <phoneticPr fontId="3"/>
  </si>
  <si>
    <t>4901330645441</t>
    <phoneticPr fontId="3"/>
  </si>
  <si>
    <t>プリングルズ　うましお　５３ｇ</t>
    <phoneticPr fontId="3"/>
  </si>
  <si>
    <t>プリングルズ　うましお　5３ｇ</t>
    <phoneticPr fontId="3"/>
  </si>
  <si>
    <t>クノール　ポタージュ　３袋</t>
    <rPh sb="12" eb="13">
      <t>フクロ</t>
    </rPh>
    <phoneticPr fontId="3"/>
  </si>
  <si>
    <t>ネスレ　１３枚キットカットミニオトナの甘さ</t>
    <rPh sb="6" eb="7">
      <t>マイ</t>
    </rPh>
    <rPh sb="19" eb="20">
      <t>アマ</t>
    </rPh>
    <phoneticPr fontId="3"/>
  </si>
  <si>
    <t>4901001135752</t>
    <phoneticPr fontId="3"/>
  </si>
  <si>
    <t>4902201178341</t>
    <phoneticPr fontId="3"/>
  </si>
  <si>
    <t>コカ・コーラ　缶２５０ｍｌ</t>
    <rPh sb="7" eb="8">
      <t>カン</t>
    </rPh>
    <phoneticPr fontId="3"/>
  </si>
  <si>
    <t>三ツ矢　サイダー手売用　P500ml</t>
    <rPh sb="0" eb="1">
      <t>ミ</t>
    </rPh>
    <rPh sb="2" eb="3">
      <t>ヤ</t>
    </rPh>
    <rPh sb="8" eb="10">
      <t>テウ</t>
    </rPh>
    <rPh sb="10" eb="11">
      <t>ヨウ</t>
    </rPh>
    <phoneticPr fontId="3"/>
  </si>
  <si>
    <t>4514603263213</t>
    <phoneticPr fontId="3"/>
  </si>
  <si>
    <t>ニュークレラップ　３０ｃｍ×５０ｍ業</t>
    <rPh sb="17" eb="18">
      <t>ギョウ</t>
    </rPh>
    <phoneticPr fontId="3"/>
  </si>
  <si>
    <t>かどや　健やかごま油　１９６ｇ</t>
    <rPh sb="4" eb="5">
      <t>スコ</t>
    </rPh>
    <rPh sb="9" eb="10">
      <t>アブラ</t>
    </rPh>
    <phoneticPr fontId="3"/>
  </si>
  <si>
    <t>エバラ　焼肉のたれ　甘口３００ｇ</t>
    <rPh sb="4" eb="5">
      <t>ヤ</t>
    </rPh>
    <rPh sb="5" eb="6">
      <t>ニク</t>
    </rPh>
    <rPh sb="10" eb="12">
      <t>アマクチ</t>
    </rPh>
    <phoneticPr fontId="3"/>
  </si>
  <si>
    <t>エバラ　焼肉のたれ（醤油味）３００ｇ</t>
    <rPh sb="4" eb="5">
      <t>ヤ</t>
    </rPh>
    <rPh sb="5" eb="6">
      <t>ニク</t>
    </rPh>
    <rPh sb="10" eb="13">
      <t>ショウユアジ</t>
    </rPh>
    <phoneticPr fontId="3"/>
  </si>
  <si>
    <t>日清　ソフトパン粉２００ｇ</t>
    <rPh sb="0" eb="2">
      <t>ニッシン</t>
    </rPh>
    <rPh sb="8" eb="9">
      <t>コ</t>
    </rPh>
    <phoneticPr fontId="3"/>
  </si>
  <si>
    <t>グリコ　DONBURI亭　すきやき丼　２１０ｇ</t>
    <rPh sb="11" eb="12">
      <t>テイ</t>
    </rPh>
    <rPh sb="17" eb="18">
      <t>ドン</t>
    </rPh>
    <phoneticPr fontId="3"/>
  </si>
  <si>
    <t>グリコ　DONBURI亭　牛丼１６０ｇ</t>
    <rPh sb="11" eb="12">
      <t>テイ</t>
    </rPh>
    <rPh sb="13" eb="15">
      <t>ギュウドン</t>
    </rPh>
    <phoneticPr fontId="3"/>
  </si>
  <si>
    <t>グリコ　DONBURI亭　親子丼２１０ｇ</t>
    <rPh sb="11" eb="12">
      <t>テイ</t>
    </rPh>
    <rPh sb="13" eb="16">
      <t>オヤコドン</t>
    </rPh>
    <phoneticPr fontId="3"/>
  </si>
  <si>
    <t>マルちゃん　あったかごはん　２００×３</t>
    <phoneticPr fontId="3"/>
  </si>
  <si>
    <t>森永　ホットケーキミックス　３００ｇ</t>
    <rPh sb="0" eb="2">
      <t>モリナガ</t>
    </rPh>
    <phoneticPr fontId="3"/>
  </si>
  <si>
    <t>4901422055356</t>
    <phoneticPr fontId="3"/>
  </si>
  <si>
    <t>4901458003727</t>
    <phoneticPr fontId="3"/>
  </si>
  <si>
    <t>4901108001172</t>
    <phoneticPr fontId="3"/>
  </si>
  <si>
    <t>4902110345544</t>
    <phoneticPr fontId="3"/>
  </si>
  <si>
    <t>4901005246508</t>
    <phoneticPr fontId="3"/>
  </si>
  <si>
    <t>4901005246003</t>
    <phoneticPr fontId="3"/>
  </si>
  <si>
    <t>4901005232020</t>
    <phoneticPr fontId="3"/>
  </si>
  <si>
    <t>4902888546686</t>
    <phoneticPr fontId="3"/>
  </si>
  <si>
    <t>日清　密封チャック付フラワー１ｋｇ</t>
    <rPh sb="0" eb="2">
      <t>ニッシン</t>
    </rPh>
    <rPh sb="3" eb="5">
      <t>ミップウ</t>
    </rPh>
    <rPh sb="9" eb="10">
      <t>ツ</t>
    </rPh>
    <phoneticPr fontId="3"/>
  </si>
  <si>
    <t>神州一　み子ちゃん　８５０ｇ</t>
    <rPh sb="0" eb="1">
      <t>カミ</t>
    </rPh>
    <rPh sb="1" eb="2">
      <t>シュウ</t>
    </rPh>
    <rPh sb="2" eb="3">
      <t>イチ</t>
    </rPh>
    <rPh sb="5" eb="6">
      <t>コ</t>
    </rPh>
    <phoneticPr fontId="3"/>
  </si>
  <si>
    <t>ＱＰ　マヨネーズ　３５０ｇ</t>
    <phoneticPr fontId="3"/>
  </si>
  <si>
    <t>カゴメ　トマトケチャップ　５００ｇ</t>
    <phoneticPr fontId="3"/>
  </si>
  <si>
    <t>ブルドッグ　中濃ソース　３００ｍｌ</t>
    <rPh sb="6" eb="8">
      <t>チュウノウ</t>
    </rPh>
    <phoneticPr fontId="3"/>
  </si>
  <si>
    <t>昭和　天ぷら粉　７００ｇ</t>
    <rPh sb="0" eb="2">
      <t>ショウワ</t>
    </rPh>
    <rPh sb="3" eb="4">
      <t>テン</t>
    </rPh>
    <rPh sb="6" eb="7">
      <t>コナ</t>
    </rPh>
    <phoneticPr fontId="3"/>
  </si>
  <si>
    <t>永谷園　お茶づけ海苔　８袋</t>
    <rPh sb="0" eb="3">
      <t>ナガタニエン</t>
    </rPh>
    <rPh sb="5" eb="6">
      <t>チャ</t>
    </rPh>
    <rPh sb="8" eb="10">
      <t>ノリ</t>
    </rPh>
    <rPh sb="12" eb="13">
      <t>フクロ</t>
    </rPh>
    <phoneticPr fontId="3"/>
  </si>
  <si>
    <t>ネピア　プレミアムソフトトイレット　１２RW</t>
    <phoneticPr fontId="3"/>
  </si>
  <si>
    <t>ネピア　ネピネピティッシュ５コパック</t>
    <phoneticPr fontId="3"/>
  </si>
  <si>
    <t>【萬】いつでも新鮮しぼりたて生しょうゆ　２００ｍｌ</t>
    <rPh sb="1" eb="2">
      <t>マン</t>
    </rPh>
    <rPh sb="7" eb="9">
      <t>シンセン</t>
    </rPh>
    <rPh sb="14" eb="15">
      <t>ナマ</t>
    </rPh>
    <phoneticPr fontId="3"/>
  </si>
  <si>
    <t>クックドゥ　きょうの大皿　豚バラ白菜１１０ｇ</t>
    <rPh sb="10" eb="12">
      <t>オオザラ</t>
    </rPh>
    <rPh sb="13" eb="14">
      <t>ブタ</t>
    </rPh>
    <rPh sb="16" eb="18">
      <t>ハクサイ</t>
    </rPh>
    <phoneticPr fontId="3"/>
  </si>
  <si>
    <t>クックドゥ　コリア！プルコギ用１１０ｇ</t>
    <rPh sb="14" eb="15">
      <t>ヨウ</t>
    </rPh>
    <phoneticPr fontId="3"/>
  </si>
  <si>
    <t>味の素　クックドゥ　よだれ鶏香味ソース</t>
    <rPh sb="0" eb="1">
      <t>アジ</t>
    </rPh>
    <rPh sb="2" eb="3">
      <t>モト</t>
    </rPh>
    <rPh sb="13" eb="14">
      <t>トリ</t>
    </rPh>
    <rPh sb="14" eb="16">
      <t>コウミ</t>
    </rPh>
    <phoneticPr fontId="3"/>
  </si>
  <si>
    <t>味の素　クックドゥ　四川式麻婆豆腐（６）</t>
    <rPh sb="0" eb="1">
      <t>アジ</t>
    </rPh>
    <rPh sb="2" eb="3">
      <t>モト</t>
    </rPh>
    <rPh sb="10" eb="13">
      <t>シセンシキ</t>
    </rPh>
    <rPh sb="13" eb="17">
      <t>マーボードウフ</t>
    </rPh>
    <phoneticPr fontId="3"/>
  </si>
  <si>
    <t>味の素　クックドゥ　広東式麻婆豆腐（７）</t>
    <rPh sb="0" eb="1">
      <t>アジ</t>
    </rPh>
    <rPh sb="2" eb="3">
      <t>モト</t>
    </rPh>
    <rPh sb="10" eb="13">
      <t>カントンシキ</t>
    </rPh>
    <rPh sb="13" eb="17">
      <t>マーボードウフ</t>
    </rPh>
    <phoneticPr fontId="3"/>
  </si>
  <si>
    <t>クックドゥ　きょうの大皿　ガリバタ鶏用８５ｇ</t>
    <rPh sb="10" eb="12">
      <t>オオザラ</t>
    </rPh>
    <rPh sb="17" eb="18">
      <t>トリ</t>
    </rPh>
    <rPh sb="18" eb="19">
      <t>ヨウ</t>
    </rPh>
    <phoneticPr fontId="3"/>
  </si>
  <si>
    <t>伯方の塩　５００ｇ</t>
    <rPh sb="0" eb="2">
      <t>ハカタ</t>
    </rPh>
    <rPh sb="3" eb="4">
      <t>シオ</t>
    </rPh>
    <phoneticPr fontId="3"/>
  </si>
  <si>
    <t>4902110320664</t>
    <phoneticPr fontId="3"/>
  </si>
  <si>
    <t>0000049753240</t>
    <phoneticPr fontId="3"/>
  </si>
  <si>
    <t>4902388002200</t>
    <phoneticPr fontId="3"/>
  </si>
  <si>
    <t>4901121273648</t>
    <phoneticPr fontId="3"/>
  </si>
  <si>
    <t>4901121181431</t>
    <phoneticPr fontId="3"/>
  </si>
  <si>
    <t>4901001266814</t>
    <phoneticPr fontId="3"/>
  </si>
  <si>
    <t>4901001188673</t>
    <phoneticPr fontId="3"/>
  </si>
  <si>
    <t>4901001028917</t>
    <phoneticPr fontId="3"/>
  </si>
  <si>
    <t>4901001028894</t>
    <phoneticPr fontId="3"/>
  </si>
  <si>
    <t>4901001258710</t>
    <phoneticPr fontId="3"/>
  </si>
  <si>
    <t>味の素　ほんだし　３００ｇ箱</t>
    <rPh sb="0" eb="1">
      <t>アジ</t>
    </rPh>
    <rPh sb="2" eb="3">
      <t>モト</t>
    </rPh>
    <rPh sb="13" eb="14">
      <t>ハコ</t>
    </rPh>
    <phoneticPr fontId="3"/>
  </si>
  <si>
    <t>味の素　ほんだし　瓶６０ｇ</t>
    <rPh sb="0" eb="1">
      <t>アジ</t>
    </rPh>
    <rPh sb="2" eb="3">
      <t>モト</t>
    </rPh>
    <rPh sb="9" eb="10">
      <t>ビン</t>
    </rPh>
    <phoneticPr fontId="3"/>
  </si>
  <si>
    <t>味の素　中華あじ　５５ｇ瓶Ｖ</t>
    <rPh sb="0" eb="1">
      <t>アジ</t>
    </rPh>
    <rPh sb="2" eb="3">
      <t>モト</t>
    </rPh>
    <rPh sb="4" eb="6">
      <t>チュウカ</t>
    </rPh>
    <rPh sb="12" eb="13">
      <t>ビン</t>
    </rPh>
    <phoneticPr fontId="3"/>
  </si>
  <si>
    <t>エリエール　超吸収キッチンタオル４Ｒ７０カット</t>
    <rPh sb="6" eb="9">
      <t>チョウキュウシュウ</t>
    </rPh>
    <phoneticPr fontId="3"/>
  </si>
  <si>
    <t>明治　銀座キーマカリー　１５０ｇ</t>
    <rPh sb="0" eb="2">
      <t>メイジ</t>
    </rPh>
    <rPh sb="3" eb="5">
      <t>ギンザ</t>
    </rPh>
    <phoneticPr fontId="3"/>
  </si>
  <si>
    <t>明治　銀座カリー辛口　１８０ｇ</t>
    <rPh sb="0" eb="2">
      <t>メイジ</t>
    </rPh>
    <rPh sb="3" eb="5">
      <t>ギンザ</t>
    </rPh>
    <rPh sb="8" eb="10">
      <t>カラクチ</t>
    </rPh>
    <phoneticPr fontId="3"/>
  </si>
  <si>
    <t>明治　銀座ハヤシ　１８０ｇ</t>
    <rPh sb="0" eb="2">
      <t>メイジ</t>
    </rPh>
    <rPh sb="3" eb="5">
      <t>ギンザ</t>
    </rPh>
    <phoneticPr fontId="3"/>
  </si>
  <si>
    <t>明治　銀座カリー中辛　１８０ｇ</t>
    <rPh sb="0" eb="2">
      <t>メイジ</t>
    </rPh>
    <rPh sb="3" eb="5">
      <t>ギンザ</t>
    </rPh>
    <rPh sb="8" eb="10">
      <t>チュウカラ</t>
    </rPh>
    <phoneticPr fontId="3"/>
  </si>
  <si>
    <t>S＆B　おろし生にんにく　４３ｇ</t>
    <rPh sb="7" eb="8">
      <t>ナマ</t>
    </rPh>
    <phoneticPr fontId="3"/>
  </si>
  <si>
    <t>S＆B　おろし生わさび　４３ｇ</t>
    <rPh sb="7" eb="8">
      <t>ナマ</t>
    </rPh>
    <phoneticPr fontId="3"/>
  </si>
  <si>
    <t>S＆B　おろし生しょうが　４０ｇ</t>
    <rPh sb="7" eb="8">
      <t>ナマ</t>
    </rPh>
    <phoneticPr fontId="3"/>
  </si>
  <si>
    <t>Ｓ＆Ｂ　ねりからし　４３ｇ</t>
    <phoneticPr fontId="3"/>
  </si>
  <si>
    <t>永谷園　生みそタイプみそ汁　ゆうげ</t>
    <rPh sb="0" eb="3">
      <t>ナガタニエン</t>
    </rPh>
    <rPh sb="4" eb="5">
      <t>ナマ</t>
    </rPh>
    <rPh sb="12" eb="13">
      <t>シル</t>
    </rPh>
    <phoneticPr fontId="3"/>
  </si>
  <si>
    <t>4901001257973</t>
    <phoneticPr fontId="3"/>
  </si>
  <si>
    <t>0000049620467</t>
    <phoneticPr fontId="3"/>
  </si>
  <si>
    <t>4902777345055</t>
    <phoneticPr fontId="3"/>
  </si>
  <si>
    <t>4901002066598</t>
    <phoneticPr fontId="3"/>
  </si>
  <si>
    <t>4901002066567</t>
    <phoneticPr fontId="3"/>
  </si>
  <si>
    <t>4902388025865</t>
    <phoneticPr fontId="3"/>
  </si>
  <si>
    <t>ロッテ　チョコを味わうパイの実深みショコラ６９ｇ</t>
    <rPh sb="8" eb="9">
      <t>アジ</t>
    </rPh>
    <rPh sb="14" eb="15">
      <t>ミ</t>
    </rPh>
    <rPh sb="15" eb="16">
      <t>フカ</t>
    </rPh>
    <phoneticPr fontId="3"/>
  </si>
  <si>
    <t>ロッテ　パイの実　７３ｇ</t>
    <rPh sb="7" eb="8">
      <t>ミ</t>
    </rPh>
    <phoneticPr fontId="3"/>
  </si>
  <si>
    <t>おやつC　ブタメン　とんこつ味</t>
    <rPh sb="14" eb="15">
      <t>アジ</t>
    </rPh>
    <phoneticPr fontId="3"/>
  </si>
  <si>
    <t>東ハト　キャラメルコーン８０ｇ</t>
    <rPh sb="0" eb="1">
      <t>トウ</t>
    </rPh>
    <phoneticPr fontId="3"/>
  </si>
  <si>
    <t>カルビー　じゃがりこ　じゃがバター５８ｇ</t>
    <phoneticPr fontId="3"/>
  </si>
  <si>
    <t>カルビー　じゃがりこ　サラダ６０ｇ</t>
    <phoneticPr fontId="3"/>
  </si>
  <si>
    <t>カルビー　ポテト　のりしお６０ｇ</t>
    <phoneticPr fontId="3"/>
  </si>
  <si>
    <t>＄カルビー　かっぱえびせんのりしお味７０ｈ</t>
    <rPh sb="17" eb="18">
      <t>アジ</t>
    </rPh>
    <phoneticPr fontId="3"/>
  </si>
  <si>
    <t>ハウス　とんがりコーン　あっさり塩７５ｇ</t>
    <rPh sb="16" eb="17">
      <t>シオ</t>
    </rPh>
    <phoneticPr fontId="3"/>
  </si>
  <si>
    <t>（や）有楽　ブラックサンダー　プリティスタイル６０</t>
    <rPh sb="3" eb="5">
      <t>ユウラク</t>
    </rPh>
    <phoneticPr fontId="3"/>
  </si>
  <si>
    <t>プリングルズ　チーズＳ缶　５３ｇ</t>
    <rPh sb="11" eb="12">
      <t>カン</t>
    </rPh>
    <phoneticPr fontId="3"/>
  </si>
  <si>
    <t>ロッテ　トップビター　２袋入</t>
    <rPh sb="12" eb="13">
      <t>フクロ</t>
    </rPh>
    <rPh sb="13" eb="14">
      <t>イ</t>
    </rPh>
    <phoneticPr fontId="3"/>
  </si>
  <si>
    <t>ロッテ　苺トッポ　２袋</t>
    <rPh sb="4" eb="5">
      <t>イチゴ</t>
    </rPh>
    <rPh sb="10" eb="11">
      <t>フクロ</t>
    </rPh>
    <phoneticPr fontId="3"/>
  </si>
  <si>
    <t>カルビー　かっぱえびせん　甘えび５０ｇ</t>
    <rPh sb="13" eb="14">
      <t>アマ</t>
    </rPh>
    <phoneticPr fontId="3"/>
  </si>
  <si>
    <t>カルビー　じゃがりこ　チーズ５８ｇ</t>
    <phoneticPr fontId="3"/>
  </si>
  <si>
    <t>シスコ　チョコフレーク　８０ｇ</t>
    <phoneticPr fontId="3"/>
  </si>
  <si>
    <t>日清　あっさりおいしいカップヌードル</t>
    <rPh sb="0" eb="2">
      <t>ニッシン</t>
    </rPh>
    <phoneticPr fontId="3"/>
  </si>
  <si>
    <t>新潟県長岡市産こしひかり　２ｋｇ</t>
    <rPh sb="0" eb="3">
      <t>ニイガタケン</t>
    </rPh>
    <rPh sb="3" eb="5">
      <t>ナガオカ</t>
    </rPh>
    <rPh sb="5" eb="6">
      <t>シ</t>
    </rPh>
    <rPh sb="6" eb="7">
      <t>サン</t>
    </rPh>
    <phoneticPr fontId="3"/>
  </si>
  <si>
    <t>魚沼産こしひかり　２ｋｇ</t>
    <rPh sb="0" eb="3">
      <t>ウオヌマサン</t>
    </rPh>
    <phoneticPr fontId="3"/>
  </si>
  <si>
    <t>秋田県産あきたこまち　２ｋｇ</t>
    <rPh sb="0" eb="4">
      <t>アキタケンサン</t>
    </rPh>
    <phoneticPr fontId="3"/>
  </si>
  <si>
    <t>マ・マー　１．８ｍｍスパゲティ３００ｇ</t>
    <phoneticPr fontId="3"/>
  </si>
  <si>
    <t>昭和　1．８ｍｍスパゲッティ　３００ｇ</t>
    <rPh sb="0" eb="2">
      <t>ショウワ</t>
    </rPh>
    <phoneticPr fontId="3"/>
  </si>
  <si>
    <t>ハウス　とんがりコーン　焼とうもろこし７５ｇ</t>
    <rPh sb="12" eb="13">
      <t>ヤ</t>
    </rPh>
    <phoneticPr fontId="3"/>
  </si>
  <si>
    <t>カルビー　堅あげポテト　ブラックペッパー６５ｇ</t>
    <rPh sb="5" eb="6">
      <t>カタ</t>
    </rPh>
    <phoneticPr fontId="3"/>
  </si>
  <si>
    <t>カルビー　堅あげ　うすしお味６５ｇ</t>
    <rPh sb="5" eb="6">
      <t>カタ</t>
    </rPh>
    <rPh sb="13" eb="14">
      <t>アジ</t>
    </rPh>
    <phoneticPr fontId="3"/>
  </si>
  <si>
    <t>4903333277483</t>
    <phoneticPr fontId="3"/>
  </si>
  <si>
    <t>4903333066308</t>
    <phoneticPr fontId="3"/>
  </si>
  <si>
    <t>4902775057486</t>
    <phoneticPr fontId="3"/>
  </si>
  <si>
    <t>4901330573492</t>
    <phoneticPr fontId="3"/>
  </si>
  <si>
    <t>4901330573041</t>
    <phoneticPr fontId="3"/>
  </si>
  <si>
    <t>4901330198367</t>
    <phoneticPr fontId="3"/>
  </si>
  <si>
    <t>4903032238044</t>
    <phoneticPr fontId="3"/>
  </si>
  <si>
    <t>4903333135424</t>
    <phoneticPr fontId="3"/>
  </si>
  <si>
    <t>4903333217205</t>
    <phoneticPr fontId="3"/>
  </si>
  <si>
    <t>4901330198435</t>
    <phoneticPr fontId="3"/>
  </si>
  <si>
    <t>4901330574352</t>
    <phoneticPr fontId="3"/>
  </si>
  <si>
    <t>4901620125516</t>
    <phoneticPr fontId="3"/>
  </si>
  <si>
    <t>4902105252482</t>
    <phoneticPr fontId="3"/>
  </si>
  <si>
    <t>4521570310024</t>
    <phoneticPr fontId="3"/>
  </si>
  <si>
    <t>4521570110020</t>
    <phoneticPr fontId="3"/>
  </si>
  <si>
    <t>4903070090222</t>
    <phoneticPr fontId="3"/>
  </si>
  <si>
    <t>4902110304060</t>
    <phoneticPr fontId="3"/>
  </si>
  <si>
    <t>4901760424937</t>
    <phoneticPr fontId="3"/>
  </si>
  <si>
    <t>4902402873984</t>
    <phoneticPr fontId="3"/>
  </si>
  <si>
    <t>4901330563257</t>
    <phoneticPr fontId="3"/>
  </si>
  <si>
    <t>4901330910549</t>
    <phoneticPr fontId="3"/>
  </si>
  <si>
    <t>日清　あっさりおいしいカップヌードルカレー</t>
    <rPh sb="0" eb="2">
      <t>ニッシン</t>
    </rPh>
    <phoneticPr fontId="3"/>
  </si>
  <si>
    <t>日清　チキンラーメン　どんぶり</t>
    <rPh sb="0" eb="2">
      <t>ニッシン</t>
    </rPh>
    <phoneticPr fontId="3"/>
  </si>
  <si>
    <t>4902105252499</t>
    <phoneticPr fontId="3"/>
  </si>
  <si>
    <t>4902105002605</t>
    <phoneticPr fontId="3"/>
  </si>
  <si>
    <t>カルビー　ポテトデラックス　マイルドソルト味５０ｇ</t>
    <rPh sb="21" eb="22">
      <t>アジ</t>
    </rPh>
    <phoneticPr fontId="3"/>
  </si>
  <si>
    <t>湖池屋　お徳用カラムーチョ　ホットチリ味１２６ｇ</t>
    <rPh sb="0" eb="3">
      <t>コイケヤ</t>
    </rPh>
    <rPh sb="5" eb="7">
      <t>トクヨウ</t>
    </rPh>
    <rPh sb="19" eb="20">
      <t>アジ</t>
    </rPh>
    <phoneticPr fontId="3"/>
  </si>
  <si>
    <t>カルビー　ポテトデラックス　ブラックペッパー５０ｇ</t>
    <phoneticPr fontId="3"/>
  </si>
  <si>
    <t>東ハト　オールレーズン　１２枚</t>
    <rPh sb="0" eb="1">
      <t>トウ</t>
    </rPh>
    <rPh sb="14" eb="15">
      <t>マイ</t>
    </rPh>
    <phoneticPr fontId="3"/>
  </si>
  <si>
    <t>カルビー　サッポロポテトバーべQあじミニ４</t>
    <phoneticPr fontId="3"/>
  </si>
  <si>
    <t>ベビースター　ドデカイチキン７４ｇ</t>
    <phoneticPr fontId="3"/>
  </si>
  <si>
    <t>4901330643065</t>
    <phoneticPr fontId="3"/>
  </si>
  <si>
    <t>4901335156171</t>
    <phoneticPr fontId="3"/>
  </si>
  <si>
    <t>4901330643072</t>
    <phoneticPr fontId="3"/>
  </si>
  <si>
    <t>4901940029396</t>
    <phoneticPr fontId="3"/>
  </si>
  <si>
    <t>4901330121785</t>
    <phoneticPr fontId="3"/>
  </si>
  <si>
    <t>4902775034005</t>
    <phoneticPr fontId="3"/>
  </si>
  <si>
    <t>デルモンテ　ケチャップ　５００ｇ</t>
    <phoneticPr fontId="3"/>
  </si>
  <si>
    <t>エバラ　焼肉のたれ（醤油味）３００ｇ</t>
    <rPh sb="4" eb="6">
      <t>ヤキニク</t>
    </rPh>
    <rPh sb="10" eb="13">
      <t>ショウユアジ</t>
    </rPh>
    <phoneticPr fontId="3"/>
  </si>
  <si>
    <t>ネピア　プレミアムソフトティッシュ１８０組３６０枚</t>
    <rPh sb="20" eb="21">
      <t>クミ</t>
    </rPh>
    <rPh sb="24" eb="25">
      <t>マイ</t>
    </rPh>
    <phoneticPr fontId="3"/>
  </si>
  <si>
    <t>サランラップ　２２ｃｍ×２０ｃｍミニ</t>
    <phoneticPr fontId="3"/>
  </si>
  <si>
    <t>ビオレU　ポンプ４８０ｍｌ</t>
    <phoneticPr fontId="3"/>
  </si>
  <si>
    <t>キュキュット　クリア除菌本体　２４０ｍｌ</t>
    <rPh sb="10" eb="12">
      <t>ジョキン</t>
    </rPh>
    <rPh sb="12" eb="14">
      <t>ホンタイ</t>
    </rPh>
    <phoneticPr fontId="3"/>
  </si>
  <si>
    <t>センター塩　食卓塩　１００ｇ</t>
    <rPh sb="4" eb="5">
      <t>シオ</t>
    </rPh>
    <rPh sb="6" eb="9">
      <t>ショクタクエン</t>
    </rPh>
    <phoneticPr fontId="3"/>
  </si>
  <si>
    <t>エルフォーレ　１２ＲＳ</t>
    <phoneticPr fontId="3"/>
  </si>
  <si>
    <t>エリエール　超吸収キッチンタオル４R７０カット</t>
    <rPh sb="6" eb="9">
      <t>チョウキュウシュウ</t>
    </rPh>
    <phoneticPr fontId="3"/>
  </si>
  <si>
    <t>ハウス　おろし生わさび　４３ｇ</t>
    <rPh sb="7" eb="8">
      <t>ナマ</t>
    </rPh>
    <phoneticPr fontId="3"/>
  </si>
  <si>
    <t>ハウス　おろし生しょうが　４０ｇ</t>
    <rPh sb="7" eb="8">
      <t>ナマ</t>
    </rPh>
    <phoneticPr fontId="3"/>
  </si>
  <si>
    <t>ハウス　ねりからし　４３ｇ</t>
    <phoneticPr fontId="3"/>
  </si>
  <si>
    <t>4901121178523</t>
    <phoneticPr fontId="3"/>
  </si>
  <si>
    <t>4901670110227</t>
    <phoneticPr fontId="3"/>
  </si>
  <si>
    <t>4901301336323</t>
    <phoneticPr fontId="3"/>
  </si>
  <si>
    <t>4901301288561</t>
    <phoneticPr fontId="3"/>
  </si>
  <si>
    <t>4530017000015</t>
    <phoneticPr fontId="3"/>
  </si>
  <si>
    <t>4902402652770</t>
    <phoneticPr fontId="3"/>
  </si>
  <si>
    <t>4902402653036</t>
    <phoneticPr fontId="3"/>
  </si>
  <si>
    <t>4902402652800</t>
    <phoneticPr fontId="3"/>
  </si>
  <si>
    <t>かどや　金印純正ごま油　２００ｇ</t>
    <rPh sb="4" eb="6">
      <t>キンジルシ</t>
    </rPh>
    <rPh sb="6" eb="8">
      <t>ジュンセイ</t>
    </rPh>
    <rPh sb="10" eb="11">
      <t>アブラ</t>
    </rPh>
    <phoneticPr fontId="3"/>
  </si>
  <si>
    <t>味の素　ほんだし　４５０ｇ箱</t>
    <rPh sb="0" eb="1">
      <t>アジ</t>
    </rPh>
    <rPh sb="2" eb="3">
      <t>モト</t>
    </rPh>
    <rPh sb="13" eb="14">
      <t>ハコ</t>
    </rPh>
    <phoneticPr fontId="3"/>
  </si>
  <si>
    <t>千葉県産こしひかり　２ｋｇ</t>
    <rPh sb="0" eb="3">
      <t>チバケン</t>
    </rPh>
    <rPh sb="3" eb="4">
      <t>サン</t>
    </rPh>
    <phoneticPr fontId="3"/>
  </si>
  <si>
    <t>揖保乃糸　そうめん　３００ｇ</t>
    <rPh sb="0" eb="4">
      <t>イボノイト</t>
    </rPh>
    <phoneticPr fontId="3"/>
  </si>
  <si>
    <t>ネスレ　ミロオリジナル　袋２４０ｇ</t>
    <rPh sb="12" eb="13">
      <t>フクロ</t>
    </rPh>
    <phoneticPr fontId="3"/>
  </si>
  <si>
    <t>4901001257980</t>
    <phoneticPr fontId="3"/>
  </si>
  <si>
    <t>4902201407625</t>
    <phoneticPr fontId="3"/>
  </si>
  <si>
    <t>4903078090284</t>
    <phoneticPr fontId="3"/>
  </si>
  <si>
    <t>ワンダ　極　ブラック　B缶４００ｇ</t>
    <rPh sb="4" eb="5">
      <t>キワ</t>
    </rPh>
    <rPh sb="12" eb="13">
      <t>カン</t>
    </rPh>
    <phoneticPr fontId="3"/>
  </si>
  <si>
    <t>キリン　ＩＭＵＳＥ（イミューズ）レモンＰ５００ｍｌ</t>
    <phoneticPr fontId="3"/>
  </si>
  <si>
    <t>キリン　生茶　ライフプラス免疫アシストＰ５２５ｍｌ</t>
    <rPh sb="4" eb="6">
      <t>ナマチャ</t>
    </rPh>
    <rPh sb="13" eb="15">
      <t>メンエキ</t>
    </rPh>
    <phoneticPr fontId="3"/>
  </si>
  <si>
    <t>カルピスソーダ　やさしいくちどけＰ４３０ｍｌ</t>
    <phoneticPr fontId="3"/>
  </si>
  <si>
    <t>ワンダ　極　微糖Ｂ缶３７０ｇｇ</t>
    <rPh sb="4" eb="5">
      <t>キワ</t>
    </rPh>
    <rPh sb="6" eb="8">
      <t>ビトウ</t>
    </rPh>
    <rPh sb="9" eb="10">
      <t>カン</t>
    </rPh>
    <phoneticPr fontId="3"/>
  </si>
  <si>
    <t>4514603377910</t>
    <phoneticPr fontId="3"/>
  </si>
  <si>
    <t>4909411086459</t>
    <phoneticPr fontId="3"/>
  </si>
  <si>
    <t>4909411087593</t>
    <phoneticPr fontId="3"/>
  </si>
  <si>
    <t>4901340056479</t>
    <phoneticPr fontId="3"/>
  </si>
  <si>
    <t>4514603345117</t>
    <phoneticPr fontId="3"/>
  </si>
  <si>
    <t>ジョージア　ディープブラック　１８５ｇ</t>
    <phoneticPr fontId="3"/>
  </si>
  <si>
    <t>ポッカＳ　玉露入りお茶Ｐ２７５ｍｌ</t>
    <rPh sb="5" eb="8">
      <t>ギョクロイ</t>
    </rPh>
    <rPh sb="10" eb="11">
      <t>チャ</t>
    </rPh>
    <phoneticPr fontId="3"/>
  </si>
  <si>
    <t>ブルボン　天然名水　出羽三山の水Ｐ５００ｍｌ</t>
    <rPh sb="5" eb="7">
      <t>テンネン</t>
    </rPh>
    <rPh sb="7" eb="9">
      <t>メイスイ</t>
    </rPh>
    <rPh sb="10" eb="14">
      <t>デワサンザン</t>
    </rPh>
    <rPh sb="15" eb="16">
      <t>ミズ</t>
    </rPh>
    <phoneticPr fontId="3"/>
  </si>
  <si>
    <t>ジョージア　エメラルドマウンテン１８５ｇ</t>
    <phoneticPr fontId="3"/>
  </si>
  <si>
    <t>4902102133425</t>
    <phoneticPr fontId="3"/>
  </si>
  <si>
    <t>4901360334711</t>
    <phoneticPr fontId="3"/>
  </si>
  <si>
    <t>ＤＭ　食塩無添加トマトジュースＰ９００ｇ</t>
    <rPh sb="3" eb="8">
      <t>ショクエンムテンカ</t>
    </rPh>
    <phoneticPr fontId="3"/>
  </si>
  <si>
    <t>ウィルキンソン　タンサン　Ｐ５００ｍｌ</t>
    <phoneticPr fontId="3"/>
  </si>
  <si>
    <t>ＤＭ　トマトジュース　Ｐ９００ｇ</t>
    <phoneticPr fontId="3"/>
  </si>
  <si>
    <t>4902204412541</t>
    <phoneticPr fontId="3"/>
  </si>
  <si>
    <t>4514603325812</t>
    <phoneticPr fontId="3"/>
  </si>
  <si>
    <t>4902204412534</t>
    <phoneticPr fontId="3"/>
  </si>
  <si>
    <t>システムＰ　ＰＰ玉ひも　５０ｍｍ×２００ｍ</t>
    <rPh sb="8" eb="9">
      <t>タマ</t>
    </rPh>
    <phoneticPr fontId="3"/>
  </si>
  <si>
    <t>システムＰ　マイクロファイバークロス　５枚入</t>
    <rPh sb="20" eb="21">
      <t>マイ</t>
    </rPh>
    <rPh sb="21" eb="22">
      <t>イ</t>
    </rPh>
    <phoneticPr fontId="3"/>
  </si>
  <si>
    <t>4562224314388</t>
    <phoneticPr fontId="3"/>
  </si>
  <si>
    <t>4562224310717</t>
    <phoneticPr fontId="3"/>
  </si>
  <si>
    <t>ＹＢＣ　Ｓ筒チップスター　うすしお味５０ｇ</t>
    <rPh sb="5" eb="6">
      <t>ツツ</t>
    </rPh>
    <rPh sb="17" eb="18">
      <t>アジ</t>
    </rPh>
    <phoneticPr fontId="3"/>
  </si>
  <si>
    <t>グリコ　アーモンドクラッシュポッキー　２袋</t>
    <rPh sb="20" eb="21">
      <t>フクロ</t>
    </rPh>
    <phoneticPr fontId="3"/>
  </si>
  <si>
    <t>4903015522658</t>
    <phoneticPr fontId="3"/>
  </si>
  <si>
    <t>4901005511170</t>
    <phoneticPr fontId="3"/>
  </si>
  <si>
    <t>＄亀田　２０枚　ソフトサラダ</t>
    <rPh sb="1" eb="3">
      <t>カメダ</t>
    </rPh>
    <rPh sb="6" eb="7">
      <t>マイ</t>
    </rPh>
    <phoneticPr fontId="3"/>
  </si>
  <si>
    <t>不二家　カントリーマアム　チョコまみれＭＤ１２７ｇ</t>
    <rPh sb="0" eb="3">
      <t>フジヤ</t>
    </rPh>
    <phoneticPr fontId="3"/>
  </si>
  <si>
    <t>明治　メルティーキッスプレミアムショコラ　６０ｇ</t>
    <rPh sb="0" eb="2">
      <t>メイジ</t>
    </rPh>
    <phoneticPr fontId="3"/>
  </si>
  <si>
    <t>4901313037508</t>
    <phoneticPr fontId="3"/>
  </si>
  <si>
    <t>4902555271194</t>
    <phoneticPr fontId="3"/>
  </si>
  <si>
    <t>カルビー　ポテト　のりしお２８ｇ</t>
    <phoneticPr fontId="3"/>
  </si>
  <si>
    <t>カルビー　かっぱえびせん　８５ｇ</t>
    <phoneticPr fontId="3"/>
  </si>
  <si>
    <t>リスカ　うまい輪　メンタイ味７５ｇ</t>
    <rPh sb="7" eb="8">
      <t>ワ</t>
    </rPh>
    <rPh sb="13" eb="14">
      <t>アジ</t>
    </rPh>
    <phoneticPr fontId="3"/>
  </si>
  <si>
    <t>カルビー　ポテト　うすしお６０ｇ</t>
    <phoneticPr fontId="3"/>
  </si>
  <si>
    <t>4901330512385</t>
    <phoneticPr fontId="3"/>
  </si>
  <si>
    <t>4901330106355</t>
    <phoneticPr fontId="3"/>
  </si>
  <si>
    <t>4903326111183</t>
    <phoneticPr fontId="3"/>
  </si>
  <si>
    <t>エリエール　イーナティシュー　１５０W５Ｐ</t>
    <phoneticPr fontId="3"/>
  </si>
  <si>
    <t>亀田　ハッピーターン　１０８ｇ</t>
    <rPh sb="0" eb="2">
      <t>カメダ</t>
    </rPh>
    <phoneticPr fontId="3"/>
  </si>
  <si>
    <t>ポッカＳ　ＬＥＭＯＮＭＡＤＥオリジナルＰ５００ｍｌ</t>
    <phoneticPr fontId="3"/>
  </si>
  <si>
    <t>4902105252484</t>
    <phoneticPr fontId="3"/>
  </si>
  <si>
    <t>アヲハタ　５５オレンジマーマレード　１５０ｇ</t>
    <phoneticPr fontId="3"/>
  </si>
  <si>
    <t>カルピスソーダ　缶３５０ｍｌ</t>
    <rPh sb="8" eb="9">
      <t>カン</t>
    </rPh>
    <phoneticPr fontId="3"/>
  </si>
  <si>
    <t>午後の紅茶　ミルクティー自販機Ｐ５００ｍｌ</t>
    <rPh sb="0" eb="2">
      <t>ゴゴ</t>
    </rPh>
    <rPh sb="3" eb="5">
      <t>コウチャ</t>
    </rPh>
    <rPh sb="12" eb="15">
      <t>ジハンキ</t>
    </rPh>
    <phoneticPr fontId="3"/>
  </si>
  <si>
    <t>カルビー　ポテト　のりしお　６０ｇ</t>
    <phoneticPr fontId="3"/>
  </si>
  <si>
    <t>4901340228825</t>
    <phoneticPr fontId="3"/>
  </si>
  <si>
    <t>490151522378</t>
    <phoneticPr fontId="3"/>
  </si>
  <si>
    <t>カルビー　Ｊａｇａｂｅｅ　うすしお味８０ｇ</t>
    <rPh sb="17" eb="18">
      <t>アジ</t>
    </rPh>
    <phoneticPr fontId="3"/>
  </si>
  <si>
    <t>カルビー　Ｊａｇａｂｅｅうすしお味ＳＴＰ　４０ｇ</t>
    <rPh sb="16" eb="17">
      <t>アジ</t>
    </rPh>
    <phoneticPr fontId="3"/>
  </si>
  <si>
    <t>カルビー　ＪａｇａｂｅｅバターしょうＳＴＰ　４０ｇ</t>
    <phoneticPr fontId="3"/>
  </si>
  <si>
    <t>カルビー　Ｊａｇａｂｅｅ　バターしょうゆ味８０ｇ</t>
    <rPh sb="20" eb="21">
      <t>アジ</t>
    </rPh>
    <phoneticPr fontId="3"/>
  </si>
  <si>
    <t>カルビー　Ｊａｇａｂｅｅ　しあわせバタ～８０ｇ</t>
    <phoneticPr fontId="3"/>
  </si>
  <si>
    <t>4901330646257</t>
    <phoneticPr fontId="3"/>
  </si>
  <si>
    <t>丸彦　うまい煎餅　８枚</t>
    <rPh sb="0" eb="2">
      <t>マルヒコ</t>
    </rPh>
    <rPh sb="6" eb="8">
      <t>センベイ</t>
    </rPh>
    <rPh sb="10" eb="11">
      <t>マイ</t>
    </rPh>
    <phoneticPr fontId="3"/>
  </si>
  <si>
    <t>湖池屋　ポリンキーあっさりコーン６０ｇ</t>
    <rPh sb="0" eb="3">
      <t>コイケヤ</t>
    </rPh>
    <phoneticPr fontId="3"/>
  </si>
  <si>
    <t>湖池屋　スコーン　やみつきバーべキュー７５ｇ</t>
    <rPh sb="0" eb="3">
      <t>コイケヤ</t>
    </rPh>
    <phoneticPr fontId="3"/>
  </si>
  <si>
    <t>湖池屋　ポリンキーピリうまめんたい　６０ｇ</t>
    <rPh sb="0" eb="3">
      <t>コイケヤ</t>
    </rPh>
    <phoneticPr fontId="3"/>
  </si>
  <si>
    <t>4978041028061</t>
    <phoneticPr fontId="3"/>
  </si>
  <si>
    <t>4901335708295</t>
    <phoneticPr fontId="3"/>
  </si>
  <si>
    <t>4901335508288</t>
    <phoneticPr fontId="3"/>
  </si>
  <si>
    <t>亀田　こつぶっこ４連</t>
    <rPh sb="0" eb="2">
      <t>カメダ</t>
    </rPh>
    <rPh sb="9" eb="10">
      <t>レン</t>
    </rPh>
    <phoneticPr fontId="3"/>
  </si>
  <si>
    <t>亀田　海苔ピーパック　８５ｇ</t>
    <rPh sb="0" eb="2">
      <t>カメダ</t>
    </rPh>
    <rPh sb="3" eb="5">
      <t>ノリ</t>
    </rPh>
    <phoneticPr fontId="3"/>
  </si>
  <si>
    <t>4901313052617</t>
    <phoneticPr fontId="3"/>
  </si>
  <si>
    <t>4901313937792</t>
    <phoneticPr fontId="3"/>
  </si>
  <si>
    <t>4901335708288</t>
    <phoneticPr fontId="3"/>
  </si>
  <si>
    <t>マルコメ　カップ料亭の味しじみ１食</t>
    <rPh sb="8" eb="10">
      <t>リョウテイ</t>
    </rPh>
    <rPh sb="11" eb="12">
      <t>アジ</t>
    </rPh>
    <rPh sb="16" eb="17">
      <t>ショク</t>
    </rPh>
    <phoneticPr fontId="3"/>
  </si>
  <si>
    <t>マルコメ　カップ料亭の味あさり１食</t>
    <rPh sb="8" eb="10">
      <t>リョウテイ</t>
    </rPh>
    <rPh sb="11" eb="12">
      <t>アジ</t>
    </rPh>
    <rPh sb="16" eb="17">
      <t>ショク</t>
    </rPh>
    <phoneticPr fontId="3"/>
  </si>
  <si>
    <t>東ハト　キャラメルコーン　モンブラン味７７ｇ</t>
    <rPh sb="0" eb="1">
      <t>トウ</t>
    </rPh>
    <rPh sb="18" eb="19">
      <t>アジ</t>
    </rPh>
    <phoneticPr fontId="3"/>
  </si>
  <si>
    <t>東ハト　スイートポテト味７７ｇ</t>
    <rPh sb="0" eb="1">
      <t>トウ</t>
    </rPh>
    <rPh sb="11" eb="12">
      <t>アジ</t>
    </rPh>
    <phoneticPr fontId="3"/>
  </si>
  <si>
    <t>エース　わかめラーメン　ごま・しょうゆ</t>
    <phoneticPr fontId="3"/>
  </si>
  <si>
    <t>4902713128124</t>
    <phoneticPr fontId="3"/>
  </si>
  <si>
    <t>4902713128131</t>
    <phoneticPr fontId="3"/>
  </si>
  <si>
    <t>4901940111893</t>
    <phoneticPr fontId="3"/>
  </si>
  <si>
    <t>4901940111909</t>
    <phoneticPr fontId="3"/>
  </si>
  <si>
    <t>4901071215583</t>
    <phoneticPr fontId="3"/>
  </si>
  <si>
    <t>サッポロ一番　みそラーメンどんぶり</t>
    <rPh sb="4" eb="6">
      <t>イチバン</t>
    </rPh>
    <phoneticPr fontId="3"/>
  </si>
  <si>
    <t>星東　タジマヤ片栗粉　２００ｇ</t>
    <rPh sb="0" eb="1">
      <t>ホシ</t>
    </rPh>
    <rPh sb="1" eb="2">
      <t>ヒガシ</t>
    </rPh>
    <rPh sb="7" eb="10">
      <t>カタクリコ</t>
    </rPh>
    <phoneticPr fontId="3"/>
  </si>
  <si>
    <t>【萬】いつでも新鮮しぼりたて生しょうゆ　４５０ｍｌ</t>
    <rPh sb="1" eb="2">
      <t>マン</t>
    </rPh>
    <rPh sb="7" eb="9">
      <t>シンセン</t>
    </rPh>
    <rPh sb="14" eb="15">
      <t>ナマ</t>
    </rPh>
    <phoneticPr fontId="3"/>
  </si>
  <si>
    <t>モンスター　キューバリブレ　缶３５５ｍｌ</t>
    <rPh sb="14" eb="15">
      <t>カン</t>
    </rPh>
    <phoneticPr fontId="3"/>
  </si>
  <si>
    <t>アサヒ　モンスターゼロシュガー３５５ｍｌ</t>
    <phoneticPr fontId="3"/>
  </si>
  <si>
    <t>モンスターエナジー　ロッジ缶３５５ｍｌ</t>
    <rPh sb="13" eb="14">
      <t>カン</t>
    </rPh>
    <phoneticPr fontId="3"/>
  </si>
  <si>
    <t>4901734043874</t>
    <phoneticPr fontId="3"/>
  </si>
  <si>
    <t>4901486050229</t>
    <phoneticPr fontId="3"/>
  </si>
  <si>
    <t>4901515122484</t>
    <phoneticPr fontId="3"/>
  </si>
  <si>
    <t>4897036691953</t>
    <phoneticPr fontId="3"/>
  </si>
  <si>
    <t>4897036690055</t>
    <phoneticPr fontId="3"/>
  </si>
  <si>
    <t>4897036691144</t>
    <phoneticPr fontId="3"/>
  </si>
  <si>
    <t>ミツカン　味ぽん　１５０ｍｌ</t>
    <rPh sb="5" eb="6">
      <t>アジ</t>
    </rPh>
    <phoneticPr fontId="3"/>
  </si>
  <si>
    <t>エリエール　１２ＲＳトイレットティシュー</t>
    <phoneticPr fontId="3"/>
  </si>
  <si>
    <t>ヒロ　３層不織布マスク９９％　ホワイト５０Ｐ</t>
    <rPh sb="4" eb="5">
      <t>ソウ</t>
    </rPh>
    <rPh sb="5" eb="8">
      <t>フショクフ</t>
    </rPh>
    <phoneticPr fontId="3"/>
  </si>
  <si>
    <t>永谷園　一杯でしじみ７０個分みそ汁</t>
    <rPh sb="0" eb="3">
      <t>ナガタニエン</t>
    </rPh>
    <rPh sb="4" eb="6">
      <t>イッパイ</t>
    </rPh>
    <rPh sb="12" eb="13">
      <t>コ</t>
    </rPh>
    <rPh sb="13" eb="14">
      <t>ブン</t>
    </rPh>
    <rPh sb="16" eb="17">
      <t>シル</t>
    </rPh>
    <phoneticPr fontId="3"/>
  </si>
  <si>
    <t>サランラップ　３０ｃｍ×２０ｍ</t>
    <phoneticPr fontId="3"/>
  </si>
  <si>
    <t>ネピア　アネモネ　１２Ｒダブル</t>
    <phoneticPr fontId="3"/>
  </si>
  <si>
    <t>0000049685114</t>
    <phoneticPr fontId="3"/>
  </si>
  <si>
    <t>4902011822458</t>
    <phoneticPr fontId="3"/>
  </si>
  <si>
    <t>4562350980303</t>
    <phoneticPr fontId="3"/>
  </si>
  <si>
    <t>4902388022000</t>
    <phoneticPr fontId="3"/>
  </si>
  <si>
    <t>4901670110210</t>
    <phoneticPr fontId="3"/>
  </si>
  <si>
    <t>4901121280967</t>
    <phoneticPr fontId="3"/>
  </si>
  <si>
    <t>森永　チョコボール　ピーナッツ２８ｇ</t>
    <rPh sb="0" eb="2">
      <t>モリナガ</t>
    </rPh>
    <phoneticPr fontId="3"/>
  </si>
  <si>
    <t>プリングルズ　サワークリーム＆オニオン　５３ｇ</t>
    <phoneticPr fontId="3"/>
  </si>
  <si>
    <t>サントリー　天然水（南アルプス）自販Ｐ５５０ｍｌ</t>
    <rPh sb="6" eb="9">
      <t>テンネンスイ</t>
    </rPh>
    <rPh sb="10" eb="11">
      <t>ミナミ</t>
    </rPh>
    <rPh sb="16" eb="18">
      <t>ジハン</t>
    </rPh>
    <phoneticPr fontId="3"/>
  </si>
  <si>
    <t>カルピスウォーター　Ｐ５００ｍｌ（自販機用）</t>
    <rPh sb="17" eb="21">
      <t>ジハンキヨウ</t>
    </rPh>
    <phoneticPr fontId="3"/>
  </si>
  <si>
    <t>不二家　ネクター　ピーチ３５０ｇ</t>
    <rPh sb="0" eb="3">
      <t>フジヤ</t>
    </rPh>
    <phoneticPr fontId="3"/>
  </si>
  <si>
    <t>ポッカＳ　キレートレモン　１５５ｍｌビン</t>
    <phoneticPr fontId="3"/>
  </si>
  <si>
    <t>モンスターエナジー　パイプラインパンチ缶３５５ｍｌ</t>
    <rPh sb="19" eb="20">
      <t>カン</t>
    </rPh>
    <phoneticPr fontId="3"/>
  </si>
  <si>
    <t>ポッカＳ　玉露入りお茶　Ｐ６００ｍｌ</t>
    <rPh sb="5" eb="7">
      <t>ギョクロ</t>
    </rPh>
    <rPh sb="7" eb="8">
      <t>イ</t>
    </rPh>
    <rPh sb="10" eb="11">
      <t>チャ</t>
    </rPh>
    <phoneticPr fontId="3"/>
  </si>
  <si>
    <t>三ツ矢　サイダー　缶５００ｍｌ</t>
    <rPh sb="0" eb="1">
      <t>ミ</t>
    </rPh>
    <rPh sb="2" eb="3">
      <t>ヤ</t>
    </rPh>
    <rPh sb="9" eb="10">
      <t>カン</t>
    </rPh>
    <phoneticPr fontId="3"/>
  </si>
  <si>
    <t>＄ポッカＳＬＥＭＯＮＭＡＤＥソーダ　Ｐ５００ｍｌ</t>
    <phoneticPr fontId="3"/>
  </si>
  <si>
    <t>4897036692233</t>
    <phoneticPr fontId="3"/>
  </si>
  <si>
    <t>4582409177942</t>
    <phoneticPr fontId="3"/>
  </si>
  <si>
    <t>4514603217513</t>
    <phoneticPr fontId="3"/>
  </si>
  <si>
    <t>4589850827495</t>
    <phoneticPr fontId="3"/>
  </si>
  <si>
    <t>エルフォーレ　１２ＲＷ</t>
    <phoneticPr fontId="3"/>
  </si>
  <si>
    <t>キリン　世界のキッチンから　ソルティライチＰ５００</t>
    <rPh sb="4" eb="6">
      <t>セカイ</t>
    </rPh>
    <phoneticPr fontId="3"/>
  </si>
  <si>
    <t>エース　スーパーカップＭＡＸしょうゆラーメン</t>
    <phoneticPr fontId="3"/>
  </si>
  <si>
    <t>エース　スーパーカップＭＡＸみそラーメン</t>
    <phoneticPr fontId="3"/>
  </si>
  <si>
    <t>4901071231682</t>
    <phoneticPr fontId="3"/>
  </si>
  <si>
    <t>4901071231699</t>
    <phoneticPr fontId="3"/>
  </si>
  <si>
    <t>おやつＣ　ブタメン　とんこつ味</t>
    <rPh sb="14" eb="15">
      <t>アジ</t>
    </rPh>
    <phoneticPr fontId="3"/>
  </si>
  <si>
    <t>グリコ　プリッツ　旨サラダ９袋</t>
    <rPh sb="9" eb="10">
      <t>ウマ</t>
    </rPh>
    <rPh sb="14" eb="15">
      <t>フクロ</t>
    </rPh>
    <phoneticPr fontId="3"/>
  </si>
  <si>
    <t>4901005520813</t>
    <phoneticPr fontId="3"/>
  </si>
  <si>
    <t>ＹＢＣ　Ｓ筒チップスター　のりしお５０ｇ</t>
    <rPh sb="5" eb="6">
      <t>ツツ</t>
    </rPh>
    <phoneticPr fontId="3"/>
  </si>
  <si>
    <t>4903015522757</t>
    <phoneticPr fontId="3"/>
  </si>
  <si>
    <t>湖池屋　スコーン　やみつきバーベキュー７５ｇ</t>
    <rPh sb="0" eb="3">
      <t>コイケヤ</t>
    </rPh>
    <phoneticPr fontId="3"/>
  </si>
  <si>
    <t>キー　グランドテイスト　甘い香りのモカ３３０ｇ</t>
    <rPh sb="12" eb="13">
      <t>アマ</t>
    </rPh>
    <rPh sb="14" eb="15">
      <t>カオ</t>
    </rPh>
    <phoneticPr fontId="3"/>
  </si>
  <si>
    <t>ミツカン　味ぽん　３６０ｍｌ</t>
    <rPh sb="5" eb="6">
      <t>アジ</t>
    </rPh>
    <phoneticPr fontId="3"/>
  </si>
  <si>
    <t>0000049685183</t>
    <phoneticPr fontId="3"/>
  </si>
  <si>
    <t>Ｓ＆Ｂ　おろし生しょうが　４０ｇ</t>
    <rPh sb="7" eb="8">
      <t>ナマ</t>
    </rPh>
    <phoneticPr fontId="3"/>
  </si>
  <si>
    <t>ＱＰ　マヨネーズ　４５０ｇ</t>
    <phoneticPr fontId="3"/>
  </si>
  <si>
    <t>はごろも　シーチキンＬ　１４０ｇ</t>
    <phoneticPr fontId="3"/>
  </si>
  <si>
    <t>Ｓ＆Ｂ　おろし生わさび　４３ｇ</t>
    <rPh sb="7" eb="8">
      <t>ナマ</t>
    </rPh>
    <phoneticPr fontId="3"/>
  </si>
  <si>
    <t>4901577042072</t>
    <phoneticPr fontId="3"/>
  </si>
  <si>
    <t>4902560015011</t>
    <phoneticPr fontId="3"/>
  </si>
  <si>
    <t>クノール　オニオンコンソメ　３袋</t>
    <rPh sb="15" eb="16">
      <t>フクロ</t>
    </rPh>
    <phoneticPr fontId="3"/>
  </si>
  <si>
    <t>クノール　コーンクリーム　３袋</t>
    <rPh sb="14" eb="15">
      <t>フクロ</t>
    </rPh>
    <phoneticPr fontId="3"/>
  </si>
  <si>
    <t>永谷園　煮込みラーメン　しょうゆ味２人前×２回分</t>
    <rPh sb="0" eb="3">
      <t>ナガタニエン</t>
    </rPh>
    <rPh sb="4" eb="6">
      <t>ニコ</t>
    </rPh>
    <rPh sb="16" eb="17">
      <t>アジ</t>
    </rPh>
    <rPh sb="18" eb="20">
      <t>ニンマエ</t>
    </rPh>
    <rPh sb="22" eb="24">
      <t>カイブン</t>
    </rPh>
    <phoneticPr fontId="3"/>
  </si>
  <si>
    <t>永谷園　ゆうげ　６袋入</t>
    <rPh sb="0" eb="3">
      <t>ナガタニエン</t>
    </rPh>
    <rPh sb="9" eb="10">
      <t>フクロ</t>
    </rPh>
    <rPh sb="10" eb="11">
      <t>イ</t>
    </rPh>
    <phoneticPr fontId="3"/>
  </si>
  <si>
    <t>永谷園　あさげ　６袋入</t>
    <rPh sb="0" eb="3">
      <t>ナガタニエン</t>
    </rPh>
    <rPh sb="9" eb="11">
      <t>フクロイ</t>
    </rPh>
    <phoneticPr fontId="3"/>
  </si>
  <si>
    <t>4901001135776</t>
    <phoneticPr fontId="3"/>
  </si>
  <si>
    <t>4901001135714</t>
    <phoneticPr fontId="3"/>
  </si>
  <si>
    <t>4902388024011</t>
    <phoneticPr fontId="3"/>
  </si>
  <si>
    <t>湖池屋　スリムバッグＳＴポテトのり塩４０ｇ</t>
    <rPh sb="0" eb="3">
      <t>コイケヤ</t>
    </rPh>
    <rPh sb="17" eb="18">
      <t>シオ</t>
    </rPh>
    <phoneticPr fontId="3"/>
  </si>
  <si>
    <t>湖池屋　スリムバッグカラムーチョホットﾁﾘ味４０ｇ</t>
    <rPh sb="0" eb="3">
      <t>コイケヤ</t>
    </rPh>
    <rPh sb="21" eb="22">
      <t>アジ</t>
    </rPh>
    <phoneticPr fontId="3"/>
  </si>
  <si>
    <t>4901335136098</t>
    <phoneticPr fontId="3"/>
  </si>
  <si>
    <t>4901335140439</t>
    <phoneticPr fontId="3"/>
  </si>
  <si>
    <t>（や）有楽　　ブラックサンダー　１本</t>
    <rPh sb="3" eb="5">
      <t>ユウラク</t>
    </rPh>
    <rPh sb="17" eb="18">
      <t>ホン</t>
    </rPh>
    <phoneticPr fontId="3"/>
  </si>
  <si>
    <t>グリコ　ＤＯＮＢＵＲＩ亭　牛丼１６０ｇ</t>
    <rPh sb="11" eb="12">
      <t>テイ</t>
    </rPh>
    <rPh sb="13" eb="15">
      <t>ギュウドン</t>
    </rPh>
    <phoneticPr fontId="3"/>
  </si>
  <si>
    <t>グリコ　ＤＯＮＢＵＲＩ亭　親子丼２１０ｇ</t>
    <rPh sb="11" eb="12">
      <t>テイ</t>
    </rPh>
    <rPh sb="13" eb="16">
      <t>オヤコドン</t>
    </rPh>
    <phoneticPr fontId="3"/>
  </si>
  <si>
    <t>カンロ　ピュレグミ　レモン５６ｇ</t>
    <phoneticPr fontId="3"/>
  </si>
  <si>
    <t>グリコ　ＤＯＮＢＵＲＩ亭　中華丼２１０ｇ</t>
    <rPh sb="11" eb="12">
      <t>テイ</t>
    </rPh>
    <rPh sb="13" eb="16">
      <t>チュウカドン</t>
    </rPh>
    <phoneticPr fontId="3"/>
  </si>
  <si>
    <t>味の素　ほんだし　箱１２０ｇ</t>
    <rPh sb="0" eb="1">
      <t>アジ</t>
    </rPh>
    <rPh sb="2" eb="3">
      <t>モト</t>
    </rPh>
    <rPh sb="9" eb="10">
      <t>ハコ</t>
    </rPh>
    <phoneticPr fontId="3"/>
  </si>
  <si>
    <t>4901351058626</t>
    <phoneticPr fontId="3"/>
  </si>
  <si>
    <t>4901005232013</t>
    <phoneticPr fontId="3"/>
  </si>
  <si>
    <t>4901001084159</t>
    <phoneticPr fontId="3"/>
  </si>
  <si>
    <t>エリエール　イーナティシュー　１５０Ｗ５Ｐ</t>
    <phoneticPr fontId="3"/>
  </si>
  <si>
    <t>ボス　カフェオレ　１８５ｇ</t>
    <phoneticPr fontId="3"/>
  </si>
  <si>
    <t>アタック　高浸透リセットパワー８００ｇ</t>
    <rPh sb="5" eb="6">
      <t>タカ</t>
    </rPh>
    <rPh sb="6" eb="8">
      <t>シントウ</t>
    </rPh>
    <phoneticPr fontId="3"/>
  </si>
  <si>
    <t>大黒　力うどん</t>
    <rPh sb="0" eb="2">
      <t>ダイコク</t>
    </rPh>
    <rPh sb="3" eb="4">
      <t>チカラ</t>
    </rPh>
    <phoneticPr fontId="3"/>
  </si>
  <si>
    <t>明星　一平ちゃん夜店の焼そば　旨辛明太子味</t>
    <rPh sb="0" eb="2">
      <t>ミョウジョウ</t>
    </rPh>
    <rPh sb="3" eb="5">
      <t>イッペイ</t>
    </rPh>
    <rPh sb="8" eb="10">
      <t>ヨミセ</t>
    </rPh>
    <rPh sb="11" eb="12">
      <t>ヤ</t>
    </rPh>
    <rPh sb="15" eb="16">
      <t>ウマ</t>
    </rPh>
    <rPh sb="16" eb="17">
      <t>カラ</t>
    </rPh>
    <rPh sb="17" eb="20">
      <t>メンタイコ</t>
    </rPh>
    <rPh sb="20" eb="21">
      <t>アジ</t>
    </rPh>
    <phoneticPr fontId="3"/>
  </si>
  <si>
    <t>明星　一平ちゃん夜店の焼そば　旨辛塩だれ味</t>
    <rPh sb="0" eb="2">
      <t>ミョウジョウ</t>
    </rPh>
    <rPh sb="3" eb="5">
      <t>イッペイ</t>
    </rPh>
    <rPh sb="8" eb="10">
      <t>ヨミセ</t>
    </rPh>
    <rPh sb="11" eb="12">
      <t>ヤ</t>
    </rPh>
    <rPh sb="15" eb="16">
      <t>ウマ</t>
    </rPh>
    <rPh sb="16" eb="17">
      <t>カラ</t>
    </rPh>
    <rPh sb="17" eb="18">
      <t>シオ</t>
    </rPh>
    <rPh sb="20" eb="21">
      <t>アジ</t>
    </rPh>
    <phoneticPr fontId="3"/>
  </si>
  <si>
    <t>ギンビス　しみチョココーン　７０ｇ</t>
    <phoneticPr fontId="3"/>
  </si>
  <si>
    <t>4901301364654</t>
    <phoneticPr fontId="3"/>
  </si>
  <si>
    <t>4904511003207</t>
    <phoneticPr fontId="3"/>
  </si>
  <si>
    <t>4902881437462</t>
    <phoneticPr fontId="3"/>
  </si>
  <si>
    <t>4902881436113</t>
    <phoneticPr fontId="3"/>
  </si>
  <si>
    <t>4901588160734</t>
    <phoneticPr fontId="3"/>
  </si>
  <si>
    <t>ﾋｻﾞｶｹ(ｲ)BP2027G BHPCﾀｰﾀﾝﾁｪｯｸ　Be/Gr</t>
    <phoneticPr fontId="3"/>
  </si>
  <si>
    <t>W/T（真）トトロ　野花</t>
    <rPh sb="4" eb="5">
      <t>シン</t>
    </rPh>
    <rPh sb="10" eb="12">
      <t>ノハナ</t>
    </rPh>
    <phoneticPr fontId="3"/>
  </si>
  <si>
    <t>W/T（真）トトロ　休憩　N</t>
    <rPh sb="4" eb="5">
      <t>シン</t>
    </rPh>
    <rPh sb="10" eb="12">
      <t>キュウケイ</t>
    </rPh>
    <phoneticPr fontId="3"/>
  </si>
  <si>
    <t>M/T（真）どんぐりの木</t>
    <rPh sb="4" eb="5">
      <t>シン</t>
    </rPh>
    <rPh sb="11" eb="12">
      <t>キ</t>
    </rPh>
    <phoneticPr fontId="3"/>
  </si>
  <si>
    <t>M/T（真）いっぱいﾐｯﾌｨｰ</t>
    <rPh sb="4" eb="5">
      <t>シン</t>
    </rPh>
    <phoneticPr fontId="3"/>
  </si>
  <si>
    <t>ｷｬﾘｰﾀｵﾙ（真）ｼﾝﾌﾟﾙﾐｯﾌｨｰ</t>
    <rPh sb="8" eb="9">
      <t>シン</t>
    </rPh>
    <phoneticPr fontId="3"/>
  </si>
  <si>
    <t>ひざ掛け（真）ﾌｪｲｼｰｽﾞﾐｯﾌｨｰ</t>
    <rPh sb="2" eb="3">
      <t>カ</t>
    </rPh>
    <rPh sb="5" eb="6">
      <t>シン</t>
    </rPh>
    <phoneticPr fontId="3"/>
  </si>
  <si>
    <t>0401500210109</t>
    <phoneticPr fontId="3"/>
  </si>
  <si>
    <t>日東タオル株式会社</t>
    <rPh sb="0" eb="2">
      <t>ニットウ</t>
    </rPh>
    <rPh sb="5" eb="9">
      <t>カブシキガイシャ</t>
    </rPh>
    <phoneticPr fontId="3"/>
  </si>
  <si>
    <t>ﾋｻﾞｶｹ(ｲ)SG275-10すみっｺぐらしP　ﾓｸﾞﾗのｵｳﾁ</t>
    <phoneticPr fontId="3"/>
  </si>
  <si>
    <t>ﾋｻﾞｶｹ(ｲ)SG275-12すみっｺぐらしP　ｳｻｷﾞのｵｳﾁ</t>
    <phoneticPr fontId="3"/>
  </si>
  <si>
    <t>F/T（小）300ﾎﾞｰﾀﾞｰｱﾜｰ　P/Y/Gr</t>
    <rPh sb="4" eb="5">
      <t>ショウ</t>
    </rPh>
    <phoneticPr fontId="3"/>
  </si>
  <si>
    <t>0101560110683</t>
    <phoneticPr fontId="3"/>
  </si>
  <si>
    <t>0101560100341</t>
    <phoneticPr fontId="3"/>
  </si>
  <si>
    <t>0101560110224</t>
    <phoneticPr fontId="3"/>
  </si>
  <si>
    <t>0101560110782</t>
    <phoneticPr fontId="3"/>
  </si>
  <si>
    <t>0101560110778</t>
    <phoneticPr fontId="3"/>
  </si>
  <si>
    <t>0401560110101</t>
    <phoneticPr fontId="3"/>
  </si>
  <si>
    <t>0401500210111</t>
    <phoneticPr fontId="3"/>
  </si>
  <si>
    <t>0401500210112</t>
    <phoneticPr fontId="3"/>
  </si>
  <si>
    <t>0101710310028</t>
    <phoneticPr fontId="3"/>
  </si>
  <si>
    <t>F/T（野）ﾁﾄﾞﾘPK/GY　HomeCasual</t>
    <rPh sb="4" eb="5">
      <t>ノ</t>
    </rPh>
    <phoneticPr fontId="3"/>
  </si>
  <si>
    <t>F/T（野）HomeCasualｱﾆﾏﾙ3　Bｸｼﾞﾗ/Pﾋﾂｼﾞ/Yｲﾇ</t>
    <rPh sb="4" eb="5">
      <t>ノ</t>
    </rPh>
    <phoneticPr fontId="3"/>
  </si>
  <si>
    <t>0101740210037</t>
    <phoneticPr fontId="3"/>
  </si>
  <si>
    <t>0101740210035</t>
    <phoneticPr fontId="3"/>
  </si>
  <si>
    <t>ﾋｻﾞｶｹ（犬）LC277-5　はちわれ　0r</t>
    <rPh sb="6" eb="7">
      <t>イヌ</t>
    </rPh>
    <phoneticPr fontId="3"/>
  </si>
  <si>
    <t>ﾋｻﾞｶｹ（犬）LC227-6　みけ　Pi</t>
    <rPh sb="6" eb="7">
      <t>イヌ</t>
    </rPh>
    <phoneticPr fontId="3"/>
  </si>
  <si>
    <t>ﾋｻﾞｶｹ（犬）LC278-1　茶ﾄﾗの友達　ﾌﾞﾙｰ</t>
    <rPh sb="6" eb="7">
      <t>イヌ</t>
    </rPh>
    <rPh sb="16" eb="17">
      <t>チャ</t>
    </rPh>
    <rPh sb="20" eb="22">
      <t>トモダチ</t>
    </rPh>
    <phoneticPr fontId="3"/>
  </si>
  <si>
    <t>ﾋｻﾞｶｹ（犬）LC278-2　ｸﾛの友達　ﾋﾟﾝｸ</t>
    <rPh sb="6" eb="7">
      <t>イヌ</t>
    </rPh>
    <phoneticPr fontId="3"/>
  </si>
  <si>
    <t>ﾋｻﾞｶｹ（犬）LC278-4　ﾌﾟｰﾄﾞﾙとﾎﾟﾒﾚｯﾄﾞ</t>
    <rPh sb="6" eb="7">
      <t>イヌ</t>
    </rPh>
    <phoneticPr fontId="3"/>
  </si>
  <si>
    <t>ﾙｰﾌﾟﾀｵﾙ（真）ﾐｯｷｰﾏｳｽ　ｸｰﾙﾛｰﾄﾞｽﾀｰ206516100</t>
    <rPh sb="8" eb="9">
      <t>シン</t>
    </rPh>
    <phoneticPr fontId="3"/>
  </si>
  <si>
    <t>W/T（真）ﾐﾆｵﾝ　ｱｯﾌﾟﾃﾝｼｮﾝ　WT2Pｾｯﾄ</t>
    <rPh sb="4" eb="5">
      <t>シン</t>
    </rPh>
    <phoneticPr fontId="3"/>
  </si>
  <si>
    <t>F/T（真）TSｽｰﾊﾟｰﾌﾚﾝｽﾞ</t>
    <rPh sb="4" eb="5">
      <t>シン</t>
    </rPh>
    <phoneticPr fontId="3"/>
  </si>
  <si>
    <t>0401500210099</t>
    <phoneticPr fontId="3"/>
  </si>
  <si>
    <t>0401500210097</t>
    <phoneticPr fontId="3"/>
  </si>
  <si>
    <t>0401500210100</t>
    <phoneticPr fontId="3"/>
  </si>
  <si>
    <t>ﾋｻﾞｶｹ（犬）LC277-5　しばいぬの兄弟　ｲｴﾛｰ</t>
    <rPh sb="6" eb="7">
      <t>イヌ</t>
    </rPh>
    <rPh sb="21" eb="23">
      <t>キョウダイ</t>
    </rPh>
    <phoneticPr fontId="3"/>
  </si>
  <si>
    <t>ﾋｻﾞｶｹ（犬）LC277-7　くろしば　BL</t>
    <rPh sb="6" eb="7">
      <t>イヌ</t>
    </rPh>
    <phoneticPr fontId="3"/>
  </si>
  <si>
    <t>0401500210101</t>
    <phoneticPr fontId="3"/>
  </si>
  <si>
    <t>0401500210095</t>
    <phoneticPr fontId="3"/>
  </si>
  <si>
    <t>0401500210096</t>
    <phoneticPr fontId="3"/>
  </si>
  <si>
    <t>0401500210098</t>
    <phoneticPr fontId="3"/>
  </si>
  <si>
    <t>0401500210833</t>
    <phoneticPr fontId="3"/>
  </si>
  <si>
    <t>0101560110646</t>
    <phoneticPr fontId="3"/>
  </si>
  <si>
    <t>0101560110561</t>
    <phoneticPr fontId="3"/>
  </si>
  <si>
    <t>F/T（本）300はーふ＆ﾊｰﾌ（泉州）B/Gy/Br</t>
    <rPh sb="4" eb="5">
      <t>ホン</t>
    </rPh>
    <rPh sb="17" eb="19">
      <t>センシュウ</t>
    </rPh>
    <phoneticPr fontId="3"/>
  </si>
  <si>
    <t>0101550110187</t>
    <phoneticPr fontId="3"/>
  </si>
  <si>
    <t>平塚商事株式会社</t>
    <rPh sb="0" eb="2">
      <t>ヒラツカ</t>
    </rPh>
    <rPh sb="2" eb="4">
      <t>ショウジ</t>
    </rPh>
    <rPh sb="4" eb="8">
      <t>カブシキガイシャ</t>
    </rPh>
    <phoneticPr fontId="3"/>
  </si>
  <si>
    <t>婦人用ｼｮﾙﾀﾞｰﾊﾞｯｸﾞ　TG-T755</t>
    <rPh sb="0" eb="3">
      <t>フジンヨウ</t>
    </rPh>
    <phoneticPr fontId="3"/>
  </si>
  <si>
    <t>ﾄｰﾄﾊﾞｯｸﾞ　TG-M100</t>
    <phoneticPr fontId="3"/>
  </si>
  <si>
    <t>らくらくｷｬﾘｰ</t>
    <phoneticPr fontId="3"/>
  </si>
  <si>
    <t>デイパック　33028</t>
    <phoneticPr fontId="3"/>
  </si>
  <si>
    <t>デイパック　33047</t>
    <phoneticPr fontId="3"/>
  </si>
  <si>
    <t>OZ</t>
    <phoneticPr fontId="3"/>
  </si>
  <si>
    <t>日本製マフラー</t>
    <rPh sb="0" eb="3">
      <t>ニホンセイ</t>
    </rPh>
    <phoneticPr fontId="3"/>
  </si>
  <si>
    <t>財布</t>
    <rPh sb="0" eb="2">
      <t>サイフ</t>
    </rPh>
    <phoneticPr fontId="3"/>
  </si>
  <si>
    <t>リーバイスベルト　6023角</t>
    <rPh sb="13" eb="14">
      <t>カク</t>
    </rPh>
    <phoneticPr fontId="3"/>
  </si>
  <si>
    <t>リーバイスベルト　6021丸</t>
    <rPh sb="13" eb="14">
      <t>マル</t>
    </rPh>
    <phoneticPr fontId="3"/>
  </si>
  <si>
    <t>コンチョ　6091</t>
    <phoneticPr fontId="3"/>
  </si>
  <si>
    <t>合皮トート</t>
    <rPh sb="0" eb="2">
      <t>ゴウヒ</t>
    </rPh>
    <phoneticPr fontId="3"/>
  </si>
  <si>
    <t>レザートート　特価</t>
    <rPh sb="7" eb="9">
      <t>トッカ</t>
    </rPh>
    <phoneticPr fontId="3"/>
  </si>
  <si>
    <t>Wピン　6090</t>
    <phoneticPr fontId="3"/>
  </si>
  <si>
    <t>株式会社アシストワールド</t>
    <rPh sb="0" eb="4">
      <t>カブシキガイシャ</t>
    </rPh>
    <phoneticPr fontId="3"/>
  </si>
  <si>
    <t>バッグ</t>
    <phoneticPr fontId="3"/>
  </si>
  <si>
    <t>マスク</t>
    <phoneticPr fontId="3"/>
  </si>
  <si>
    <t>BamBoo2</t>
    <phoneticPr fontId="3"/>
  </si>
  <si>
    <t>英字刺繍入ﾊﾟｰｶｰ</t>
    <rPh sb="0" eb="2">
      <t>エイジ</t>
    </rPh>
    <rPh sb="2" eb="4">
      <t>シシュウ</t>
    </rPh>
    <rPh sb="4" eb="5">
      <t>イ</t>
    </rPh>
    <phoneticPr fontId="3"/>
  </si>
  <si>
    <t>ｻｻﾞﾚ刺繍ﾊﾟｰｶｰ</t>
    <rPh sb="4" eb="6">
      <t>シシュウ</t>
    </rPh>
    <phoneticPr fontId="3"/>
  </si>
  <si>
    <t>HURRICANE1985ｽｳｪｯﾄ</t>
    <phoneticPr fontId="3"/>
  </si>
  <si>
    <t>ASHINGﾌﾟﾘﾝﾄｽｳｪｯﾄ</t>
    <phoneticPr fontId="3"/>
  </si>
  <si>
    <t>BamBoo</t>
    <phoneticPr fontId="3"/>
  </si>
  <si>
    <t>ﾓｺﾓｺﾊﾟﾝﾀﾞ飾付半袖ＴＥＥ</t>
    <rPh sb="9" eb="10">
      <t>カザ</t>
    </rPh>
    <rPh sb="10" eb="11">
      <t>ツ</t>
    </rPh>
    <rPh sb="11" eb="13">
      <t>ハンソデ</t>
    </rPh>
    <phoneticPr fontId="3"/>
  </si>
  <si>
    <t>無地長袖Aﾗｲﾝﾁｪﾆｯｸ丈TEE</t>
    <rPh sb="0" eb="2">
      <t>ムジ</t>
    </rPh>
    <rPh sb="2" eb="4">
      <t>ナガソデ</t>
    </rPh>
    <rPh sb="13" eb="14">
      <t>タケ</t>
    </rPh>
    <phoneticPr fontId="3"/>
  </si>
  <si>
    <t>株式会社　宮入</t>
    <rPh sb="0" eb="4">
      <t>カブシキガイシャ</t>
    </rPh>
    <rPh sb="5" eb="7">
      <t>ミヤイリ</t>
    </rPh>
    <phoneticPr fontId="3"/>
  </si>
  <si>
    <t>4947272441468</t>
    <phoneticPr fontId="3"/>
  </si>
  <si>
    <t>4947272037081</t>
    <phoneticPr fontId="3"/>
  </si>
  <si>
    <t>8103-MB70402　09　70BJｺｳｼ</t>
    <phoneticPr fontId="3"/>
  </si>
  <si>
    <t>8104-H-401　09　60BJ　ｶｰｷ</t>
    <phoneticPr fontId="3"/>
  </si>
  <si>
    <t>8104-WB6010　09　60BJｶﾗｰ無地　ﾌﾞﾗｳﾝ</t>
    <rPh sb="22" eb="24">
      <t>ムジ</t>
    </rPh>
    <phoneticPr fontId="3"/>
  </si>
  <si>
    <t>8102-2345　09　60cm花柄はけ塗り</t>
    <rPh sb="17" eb="19">
      <t>ハナガラ</t>
    </rPh>
    <rPh sb="21" eb="22">
      <t>ヌリ</t>
    </rPh>
    <phoneticPr fontId="3"/>
  </si>
  <si>
    <t>4989075002378</t>
    <phoneticPr fontId="3"/>
  </si>
  <si>
    <t>4947051023458</t>
    <phoneticPr fontId="3"/>
  </si>
  <si>
    <t>4947272037067</t>
    <phoneticPr fontId="3"/>
  </si>
  <si>
    <t>4947272037043</t>
    <phoneticPr fontId="3"/>
  </si>
  <si>
    <t>4947272037104</t>
    <phoneticPr fontId="3"/>
  </si>
  <si>
    <t>4989075002453</t>
    <phoneticPr fontId="3"/>
  </si>
  <si>
    <t>4989075002408</t>
    <phoneticPr fontId="3"/>
  </si>
  <si>
    <t>4571249913889</t>
    <phoneticPr fontId="3"/>
  </si>
  <si>
    <t>2300002858646</t>
    <phoneticPr fontId="3"/>
  </si>
  <si>
    <t>8104-WB6010　09　60BJｶﾗｰ無地　＊ﾋﾟﾝｸ</t>
    <rPh sb="22" eb="24">
      <t>ムジ</t>
    </rPh>
    <phoneticPr fontId="3"/>
  </si>
  <si>
    <t>8104-WB6010　09　60BJｶﾗｰ無地　＊ｻｯｸｽ</t>
    <rPh sb="22" eb="24">
      <t>ムジ</t>
    </rPh>
    <phoneticPr fontId="3"/>
  </si>
  <si>
    <t>8104-WB6010　09　60BJｶﾗｰ無地　＊ﾗｲﾄｸﾞﾘｰﾝ</t>
    <rPh sb="22" eb="24">
      <t>ムジ</t>
    </rPh>
    <phoneticPr fontId="3"/>
  </si>
  <si>
    <t>8104-H-401　09　60B ＊ﾗﾍﾞﾝﾀﾞｰ</t>
    <phoneticPr fontId="3"/>
  </si>
  <si>
    <t>8104-H-401　09　60B ＊ｸﾘｰﾑ</t>
    <phoneticPr fontId="3"/>
  </si>
  <si>
    <t>8103-388　09　65cm無地ｱｿｰﾄ</t>
    <rPh sb="16" eb="18">
      <t>ムジ</t>
    </rPh>
    <phoneticPr fontId="3"/>
  </si>
  <si>
    <t>8202-5180　09　柄紳士折傘</t>
    <rPh sb="13" eb="14">
      <t>ガラ</t>
    </rPh>
    <rPh sb="14" eb="16">
      <t>シンシ</t>
    </rPh>
    <rPh sb="16" eb="17">
      <t>オ</t>
    </rPh>
    <rPh sb="17" eb="18">
      <t>カサ</t>
    </rPh>
    <phoneticPr fontId="3"/>
  </si>
  <si>
    <t>有限会社モード・アイ</t>
    <rPh sb="0" eb="4">
      <t>ユウゲンガイシャ</t>
    </rPh>
    <phoneticPr fontId="3"/>
  </si>
  <si>
    <t>36554　ジャケット</t>
    <phoneticPr fontId="3"/>
  </si>
  <si>
    <t>213404　コート</t>
    <phoneticPr fontId="3"/>
  </si>
  <si>
    <t>68601　コート</t>
    <phoneticPr fontId="3"/>
  </si>
  <si>
    <t>68594　コート</t>
    <phoneticPr fontId="3"/>
  </si>
  <si>
    <t>68598　コート</t>
    <phoneticPr fontId="3"/>
  </si>
  <si>
    <t>51122　コート</t>
    <phoneticPr fontId="3"/>
  </si>
  <si>
    <t>36270　ジャケット</t>
    <phoneticPr fontId="3"/>
  </si>
  <si>
    <t>マツモトキヨシ</t>
    <phoneticPr fontId="3"/>
  </si>
  <si>
    <t>エリエールイーナティシュ１５０Ｗ５Ｐ</t>
    <phoneticPr fontId="3"/>
  </si>
  <si>
    <t>値引き（５％）</t>
    <rPh sb="0" eb="2">
      <t>ネビ</t>
    </rPh>
    <phoneticPr fontId="3"/>
  </si>
  <si>
    <t>鼻セレブ２００W３P</t>
    <rPh sb="0" eb="1">
      <t>ハナ</t>
    </rPh>
    <phoneticPr fontId="3"/>
  </si>
  <si>
    <t>4901121636078</t>
    <phoneticPr fontId="3"/>
  </si>
  <si>
    <t>激辛ラーメン</t>
    <rPh sb="0" eb="2">
      <t>ゲキカラ</t>
    </rPh>
    <phoneticPr fontId="3"/>
  </si>
  <si>
    <t>4582214631165</t>
    <phoneticPr fontId="3"/>
  </si>
  <si>
    <t>ソフィ超熟睡Ｇ３３０</t>
    <rPh sb="3" eb="4">
      <t>チョウ</t>
    </rPh>
    <rPh sb="4" eb="6">
      <t>ジュクスイ</t>
    </rPh>
    <phoneticPr fontId="3"/>
  </si>
  <si>
    <t>ソフィ超熟睡Ｇ３６０</t>
    <rPh sb="3" eb="4">
      <t>チョウ</t>
    </rPh>
    <rPh sb="4" eb="6">
      <t>ジュクスイ</t>
    </rPh>
    <phoneticPr fontId="3"/>
  </si>
  <si>
    <t>エリス３６０羽つき１４枚</t>
    <rPh sb="6" eb="7">
      <t>ワ</t>
    </rPh>
    <rPh sb="11" eb="12">
      <t>マイ</t>
    </rPh>
    <phoneticPr fontId="3"/>
  </si>
  <si>
    <t>ＣＩＣ１／２無香多昼１６</t>
    <rPh sb="6" eb="8">
      <t>ムコウ</t>
    </rPh>
    <rPh sb="8" eb="9">
      <t>タ</t>
    </rPh>
    <rPh sb="9" eb="10">
      <t>ヒル</t>
    </rPh>
    <phoneticPr fontId="3"/>
  </si>
  <si>
    <t>ＣＩＣ１／２スイ多昼１６</t>
    <rPh sb="8" eb="9">
      <t>オオ</t>
    </rPh>
    <rPh sb="9" eb="10">
      <t>ヒル</t>
    </rPh>
    <phoneticPr fontId="3"/>
  </si>
  <si>
    <t>ソフィＢＦ羽付き</t>
    <rPh sb="5" eb="6">
      <t>ハネ</t>
    </rPh>
    <rPh sb="6" eb="7">
      <t>ツ</t>
    </rPh>
    <phoneticPr fontId="3"/>
  </si>
  <si>
    <t>ｱｸｱﾘﾝｸﾞｱﾝﾌﾟﾙﾏｽｸ</t>
    <phoneticPr fontId="3"/>
  </si>
  <si>
    <t>メディヒール　ティツ</t>
    <phoneticPr fontId="3"/>
  </si>
  <si>
    <t>4903111359400</t>
    <phoneticPr fontId="3"/>
  </si>
  <si>
    <t>4903111359660</t>
    <phoneticPr fontId="3"/>
  </si>
  <si>
    <t>4902011881318</t>
    <phoneticPr fontId="3"/>
  </si>
  <si>
    <t>4903111310814</t>
    <phoneticPr fontId="3"/>
  </si>
  <si>
    <t>4903111312474</t>
    <phoneticPr fontId="3"/>
  </si>
  <si>
    <t>4903111383146</t>
    <phoneticPr fontId="3"/>
  </si>
  <si>
    <t>8809470122043</t>
    <phoneticPr fontId="3"/>
  </si>
  <si>
    <t>8809470122104</t>
    <phoneticPr fontId="3"/>
  </si>
  <si>
    <t>503チップスターSのりしお</t>
    <phoneticPr fontId="3"/>
  </si>
  <si>
    <t>440MKキャリーバッグ白M</t>
    <rPh sb="12" eb="13">
      <t>シロ</t>
    </rPh>
    <phoneticPr fontId="3"/>
  </si>
  <si>
    <t>440MKキャリーバッグ白L</t>
    <rPh sb="12" eb="13">
      <t>シロ</t>
    </rPh>
    <phoneticPr fontId="3"/>
  </si>
  <si>
    <t>多慶屋</t>
    <rPh sb="0" eb="1">
      <t>オオ</t>
    </rPh>
    <phoneticPr fontId="3"/>
  </si>
  <si>
    <t>ＧＰＢＯＸティッシュ１５０Ｗ５Ｐ</t>
    <phoneticPr fontId="3"/>
  </si>
  <si>
    <t>6957750900453</t>
    <phoneticPr fontId="3"/>
  </si>
  <si>
    <t>三ツ矢　クリスタルＣ　５００ＭＬ</t>
    <rPh sb="0" eb="1">
      <t>ミ</t>
    </rPh>
    <rPh sb="2" eb="3">
      <t>ヤ</t>
    </rPh>
    <phoneticPr fontId="3"/>
  </si>
  <si>
    <t>4514603408614</t>
    <phoneticPr fontId="3"/>
  </si>
  <si>
    <t>北海道水彩の森５００ｍｌ</t>
    <rPh sb="0" eb="3">
      <t>ホッカイドウ</t>
    </rPh>
    <rPh sb="3" eb="5">
      <t>スイサイ</t>
    </rPh>
    <rPh sb="6" eb="7">
      <t>モリ</t>
    </rPh>
    <phoneticPr fontId="3"/>
  </si>
  <si>
    <t>4532461000504</t>
    <phoneticPr fontId="3"/>
  </si>
  <si>
    <t>ＪＪＴストア　アメ横本店</t>
    <rPh sb="9" eb="10">
      <t>ヨコ</t>
    </rPh>
    <rPh sb="10" eb="12">
      <t>ホンテン</t>
    </rPh>
    <phoneticPr fontId="3"/>
  </si>
  <si>
    <t>MYM　さらばっ角質　ｴｷｽﾌﾟﾚｽ　馬油配合　1回分</t>
    <rPh sb="8" eb="10">
      <t>カクシツ</t>
    </rPh>
    <rPh sb="19" eb="21">
      <t>バーユ</t>
    </rPh>
    <rPh sb="21" eb="23">
      <t>ハイゴウ</t>
    </rPh>
    <rPh sb="25" eb="27">
      <t>カイブン</t>
    </rPh>
    <phoneticPr fontId="3"/>
  </si>
  <si>
    <t>4540474777900</t>
    <phoneticPr fontId="3"/>
  </si>
  <si>
    <t>ﾍﾞﾙｻｲﾕのばら　ｵｽｶﾙ　薬用美白ﾏｽｸ4枚入</t>
    <rPh sb="15" eb="19">
      <t>ヤクヨウビハク</t>
    </rPh>
    <rPh sb="23" eb="24">
      <t>マイ</t>
    </rPh>
    <rPh sb="24" eb="25">
      <t>イ</t>
    </rPh>
    <phoneticPr fontId="3"/>
  </si>
  <si>
    <t>4549660107231</t>
    <phoneticPr fontId="3"/>
  </si>
  <si>
    <t>2枚お得ｾｯﾄ</t>
    <rPh sb="1" eb="2">
      <t>マイ</t>
    </rPh>
    <rPh sb="3" eb="4">
      <t>トク</t>
    </rPh>
    <phoneticPr fontId="3"/>
  </si>
  <si>
    <t>ＴＲＩＡＬ　甲府昭和店</t>
    <rPh sb="6" eb="11">
      <t>コウフショウワテン</t>
    </rPh>
    <phoneticPr fontId="3"/>
  </si>
  <si>
    <t>レッドブルエナジードリンク</t>
    <phoneticPr fontId="3"/>
  </si>
  <si>
    <t>伊右衛門525mlケース</t>
    <rPh sb="0" eb="4">
      <t>イエモン</t>
    </rPh>
    <phoneticPr fontId="3"/>
  </si>
  <si>
    <t>カップヌードル　カレー</t>
    <phoneticPr fontId="3"/>
  </si>
  <si>
    <t>カップヌードルケース</t>
    <phoneticPr fontId="3"/>
  </si>
  <si>
    <t>ミロオリジナル</t>
    <phoneticPr fontId="3"/>
  </si>
  <si>
    <t>赤いきつねうどん　ケース</t>
    <rPh sb="0" eb="1">
      <t>アカ</t>
    </rPh>
    <phoneticPr fontId="3"/>
  </si>
  <si>
    <t>緑のたぬき　ケース</t>
    <rPh sb="0" eb="1">
      <t>ミドリ</t>
    </rPh>
    <phoneticPr fontId="3"/>
  </si>
  <si>
    <t>ファンタグレープ700mlケース</t>
    <phoneticPr fontId="3"/>
  </si>
  <si>
    <t>エクセラ無糖900mlケース</t>
    <rPh sb="4" eb="6">
      <t>ムトウ</t>
    </rPh>
    <phoneticPr fontId="3"/>
  </si>
  <si>
    <t>エクセラ甘さひかえめ900mlケース</t>
    <rPh sb="4" eb="5">
      <t>アマ</t>
    </rPh>
    <phoneticPr fontId="3"/>
  </si>
  <si>
    <t>午後の紅茶レモンティー500ml</t>
    <rPh sb="0" eb="2">
      <t>ゴゴ</t>
    </rPh>
    <rPh sb="3" eb="5">
      <t>コウチャ</t>
    </rPh>
    <phoneticPr fontId="3"/>
  </si>
  <si>
    <t>午後の紅茶ストレートティー500ml</t>
    <rPh sb="0" eb="2">
      <t>ゴゴ</t>
    </rPh>
    <rPh sb="3" eb="5">
      <t>コウチャ</t>
    </rPh>
    <phoneticPr fontId="3"/>
  </si>
  <si>
    <t>サッポロ一番ミニどんぶりバラ</t>
    <rPh sb="4" eb="6">
      <t>イチバン</t>
    </rPh>
    <phoneticPr fontId="3"/>
  </si>
  <si>
    <t>花束カラー香り付きトイレットペーパー</t>
    <rPh sb="0" eb="2">
      <t>ハナタバ</t>
    </rPh>
    <rPh sb="5" eb="6">
      <t>カオ</t>
    </rPh>
    <rPh sb="7" eb="8">
      <t>ツ</t>
    </rPh>
    <phoneticPr fontId="3"/>
  </si>
  <si>
    <t>ペーパータオル　200枚入</t>
    <rPh sb="11" eb="13">
      <t>マイイ</t>
    </rPh>
    <phoneticPr fontId="3"/>
  </si>
  <si>
    <t>はなびよりボックスティシュ</t>
    <phoneticPr fontId="3"/>
  </si>
  <si>
    <t>エルフォーレトイレット　ダブル</t>
    <phoneticPr fontId="3"/>
  </si>
  <si>
    <t>王子ネピア　ネピアネピネピ</t>
    <rPh sb="0" eb="2">
      <t>オウジ</t>
    </rPh>
    <phoneticPr fontId="3"/>
  </si>
  <si>
    <t>三ツ矢サイダー500mlケース</t>
    <rPh sb="0" eb="1">
      <t>ミ</t>
    </rPh>
    <rPh sb="2" eb="3">
      <t>ヤ</t>
    </rPh>
    <phoneticPr fontId="3"/>
  </si>
  <si>
    <t>カナダドライジンジャーエール</t>
    <phoneticPr fontId="3"/>
  </si>
  <si>
    <t>バーモントカレー　中辛</t>
    <rPh sb="9" eb="11">
      <t>チュウカラ</t>
    </rPh>
    <phoneticPr fontId="3"/>
  </si>
  <si>
    <t>味ぽん</t>
    <rPh sb="0" eb="1">
      <t>アジ</t>
    </rPh>
    <phoneticPr fontId="3"/>
  </si>
  <si>
    <t>ぱりんこ</t>
    <phoneticPr fontId="3"/>
  </si>
  <si>
    <t>ﾛﾘｴ超吸収ｶﾞｰﾄﾞ340</t>
    <rPh sb="3" eb="6">
      <t>チョウキュウシュウ</t>
    </rPh>
    <phoneticPr fontId="3"/>
  </si>
  <si>
    <t>とろけるカレー　辛口</t>
    <rPh sb="8" eb="10">
      <t>カラクチ</t>
    </rPh>
    <phoneticPr fontId="3"/>
  </si>
  <si>
    <t>商品名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</si>
</sst>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176" formatCode="m/d;@"/>
    <numFmt numFmtId="177" formatCode="0_);[Red]\(0\)"/>
    <numFmt numFmtId="178" formatCode="mm/dd"/>
    <numFmt numFmtId="179" formatCode="&quot;¥&quot;#,##0.0;[Red]&quot;¥&quot;\-#,##0.0"/>
    <numFmt numFmtId="180" formatCode="&quot;¥&quot;#,##0.0;&quot;¥&quot;\-#,##0.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0.249977111117893"/>
      <name val="Meiryo UI"/>
      <family val="3"/>
      <charset val="128"/>
    </font>
    <font>
      <sz val="18"/>
      <color theme="1" tint="0.249977111117893"/>
      <name val="Meiryo UI"/>
      <family val="3"/>
      <charset val="128"/>
    </font>
    <font>
      <sz val="11"/>
      <color rgb="FF000000"/>
      <name val="Meiryo UI"/>
      <family val="3"/>
      <charset val="128"/>
    </font>
    <font>
      <sz val="11"/>
      <color theme="1"/>
      <name val="游ゴシック"/>
      <family val="2"/>
      <charset val="128"/>
    </font>
    <font>
      <sz val="11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theme="1"/>
      <name val="Meiryo UI"/>
      <family val="3"/>
    </font>
    <font>
      <sz val="11"/>
      <name val="Meiryo UI"/>
      <family val="3"/>
      <charset val="128"/>
    </font>
    <font>
      <sz val="18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6" fontId="4" fillId="0" borderId="0" xfId="2" applyFont="1">
      <alignment vertical="center"/>
    </xf>
    <xf numFmtId="38" fontId="4" fillId="0" borderId="0" xfId="1" applyFont="1">
      <alignment vertical="center"/>
    </xf>
    <xf numFmtId="0" fontId="4" fillId="0" borderId="1" xfId="0" applyFont="1" applyBorder="1" applyAlignment="1">
      <alignment horizontal="center" vertical="center"/>
    </xf>
    <xf numFmtId="6" fontId="4" fillId="0" borderId="1" xfId="2" applyFont="1" applyBorder="1" applyAlignment="1">
      <alignment horizontal="center" vertical="center"/>
    </xf>
    <xf numFmtId="38" fontId="4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6" fontId="4" fillId="0" borderId="1" xfId="2" applyFont="1" applyBorder="1">
      <alignment vertical="center"/>
    </xf>
    <xf numFmtId="38" fontId="4" fillId="0" borderId="1" xfId="1" applyFont="1" applyBorder="1">
      <alignment vertical="center"/>
    </xf>
    <xf numFmtId="38" fontId="4" fillId="0" borderId="1" xfId="1" applyFont="1" applyBorder="1" applyAlignment="1">
      <alignment horizontal="center" vertical="center" wrapText="1"/>
    </xf>
    <xf numFmtId="6" fontId="4" fillId="0" borderId="1" xfId="2" applyFont="1" applyBorder="1" applyAlignment="1">
      <alignment horizontal="center" vertical="center" wrapText="1"/>
    </xf>
    <xf numFmtId="9" fontId="4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vertical="center" wrapText="1" shrinkToFit="1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4" fontId="0" fillId="0" borderId="2" xfId="0" applyNumberFormat="1" applyFill="1" applyBorder="1" applyAlignment="1">
      <alignment horizontal="left" vertical="center"/>
    </xf>
    <xf numFmtId="0" fontId="8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177" fontId="0" fillId="0" borderId="2" xfId="0" applyNumberFormat="1" applyFont="1" applyFill="1" applyBorder="1" applyAlignment="1">
      <alignment horizontal="center" vertical="center"/>
    </xf>
    <xf numFmtId="5" fontId="12" fillId="0" borderId="2" xfId="0" applyNumberFormat="1" applyFont="1" applyFill="1" applyBorder="1" applyAlignment="1">
      <alignment horizontal="right" vertical="center"/>
    </xf>
    <xf numFmtId="14" fontId="0" fillId="0" borderId="2" xfId="0" applyNumberForma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shrinkToFit="1"/>
    </xf>
    <xf numFmtId="49" fontId="4" fillId="0" borderId="6" xfId="0" applyNumberFormat="1" applyFont="1" applyBorder="1" applyAlignment="1">
      <alignment horizontal="center" vertical="center"/>
    </xf>
    <xf numFmtId="9" fontId="4" fillId="0" borderId="6" xfId="0" applyNumberFormat="1" applyFont="1" applyBorder="1">
      <alignment vertical="center"/>
    </xf>
    <xf numFmtId="38" fontId="4" fillId="0" borderId="6" xfId="1" applyFont="1" applyBorder="1">
      <alignment vertical="center"/>
    </xf>
    <xf numFmtId="6" fontId="4" fillId="0" borderId="6" xfId="2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9" fontId="4" fillId="0" borderId="2" xfId="0" applyNumberFormat="1" applyFont="1" applyBorder="1">
      <alignment vertical="center"/>
    </xf>
    <xf numFmtId="38" fontId="4" fillId="0" borderId="2" xfId="1" applyFont="1" applyBorder="1">
      <alignment vertical="center"/>
    </xf>
    <xf numFmtId="6" fontId="4" fillId="0" borderId="2" xfId="2" applyFont="1" applyBorder="1">
      <alignment vertical="center"/>
    </xf>
    <xf numFmtId="14" fontId="0" fillId="0" borderId="3" xfId="0" applyNumberFormat="1" applyFill="1" applyBorder="1" applyAlignment="1">
      <alignment horizontal="left" vertical="center"/>
    </xf>
    <xf numFmtId="38" fontId="4" fillId="0" borderId="7" xfId="1" applyFont="1" applyBorder="1">
      <alignment vertical="center"/>
    </xf>
    <xf numFmtId="0" fontId="4" fillId="0" borderId="6" xfId="0" applyFont="1" applyBorder="1">
      <alignment vertical="center"/>
    </xf>
    <xf numFmtId="0" fontId="0" fillId="0" borderId="3" xfId="0" applyFont="1" applyFill="1" applyBorder="1">
      <alignment vertical="center"/>
    </xf>
    <xf numFmtId="177" fontId="0" fillId="0" borderId="3" xfId="0" applyNumberFormat="1" applyFont="1" applyFill="1" applyBorder="1" applyAlignment="1">
      <alignment horizontal="center" vertical="center"/>
    </xf>
    <xf numFmtId="9" fontId="4" fillId="0" borderId="3" xfId="0" applyNumberFormat="1" applyFont="1" applyBorder="1">
      <alignment vertical="center"/>
    </xf>
    <xf numFmtId="5" fontId="12" fillId="0" borderId="3" xfId="0" applyNumberFormat="1" applyFont="1" applyFill="1" applyBorder="1" applyAlignment="1">
      <alignment horizontal="right" vertical="center"/>
    </xf>
    <xf numFmtId="178" fontId="13" fillId="0" borderId="2" xfId="0" applyNumberFormat="1" applyFont="1" applyBorder="1">
      <alignment vertical="center"/>
    </xf>
    <xf numFmtId="177" fontId="13" fillId="0" borderId="2" xfId="0" applyNumberFormat="1" applyFont="1" applyBorder="1" applyAlignment="1">
      <alignment horizontal="center" vertical="center"/>
    </xf>
    <xf numFmtId="38" fontId="13" fillId="0" borderId="2" xfId="1" applyFont="1" applyBorder="1" applyAlignment="1">
      <alignment horizontal="right" vertical="center"/>
    </xf>
    <xf numFmtId="177" fontId="14" fillId="0" borderId="2" xfId="0" applyNumberFormat="1" applyFont="1" applyBorder="1" applyAlignment="1">
      <alignment horizontal="center" vertical="center"/>
    </xf>
    <xf numFmtId="38" fontId="4" fillId="0" borderId="8" xfId="1" applyFont="1" applyBorder="1">
      <alignment vertical="center"/>
    </xf>
    <xf numFmtId="56" fontId="4" fillId="0" borderId="1" xfId="0" applyNumberFormat="1" applyFont="1" applyBorder="1">
      <alignment vertical="center"/>
    </xf>
    <xf numFmtId="179" fontId="4" fillId="0" borderId="1" xfId="2" applyNumberFormat="1" applyFont="1" applyBorder="1">
      <alignment vertical="center"/>
    </xf>
    <xf numFmtId="14" fontId="0" fillId="0" borderId="1" xfId="0" applyNumberForma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177" fontId="0" fillId="0" borderId="1" xfId="0" applyNumberFormat="1" applyFont="1" applyFill="1" applyBorder="1" applyAlignment="1">
      <alignment horizontal="center" vertical="center"/>
    </xf>
    <xf numFmtId="5" fontId="12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15" fillId="0" borderId="1" xfId="0" applyFont="1" applyBorder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38" fontId="15" fillId="0" borderId="0" xfId="1" applyFont="1">
      <alignment vertical="center"/>
    </xf>
    <xf numFmtId="6" fontId="15" fillId="0" borderId="0" xfId="2" applyFont="1">
      <alignment vertical="center"/>
    </xf>
    <xf numFmtId="0" fontId="16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38" fontId="15" fillId="0" borderId="1" xfId="1" applyFont="1" applyBorder="1" applyAlignment="1">
      <alignment horizontal="center" vertical="center" wrapText="1"/>
    </xf>
    <xf numFmtId="6" fontId="15" fillId="0" borderId="1" xfId="2" applyFont="1" applyBorder="1" applyAlignment="1">
      <alignment horizontal="center" vertical="center" wrapText="1"/>
    </xf>
    <xf numFmtId="6" fontId="15" fillId="0" borderId="1" xfId="2" applyFont="1" applyBorder="1" applyAlignment="1">
      <alignment horizontal="center" vertical="center"/>
    </xf>
    <xf numFmtId="38" fontId="15" fillId="0" borderId="1" xfId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5" fillId="0" borderId="1" xfId="0" applyNumberFormat="1" applyFont="1" applyBorder="1">
      <alignment vertical="center"/>
    </xf>
    <xf numFmtId="9" fontId="15" fillId="0" borderId="1" xfId="0" applyNumberFormat="1" applyFont="1" applyBorder="1">
      <alignment vertical="center"/>
    </xf>
    <xf numFmtId="38" fontId="15" fillId="0" borderId="1" xfId="1" applyFont="1" applyBorder="1">
      <alignment vertical="center"/>
    </xf>
    <xf numFmtId="6" fontId="15" fillId="0" borderId="1" xfId="2" applyFont="1" applyBorder="1">
      <alignment vertical="center"/>
    </xf>
    <xf numFmtId="6" fontId="15" fillId="0" borderId="0" xfId="0" applyNumberFormat="1" applyFont="1">
      <alignment vertical="center"/>
    </xf>
    <xf numFmtId="0" fontId="15" fillId="0" borderId="1" xfId="0" applyFont="1" applyBorder="1" applyAlignment="1">
      <alignment vertical="center" shrinkToFit="1"/>
    </xf>
    <xf numFmtId="14" fontId="15" fillId="0" borderId="1" xfId="0" applyNumberFormat="1" applyFont="1" applyFill="1" applyBorder="1" applyAlignment="1">
      <alignment horizontal="left" vertical="center"/>
    </xf>
    <xf numFmtId="177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6" fontId="17" fillId="0" borderId="0" xfId="0" applyNumberFormat="1" applyFont="1">
      <alignment vertical="center"/>
    </xf>
    <xf numFmtId="8" fontId="17" fillId="0" borderId="0" xfId="0" applyNumberFormat="1" applyFont="1">
      <alignment vertical="center"/>
    </xf>
    <xf numFmtId="6" fontId="15" fillId="0" borderId="1" xfId="2" applyNumberFormat="1" applyFont="1" applyBorder="1">
      <alignment vertical="center"/>
    </xf>
    <xf numFmtId="38" fontId="15" fillId="0" borderId="1" xfId="1" applyNumberFormat="1" applyFont="1" applyBorder="1">
      <alignment vertical="center"/>
    </xf>
    <xf numFmtId="180" fontId="15" fillId="0" borderId="1" xfId="0" applyNumberFormat="1" applyFont="1" applyFill="1" applyBorder="1" applyAlignment="1">
      <alignment horizontal="right" vertical="center"/>
    </xf>
    <xf numFmtId="180" fontId="15" fillId="0" borderId="1" xfId="2" applyNumberFormat="1" applyFont="1" applyBorder="1" applyAlignment="1">
      <alignment horizontal="right" vertical="center"/>
    </xf>
    <xf numFmtId="180" fontId="15" fillId="0" borderId="0" xfId="2" applyNumberFormat="1" applyFont="1" applyAlignment="1">
      <alignment horizontal="right" vertical="center"/>
    </xf>
    <xf numFmtId="180" fontId="15" fillId="0" borderId="1" xfId="2" applyNumberFormat="1" applyFont="1" applyBorder="1" applyAlignment="1">
      <alignment horizontal="right" vertical="center" wrapText="1"/>
    </xf>
    <xf numFmtId="6" fontId="17" fillId="2" borderId="0" xfId="0" applyNumberFormat="1" applyFont="1" applyFill="1">
      <alignment vertical="center"/>
    </xf>
    <xf numFmtId="38" fontId="17" fillId="0" borderId="0" xfId="0" applyNumberFormat="1" applyFont="1">
      <alignment vertical="center"/>
    </xf>
    <xf numFmtId="6" fontId="15" fillId="2" borderId="0" xfId="0" applyNumberFormat="1" applyFont="1" applyFill="1">
      <alignment vertical="center"/>
    </xf>
    <xf numFmtId="180" fontId="17" fillId="0" borderId="0" xfId="0" applyNumberFormat="1" applyFont="1">
      <alignment vertical="center"/>
    </xf>
    <xf numFmtId="7" fontId="15" fillId="0" borderId="0" xfId="0" applyNumberFormat="1" applyFont="1">
      <alignment vertical="center"/>
    </xf>
    <xf numFmtId="0" fontId="18" fillId="0" borderId="1" xfId="0" applyFont="1" applyBorder="1">
      <alignment vertical="center"/>
    </xf>
    <xf numFmtId="49" fontId="18" fillId="0" borderId="1" xfId="0" applyNumberFormat="1" applyFont="1" applyBorder="1" applyAlignment="1">
      <alignment horizontal="center" vertical="center"/>
    </xf>
    <xf numFmtId="9" fontId="18" fillId="0" borderId="1" xfId="0" applyNumberFormat="1" applyFont="1" applyBorder="1">
      <alignment vertical="center"/>
    </xf>
    <xf numFmtId="38" fontId="18" fillId="0" borderId="1" xfId="1" applyFont="1" applyBorder="1">
      <alignment vertical="center"/>
    </xf>
    <xf numFmtId="180" fontId="18" fillId="0" borderId="1" xfId="2" applyNumberFormat="1" applyFont="1" applyBorder="1" applyAlignment="1">
      <alignment horizontal="right" vertical="center"/>
    </xf>
    <xf numFmtId="6" fontId="18" fillId="0" borderId="1" xfId="2" applyFont="1" applyBorder="1">
      <alignment vertical="center"/>
    </xf>
    <xf numFmtId="56" fontId="15" fillId="2" borderId="1" xfId="0" applyNumberFormat="1" applyFont="1" applyFill="1" applyBorder="1">
      <alignment vertical="center"/>
    </xf>
    <xf numFmtId="0" fontId="15" fillId="2" borderId="1" xfId="0" applyFont="1" applyFill="1" applyBorder="1">
      <alignment vertical="center"/>
    </xf>
    <xf numFmtId="49" fontId="15" fillId="2" borderId="1" xfId="0" applyNumberFormat="1" applyFont="1" applyFill="1" applyBorder="1" applyAlignment="1">
      <alignment horizontal="center" vertical="center"/>
    </xf>
    <xf numFmtId="9" fontId="15" fillId="2" borderId="1" xfId="0" applyNumberFormat="1" applyFont="1" applyFill="1" applyBorder="1">
      <alignment vertical="center"/>
    </xf>
    <xf numFmtId="38" fontId="15" fillId="2" borderId="1" xfId="1" applyFont="1" applyFill="1" applyBorder="1">
      <alignment vertical="center"/>
    </xf>
    <xf numFmtId="180" fontId="15" fillId="2" borderId="1" xfId="2" applyNumberFormat="1" applyFont="1" applyFill="1" applyBorder="1" applyAlignment="1">
      <alignment horizontal="right" vertical="center"/>
    </xf>
    <xf numFmtId="6" fontId="15" fillId="2" borderId="1" xfId="2" applyFont="1" applyFill="1" applyBorder="1">
      <alignment vertical="center"/>
    </xf>
    <xf numFmtId="49" fontId="18" fillId="2" borderId="1" xfId="0" applyNumberFormat="1" applyFont="1" applyFill="1" applyBorder="1" applyAlignment="1">
      <alignment horizontal="center" vertical="center"/>
    </xf>
    <xf numFmtId="9" fontId="18" fillId="2" borderId="1" xfId="0" applyNumberFormat="1" applyFont="1" applyFill="1" applyBorder="1">
      <alignment vertical="center"/>
    </xf>
    <xf numFmtId="38" fontId="18" fillId="2" borderId="1" xfId="1" applyFont="1" applyFill="1" applyBorder="1">
      <alignment vertical="center"/>
    </xf>
    <xf numFmtId="180" fontId="18" fillId="2" borderId="1" xfId="2" applyNumberFormat="1" applyFont="1" applyFill="1" applyBorder="1" applyAlignment="1">
      <alignment horizontal="right" vertical="center"/>
    </xf>
    <xf numFmtId="6" fontId="18" fillId="2" borderId="1" xfId="2" applyFont="1" applyFill="1" applyBorder="1">
      <alignment vertical="center"/>
    </xf>
    <xf numFmtId="14" fontId="0" fillId="0" borderId="1" xfId="0" applyNumberFormat="1" applyFill="1" applyBorder="1" applyAlignment="1">
      <alignment horizontal="left" vertical="center"/>
    </xf>
    <xf numFmtId="14" fontId="0" fillId="0" borderId="3" xfId="0" applyNumberFormat="1" applyFill="1" applyBorder="1" applyAlignment="1">
      <alignment horizontal="left" vertical="center"/>
    </xf>
    <xf numFmtId="14" fontId="0" fillId="0" borderId="5" xfId="0" applyNumberFormat="1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left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515472</xdr:colOff>
      <xdr:row>4</xdr:row>
      <xdr:rowOff>86269</xdr:rowOff>
    </xdr:from>
    <xdr:to>
      <xdr:col>4</xdr:col>
      <xdr:colOff>1274901</xdr:colOff>
      <xdr:row>4</xdr:row>
      <xdr:rowOff>829235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FA07C73-D361-45EA-A062-B88FFF60A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093853" y="959300"/>
          <a:ext cx="742966" cy="1439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B990-C909-4765-9E7F-018B968DC272}">
  <dimension ref="B2:M87"/>
  <sheetViews>
    <sheetView zoomScale="85" zoomScaleNormal="85" workbookViewId="0">
      <selection activeCell="C35" sqref="C35"/>
    </sheetView>
  </sheetViews>
  <sheetFormatPr defaultColWidth="9" defaultRowHeight="15.75" x14ac:dyDescent="0.4"/>
  <cols>
    <col min="1" max="2" width="9" style="1"/>
    <col min="3" max="3" width="26.875" style="1" customWidth="1"/>
    <col min="4" max="5" width="25.5" style="1" customWidth="1"/>
    <col min="6" max="6" width="10.875" style="3" customWidth="1"/>
    <col min="7" max="7" width="10.25" style="3" customWidth="1"/>
    <col min="8" max="8" width="10.625" style="4" customWidth="1"/>
    <col min="9" max="9" width="13.75" style="4" customWidth="1"/>
    <col min="10" max="10" width="9" style="4"/>
    <col min="11" max="12" width="13.875" style="3" customWidth="1"/>
    <col min="13" max="13" width="12.625" style="3" customWidth="1"/>
    <col min="14" max="16384" width="9" style="1"/>
  </cols>
  <sheetData>
    <row r="2" spans="2:13" ht="33" customHeight="1" x14ac:dyDescent="0.4">
      <c r="C2" s="1" t="s">
        <v>0</v>
      </c>
    </row>
    <row r="4" spans="2:13" s="2" customFormat="1" x14ac:dyDescent="0.4">
      <c r="B4" s="5" t="s">
        <v>6</v>
      </c>
      <c r="C4" s="5" t="s">
        <v>1</v>
      </c>
      <c r="D4" s="5" t="s">
        <v>2</v>
      </c>
      <c r="E4" s="5" t="s">
        <v>7</v>
      </c>
      <c r="F4" s="6" t="s">
        <v>3</v>
      </c>
      <c r="G4" s="6" t="s">
        <v>4</v>
      </c>
      <c r="H4" s="7" t="s">
        <v>5</v>
      </c>
      <c r="I4" s="7" t="s">
        <v>8</v>
      </c>
      <c r="J4" s="7" t="s">
        <v>9</v>
      </c>
      <c r="K4" s="6" t="s">
        <v>11</v>
      </c>
      <c r="L4" s="6" t="s">
        <v>10</v>
      </c>
      <c r="M4" s="6" t="s">
        <v>12</v>
      </c>
    </row>
    <row r="5" spans="2:13" x14ac:dyDescent="0.4">
      <c r="B5" s="8"/>
      <c r="C5" s="8"/>
      <c r="D5" s="8"/>
      <c r="E5" s="8"/>
      <c r="F5" s="9"/>
      <c r="G5" s="9"/>
      <c r="H5" s="10"/>
      <c r="I5" s="10"/>
      <c r="J5" s="10">
        <f>H5-I5</f>
        <v>0</v>
      </c>
      <c r="K5" s="9">
        <f>J5*F5</f>
        <v>0</v>
      </c>
      <c r="L5" s="9">
        <f>K5*J5</f>
        <v>0</v>
      </c>
      <c r="M5" s="9">
        <f>L5-K5</f>
        <v>0</v>
      </c>
    </row>
    <row r="6" spans="2:13" x14ac:dyDescent="0.4">
      <c r="B6" s="8"/>
      <c r="C6" s="8"/>
      <c r="D6" s="8"/>
      <c r="E6" s="8"/>
      <c r="F6" s="9"/>
      <c r="G6" s="9"/>
      <c r="H6" s="10"/>
      <c r="I6" s="10"/>
      <c r="J6" s="10">
        <f t="shared" ref="J6:J9" si="0">H6-I6</f>
        <v>0</v>
      </c>
      <c r="K6" s="9">
        <f t="shared" ref="K6:K69" si="1">J6*F6</f>
        <v>0</v>
      </c>
      <c r="L6" s="9">
        <f t="shared" ref="L6:L69" si="2">K6*J6</f>
        <v>0</v>
      </c>
      <c r="M6" s="9">
        <f t="shared" ref="M6:M69" si="3">L6-K6</f>
        <v>0</v>
      </c>
    </row>
    <row r="7" spans="2:13" x14ac:dyDescent="0.4">
      <c r="B7" s="8"/>
      <c r="C7" s="8"/>
      <c r="D7" s="8"/>
      <c r="E7" s="8"/>
      <c r="F7" s="9"/>
      <c r="G7" s="9"/>
      <c r="H7" s="10"/>
      <c r="I7" s="10"/>
      <c r="J7" s="10">
        <f t="shared" si="0"/>
        <v>0</v>
      </c>
      <c r="K7" s="9">
        <f t="shared" si="1"/>
        <v>0</v>
      </c>
      <c r="L7" s="9">
        <f t="shared" si="2"/>
        <v>0</v>
      </c>
      <c r="M7" s="9">
        <f t="shared" si="3"/>
        <v>0</v>
      </c>
    </row>
    <row r="8" spans="2:13" x14ac:dyDescent="0.4">
      <c r="B8" s="8"/>
      <c r="C8" s="8"/>
      <c r="D8" s="8"/>
      <c r="E8" s="8"/>
      <c r="F8" s="9"/>
      <c r="G8" s="9"/>
      <c r="H8" s="10"/>
      <c r="I8" s="10"/>
      <c r="J8" s="10">
        <f t="shared" si="0"/>
        <v>0</v>
      </c>
      <c r="K8" s="9">
        <f t="shared" si="1"/>
        <v>0</v>
      </c>
      <c r="L8" s="9">
        <f t="shared" si="2"/>
        <v>0</v>
      </c>
      <c r="M8" s="9">
        <f t="shared" si="3"/>
        <v>0</v>
      </c>
    </row>
    <row r="9" spans="2:13" x14ac:dyDescent="0.4">
      <c r="B9" s="8"/>
      <c r="C9" s="8"/>
      <c r="D9" s="8"/>
      <c r="E9" s="8"/>
      <c r="F9" s="9"/>
      <c r="G9" s="9"/>
      <c r="H9" s="10"/>
      <c r="I9" s="10"/>
      <c r="J9" s="10">
        <f t="shared" si="0"/>
        <v>0</v>
      </c>
      <c r="K9" s="9">
        <f t="shared" si="1"/>
        <v>0</v>
      </c>
      <c r="L9" s="9">
        <f t="shared" si="2"/>
        <v>0</v>
      </c>
      <c r="M9" s="9">
        <f t="shared" si="3"/>
        <v>0</v>
      </c>
    </row>
    <row r="10" spans="2:13" x14ac:dyDescent="0.4">
      <c r="B10" s="8"/>
      <c r="C10" s="8"/>
      <c r="D10" s="8"/>
      <c r="E10" s="8"/>
      <c r="F10" s="9"/>
      <c r="G10" s="9"/>
      <c r="H10" s="10"/>
      <c r="I10" s="10"/>
      <c r="J10" s="10">
        <f t="shared" ref="J10:J73" si="4">H10-I10</f>
        <v>0</v>
      </c>
      <c r="K10" s="9">
        <f t="shared" si="1"/>
        <v>0</v>
      </c>
      <c r="L10" s="9">
        <f t="shared" si="2"/>
        <v>0</v>
      </c>
      <c r="M10" s="9">
        <f t="shared" si="3"/>
        <v>0</v>
      </c>
    </row>
    <row r="11" spans="2:13" x14ac:dyDescent="0.4">
      <c r="B11" s="8"/>
      <c r="C11" s="8"/>
      <c r="D11" s="8"/>
      <c r="E11" s="8"/>
      <c r="F11" s="9"/>
      <c r="G11" s="9"/>
      <c r="H11" s="10"/>
      <c r="I11" s="10"/>
      <c r="J11" s="10">
        <f t="shared" si="4"/>
        <v>0</v>
      </c>
      <c r="K11" s="9">
        <f t="shared" si="1"/>
        <v>0</v>
      </c>
      <c r="L11" s="9">
        <f t="shared" si="2"/>
        <v>0</v>
      </c>
      <c r="M11" s="9">
        <f t="shared" si="3"/>
        <v>0</v>
      </c>
    </row>
    <row r="12" spans="2:13" x14ac:dyDescent="0.4">
      <c r="B12" s="8"/>
      <c r="C12" s="8"/>
      <c r="D12" s="8"/>
      <c r="E12" s="8"/>
      <c r="F12" s="9"/>
      <c r="G12" s="9"/>
      <c r="H12" s="10"/>
      <c r="I12" s="10"/>
      <c r="J12" s="10">
        <f t="shared" si="4"/>
        <v>0</v>
      </c>
      <c r="K12" s="9">
        <f t="shared" si="1"/>
        <v>0</v>
      </c>
      <c r="L12" s="9">
        <f t="shared" si="2"/>
        <v>0</v>
      </c>
      <c r="M12" s="9">
        <f t="shared" si="3"/>
        <v>0</v>
      </c>
    </row>
    <row r="13" spans="2:13" x14ac:dyDescent="0.4">
      <c r="B13" s="8"/>
      <c r="C13" s="8"/>
      <c r="D13" s="8"/>
      <c r="E13" s="8"/>
      <c r="F13" s="9"/>
      <c r="G13" s="9"/>
      <c r="H13" s="10"/>
      <c r="I13" s="10"/>
      <c r="J13" s="10">
        <f t="shared" si="4"/>
        <v>0</v>
      </c>
      <c r="K13" s="9">
        <f t="shared" si="1"/>
        <v>0</v>
      </c>
      <c r="L13" s="9">
        <f t="shared" si="2"/>
        <v>0</v>
      </c>
      <c r="M13" s="9">
        <f t="shared" si="3"/>
        <v>0</v>
      </c>
    </row>
    <row r="14" spans="2:13" x14ac:dyDescent="0.4">
      <c r="B14" s="8"/>
      <c r="C14" s="8"/>
      <c r="D14" s="8"/>
      <c r="E14" s="8"/>
      <c r="F14" s="9"/>
      <c r="G14" s="9"/>
      <c r="H14" s="10"/>
      <c r="I14" s="10"/>
      <c r="J14" s="10">
        <f t="shared" si="4"/>
        <v>0</v>
      </c>
      <c r="K14" s="9">
        <f t="shared" si="1"/>
        <v>0</v>
      </c>
      <c r="L14" s="9">
        <f t="shared" si="2"/>
        <v>0</v>
      </c>
      <c r="M14" s="9">
        <f t="shared" si="3"/>
        <v>0</v>
      </c>
    </row>
    <row r="15" spans="2:13" x14ac:dyDescent="0.4">
      <c r="B15" s="8"/>
      <c r="C15" s="8"/>
      <c r="D15" s="8"/>
      <c r="E15" s="8"/>
      <c r="F15" s="9"/>
      <c r="G15" s="9"/>
      <c r="H15" s="10"/>
      <c r="I15" s="10"/>
      <c r="J15" s="10">
        <f t="shared" si="4"/>
        <v>0</v>
      </c>
      <c r="K15" s="9">
        <f t="shared" si="1"/>
        <v>0</v>
      </c>
      <c r="L15" s="9">
        <f t="shared" si="2"/>
        <v>0</v>
      </c>
      <c r="M15" s="9">
        <f t="shared" si="3"/>
        <v>0</v>
      </c>
    </row>
    <row r="16" spans="2:13" x14ac:dyDescent="0.4">
      <c r="B16" s="8"/>
      <c r="C16" s="8"/>
      <c r="D16" s="8"/>
      <c r="E16" s="8"/>
      <c r="F16" s="9"/>
      <c r="G16" s="9"/>
      <c r="H16" s="10"/>
      <c r="I16" s="10"/>
      <c r="J16" s="10">
        <f t="shared" si="4"/>
        <v>0</v>
      </c>
      <c r="K16" s="9">
        <f t="shared" si="1"/>
        <v>0</v>
      </c>
      <c r="L16" s="9">
        <f t="shared" si="2"/>
        <v>0</v>
      </c>
      <c r="M16" s="9">
        <f t="shared" si="3"/>
        <v>0</v>
      </c>
    </row>
    <row r="17" spans="2:13" x14ac:dyDescent="0.4">
      <c r="B17" s="8"/>
      <c r="C17" s="8"/>
      <c r="D17" s="8"/>
      <c r="E17" s="8"/>
      <c r="F17" s="9"/>
      <c r="G17" s="9"/>
      <c r="H17" s="10"/>
      <c r="I17" s="10"/>
      <c r="J17" s="10">
        <f t="shared" si="4"/>
        <v>0</v>
      </c>
      <c r="K17" s="9">
        <f t="shared" si="1"/>
        <v>0</v>
      </c>
      <c r="L17" s="9">
        <f t="shared" si="2"/>
        <v>0</v>
      </c>
      <c r="M17" s="9">
        <f t="shared" si="3"/>
        <v>0</v>
      </c>
    </row>
    <row r="18" spans="2:13" x14ac:dyDescent="0.4">
      <c r="B18" s="8"/>
      <c r="C18" s="8"/>
      <c r="D18" s="8"/>
      <c r="E18" s="8"/>
      <c r="F18" s="9"/>
      <c r="G18" s="9"/>
      <c r="H18" s="10"/>
      <c r="I18" s="10"/>
      <c r="J18" s="10">
        <f t="shared" si="4"/>
        <v>0</v>
      </c>
      <c r="K18" s="9">
        <f t="shared" si="1"/>
        <v>0</v>
      </c>
      <c r="L18" s="9">
        <f t="shared" si="2"/>
        <v>0</v>
      </c>
      <c r="M18" s="9">
        <f t="shared" si="3"/>
        <v>0</v>
      </c>
    </row>
    <row r="19" spans="2:13" x14ac:dyDescent="0.4">
      <c r="B19" s="8"/>
      <c r="C19" s="8"/>
      <c r="D19" s="8"/>
      <c r="E19" s="8"/>
      <c r="F19" s="9"/>
      <c r="G19" s="9"/>
      <c r="H19" s="10"/>
      <c r="I19" s="10"/>
      <c r="J19" s="10">
        <f t="shared" si="4"/>
        <v>0</v>
      </c>
      <c r="K19" s="9">
        <f t="shared" si="1"/>
        <v>0</v>
      </c>
      <c r="L19" s="9">
        <f t="shared" si="2"/>
        <v>0</v>
      </c>
      <c r="M19" s="9">
        <f t="shared" si="3"/>
        <v>0</v>
      </c>
    </row>
    <row r="20" spans="2:13" x14ac:dyDescent="0.4">
      <c r="B20" s="8"/>
      <c r="C20" s="8"/>
      <c r="D20" s="8"/>
      <c r="E20" s="8"/>
      <c r="F20" s="9"/>
      <c r="G20" s="9"/>
      <c r="H20" s="10"/>
      <c r="I20" s="10"/>
      <c r="J20" s="10">
        <f t="shared" si="4"/>
        <v>0</v>
      </c>
      <c r="K20" s="9">
        <f t="shared" si="1"/>
        <v>0</v>
      </c>
      <c r="L20" s="9">
        <f t="shared" si="2"/>
        <v>0</v>
      </c>
      <c r="M20" s="9">
        <f t="shared" si="3"/>
        <v>0</v>
      </c>
    </row>
    <row r="21" spans="2:13" x14ac:dyDescent="0.4">
      <c r="B21" s="8"/>
      <c r="C21" s="8"/>
      <c r="D21" s="8"/>
      <c r="E21" s="8"/>
      <c r="F21" s="9"/>
      <c r="G21" s="9"/>
      <c r="H21" s="10"/>
      <c r="I21" s="10"/>
      <c r="J21" s="10">
        <f t="shared" si="4"/>
        <v>0</v>
      </c>
      <c r="K21" s="9">
        <f t="shared" si="1"/>
        <v>0</v>
      </c>
      <c r="L21" s="9">
        <f t="shared" si="2"/>
        <v>0</v>
      </c>
      <c r="M21" s="9">
        <f t="shared" si="3"/>
        <v>0</v>
      </c>
    </row>
    <row r="22" spans="2:13" x14ac:dyDescent="0.4">
      <c r="B22" s="8"/>
      <c r="C22" s="8"/>
      <c r="D22" s="8"/>
      <c r="E22" s="8"/>
      <c r="F22" s="9"/>
      <c r="G22" s="9"/>
      <c r="H22" s="10"/>
      <c r="I22" s="10"/>
      <c r="J22" s="10">
        <f t="shared" si="4"/>
        <v>0</v>
      </c>
      <c r="K22" s="9">
        <f t="shared" si="1"/>
        <v>0</v>
      </c>
      <c r="L22" s="9">
        <f t="shared" si="2"/>
        <v>0</v>
      </c>
      <c r="M22" s="9">
        <f t="shared" si="3"/>
        <v>0</v>
      </c>
    </row>
    <row r="23" spans="2:13" x14ac:dyDescent="0.4">
      <c r="B23" s="8"/>
      <c r="C23" s="8"/>
      <c r="D23" s="8"/>
      <c r="E23" s="8"/>
      <c r="F23" s="9"/>
      <c r="G23" s="9"/>
      <c r="H23" s="10"/>
      <c r="I23" s="10"/>
      <c r="J23" s="10">
        <f t="shared" si="4"/>
        <v>0</v>
      </c>
      <c r="K23" s="9">
        <f t="shared" si="1"/>
        <v>0</v>
      </c>
      <c r="L23" s="9">
        <f t="shared" si="2"/>
        <v>0</v>
      </c>
      <c r="M23" s="9">
        <f t="shared" si="3"/>
        <v>0</v>
      </c>
    </row>
    <row r="24" spans="2:13" x14ac:dyDescent="0.4">
      <c r="B24" s="8"/>
      <c r="C24" s="8"/>
      <c r="D24" s="8"/>
      <c r="E24" s="8"/>
      <c r="F24" s="9"/>
      <c r="G24" s="9"/>
      <c r="H24" s="10"/>
      <c r="I24" s="10"/>
      <c r="J24" s="10">
        <f t="shared" si="4"/>
        <v>0</v>
      </c>
      <c r="K24" s="9">
        <f t="shared" si="1"/>
        <v>0</v>
      </c>
      <c r="L24" s="9">
        <f t="shared" si="2"/>
        <v>0</v>
      </c>
      <c r="M24" s="9">
        <f t="shared" si="3"/>
        <v>0</v>
      </c>
    </row>
    <row r="25" spans="2:13" x14ac:dyDescent="0.4">
      <c r="B25" s="8"/>
      <c r="C25" s="8"/>
      <c r="D25" s="8"/>
      <c r="E25" s="8"/>
      <c r="F25" s="9"/>
      <c r="G25" s="9"/>
      <c r="H25" s="10"/>
      <c r="I25" s="10"/>
      <c r="J25" s="10">
        <f t="shared" si="4"/>
        <v>0</v>
      </c>
      <c r="K25" s="9">
        <f t="shared" si="1"/>
        <v>0</v>
      </c>
      <c r="L25" s="9">
        <f t="shared" si="2"/>
        <v>0</v>
      </c>
      <c r="M25" s="9">
        <f t="shared" si="3"/>
        <v>0</v>
      </c>
    </row>
    <row r="26" spans="2:13" x14ac:dyDescent="0.4">
      <c r="B26" s="8"/>
      <c r="C26" s="8"/>
      <c r="D26" s="8"/>
      <c r="E26" s="8"/>
      <c r="F26" s="9"/>
      <c r="G26" s="9"/>
      <c r="H26" s="10"/>
      <c r="I26" s="10"/>
      <c r="J26" s="10">
        <f t="shared" si="4"/>
        <v>0</v>
      </c>
      <c r="K26" s="9">
        <f t="shared" si="1"/>
        <v>0</v>
      </c>
      <c r="L26" s="9">
        <f t="shared" si="2"/>
        <v>0</v>
      </c>
      <c r="M26" s="9">
        <f t="shared" si="3"/>
        <v>0</v>
      </c>
    </row>
    <row r="27" spans="2:13" x14ac:dyDescent="0.4">
      <c r="B27" s="8"/>
      <c r="C27" s="8"/>
      <c r="D27" s="8"/>
      <c r="E27" s="8"/>
      <c r="F27" s="9"/>
      <c r="G27" s="9"/>
      <c r="H27" s="10"/>
      <c r="I27" s="10"/>
      <c r="J27" s="10">
        <f t="shared" si="4"/>
        <v>0</v>
      </c>
      <c r="K27" s="9">
        <f t="shared" si="1"/>
        <v>0</v>
      </c>
      <c r="L27" s="9">
        <f t="shared" si="2"/>
        <v>0</v>
      </c>
      <c r="M27" s="9">
        <f t="shared" si="3"/>
        <v>0</v>
      </c>
    </row>
    <row r="28" spans="2:13" x14ac:dyDescent="0.4">
      <c r="B28" s="8"/>
      <c r="C28" s="8"/>
      <c r="D28" s="8"/>
      <c r="E28" s="8"/>
      <c r="F28" s="9"/>
      <c r="G28" s="9"/>
      <c r="H28" s="10"/>
      <c r="I28" s="10"/>
      <c r="J28" s="10">
        <f t="shared" si="4"/>
        <v>0</v>
      </c>
      <c r="K28" s="9">
        <f t="shared" si="1"/>
        <v>0</v>
      </c>
      <c r="L28" s="9">
        <f t="shared" si="2"/>
        <v>0</v>
      </c>
      <c r="M28" s="9">
        <f t="shared" si="3"/>
        <v>0</v>
      </c>
    </row>
    <row r="29" spans="2:13" x14ac:dyDescent="0.4">
      <c r="B29" s="8"/>
      <c r="C29" s="8"/>
      <c r="D29" s="8"/>
      <c r="E29" s="8"/>
      <c r="F29" s="9"/>
      <c r="G29" s="9"/>
      <c r="H29" s="10"/>
      <c r="I29" s="10"/>
      <c r="J29" s="10">
        <f t="shared" si="4"/>
        <v>0</v>
      </c>
      <c r="K29" s="9">
        <f t="shared" si="1"/>
        <v>0</v>
      </c>
      <c r="L29" s="9">
        <f t="shared" si="2"/>
        <v>0</v>
      </c>
      <c r="M29" s="9">
        <f t="shared" si="3"/>
        <v>0</v>
      </c>
    </row>
    <row r="30" spans="2:13" x14ac:dyDescent="0.4">
      <c r="B30" s="8"/>
      <c r="C30" s="8"/>
      <c r="D30" s="8"/>
      <c r="E30" s="8"/>
      <c r="F30" s="9"/>
      <c r="G30" s="9"/>
      <c r="H30" s="10"/>
      <c r="I30" s="10"/>
      <c r="J30" s="10">
        <f t="shared" si="4"/>
        <v>0</v>
      </c>
      <c r="K30" s="9">
        <f t="shared" si="1"/>
        <v>0</v>
      </c>
      <c r="L30" s="9">
        <f t="shared" si="2"/>
        <v>0</v>
      </c>
      <c r="M30" s="9">
        <f t="shared" si="3"/>
        <v>0</v>
      </c>
    </row>
    <row r="31" spans="2:13" x14ac:dyDescent="0.4">
      <c r="B31" s="8"/>
      <c r="C31" s="8"/>
      <c r="D31" s="8"/>
      <c r="E31" s="8"/>
      <c r="F31" s="9"/>
      <c r="G31" s="9"/>
      <c r="H31" s="10"/>
      <c r="I31" s="10"/>
      <c r="J31" s="10">
        <f t="shared" si="4"/>
        <v>0</v>
      </c>
      <c r="K31" s="9">
        <f t="shared" si="1"/>
        <v>0</v>
      </c>
      <c r="L31" s="9">
        <f t="shared" si="2"/>
        <v>0</v>
      </c>
      <c r="M31" s="9">
        <f t="shared" si="3"/>
        <v>0</v>
      </c>
    </row>
    <row r="32" spans="2:13" x14ac:dyDescent="0.4">
      <c r="B32" s="8"/>
      <c r="C32" s="8"/>
      <c r="D32" s="8"/>
      <c r="E32" s="8"/>
      <c r="F32" s="9"/>
      <c r="G32" s="9"/>
      <c r="H32" s="10"/>
      <c r="I32" s="10"/>
      <c r="J32" s="10">
        <f t="shared" si="4"/>
        <v>0</v>
      </c>
      <c r="K32" s="9">
        <f t="shared" si="1"/>
        <v>0</v>
      </c>
      <c r="L32" s="9">
        <f t="shared" si="2"/>
        <v>0</v>
      </c>
      <c r="M32" s="9">
        <f t="shared" si="3"/>
        <v>0</v>
      </c>
    </row>
    <row r="33" spans="2:13" x14ac:dyDescent="0.4">
      <c r="B33" s="8"/>
      <c r="C33" s="8"/>
      <c r="D33" s="8"/>
      <c r="E33" s="8"/>
      <c r="F33" s="9"/>
      <c r="G33" s="9"/>
      <c r="H33" s="10"/>
      <c r="I33" s="10"/>
      <c r="J33" s="10">
        <f t="shared" si="4"/>
        <v>0</v>
      </c>
      <c r="K33" s="9">
        <f t="shared" si="1"/>
        <v>0</v>
      </c>
      <c r="L33" s="9">
        <f t="shared" si="2"/>
        <v>0</v>
      </c>
      <c r="M33" s="9">
        <f t="shared" si="3"/>
        <v>0</v>
      </c>
    </row>
    <row r="34" spans="2:13" x14ac:dyDescent="0.4">
      <c r="B34" s="8"/>
      <c r="C34" s="8"/>
      <c r="D34" s="8"/>
      <c r="E34" s="8"/>
      <c r="F34" s="9"/>
      <c r="G34" s="9"/>
      <c r="H34" s="10"/>
      <c r="I34" s="10"/>
      <c r="J34" s="10">
        <f t="shared" si="4"/>
        <v>0</v>
      </c>
      <c r="K34" s="9">
        <f t="shared" si="1"/>
        <v>0</v>
      </c>
      <c r="L34" s="9">
        <f t="shared" si="2"/>
        <v>0</v>
      </c>
      <c r="M34" s="9">
        <f t="shared" si="3"/>
        <v>0</v>
      </c>
    </row>
    <row r="35" spans="2:13" x14ac:dyDescent="0.4">
      <c r="B35" s="8"/>
      <c r="C35" s="8"/>
      <c r="D35" s="8"/>
      <c r="E35" s="8"/>
      <c r="F35" s="9"/>
      <c r="G35" s="9"/>
      <c r="H35" s="10"/>
      <c r="I35" s="10"/>
      <c r="J35" s="10">
        <f t="shared" si="4"/>
        <v>0</v>
      </c>
      <c r="K35" s="9">
        <f t="shared" si="1"/>
        <v>0</v>
      </c>
      <c r="L35" s="9">
        <f t="shared" si="2"/>
        <v>0</v>
      </c>
      <c r="M35" s="9">
        <f t="shared" si="3"/>
        <v>0</v>
      </c>
    </row>
    <row r="36" spans="2:13" x14ac:dyDescent="0.4">
      <c r="B36" s="8"/>
      <c r="C36" s="8"/>
      <c r="D36" s="8"/>
      <c r="E36" s="8"/>
      <c r="F36" s="9"/>
      <c r="G36" s="9"/>
      <c r="H36" s="10"/>
      <c r="I36" s="10"/>
      <c r="J36" s="10">
        <f t="shared" si="4"/>
        <v>0</v>
      </c>
      <c r="K36" s="9">
        <f t="shared" si="1"/>
        <v>0</v>
      </c>
      <c r="L36" s="9">
        <f t="shared" si="2"/>
        <v>0</v>
      </c>
      <c r="M36" s="9">
        <f t="shared" si="3"/>
        <v>0</v>
      </c>
    </row>
    <row r="37" spans="2:13" x14ac:dyDescent="0.4">
      <c r="B37" s="8"/>
      <c r="C37" s="8"/>
      <c r="D37" s="8"/>
      <c r="E37" s="8"/>
      <c r="F37" s="9"/>
      <c r="G37" s="9"/>
      <c r="H37" s="10"/>
      <c r="I37" s="10"/>
      <c r="J37" s="10">
        <f t="shared" si="4"/>
        <v>0</v>
      </c>
      <c r="K37" s="9">
        <f t="shared" si="1"/>
        <v>0</v>
      </c>
      <c r="L37" s="9">
        <f t="shared" si="2"/>
        <v>0</v>
      </c>
      <c r="M37" s="9">
        <f t="shared" si="3"/>
        <v>0</v>
      </c>
    </row>
    <row r="38" spans="2:13" x14ac:dyDescent="0.4">
      <c r="B38" s="8"/>
      <c r="C38" s="8"/>
      <c r="D38" s="8"/>
      <c r="E38" s="8"/>
      <c r="F38" s="9"/>
      <c r="G38" s="9"/>
      <c r="H38" s="10"/>
      <c r="I38" s="10"/>
      <c r="J38" s="10">
        <f t="shared" si="4"/>
        <v>0</v>
      </c>
      <c r="K38" s="9">
        <f t="shared" si="1"/>
        <v>0</v>
      </c>
      <c r="L38" s="9">
        <f t="shared" si="2"/>
        <v>0</v>
      </c>
      <c r="M38" s="9">
        <f t="shared" si="3"/>
        <v>0</v>
      </c>
    </row>
    <row r="39" spans="2:13" x14ac:dyDescent="0.4">
      <c r="B39" s="8"/>
      <c r="C39" s="8"/>
      <c r="D39" s="8"/>
      <c r="E39" s="8"/>
      <c r="F39" s="9"/>
      <c r="G39" s="9"/>
      <c r="H39" s="10"/>
      <c r="I39" s="10"/>
      <c r="J39" s="10">
        <f t="shared" si="4"/>
        <v>0</v>
      </c>
      <c r="K39" s="9">
        <f t="shared" si="1"/>
        <v>0</v>
      </c>
      <c r="L39" s="9">
        <f t="shared" si="2"/>
        <v>0</v>
      </c>
      <c r="M39" s="9">
        <f t="shared" si="3"/>
        <v>0</v>
      </c>
    </row>
    <row r="40" spans="2:13" x14ac:dyDescent="0.4">
      <c r="B40" s="8"/>
      <c r="C40" s="8"/>
      <c r="D40" s="8"/>
      <c r="E40" s="8"/>
      <c r="F40" s="9"/>
      <c r="G40" s="9"/>
      <c r="H40" s="10"/>
      <c r="I40" s="10"/>
      <c r="J40" s="10">
        <f t="shared" si="4"/>
        <v>0</v>
      </c>
      <c r="K40" s="9">
        <f t="shared" si="1"/>
        <v>0</v>
      </c>
      <c r="L40" s="9">
        <f t="shared" si="2"/>
        <v>0</v>
      </c>
      <c r="M40" s="9">
        <f t="shared" si="3"/>
        <v>0</v>
      </c>
    </row>
    <row r="41" spans="2:13" x14ac:dyDescent="0.4">
      <c r="B41" s="8"/>
      <c r="C41" s="8"/>
      <c r="D41" s="8"/>
      <c r="E41" s="8"/>
      <c r="F41" s="9"/>
      <c r="G41" s="9"/>
      <c r="H41" s="10"/>
      <c r="I41" s="10"/>
      <c r="J41" s="10">
        <f t="shared" si="4"/>
        <v>0</v>
      </c>
      <c r="K41" s="9">
        <f t="shared" si="1"/>
        <v>0</v>
      </c>
      <c r="L41" s="9">
        <f t="shared" si="2"/>
        <v>0</v>
      </c>
      <c r="M41" s="9">
        <f t="shared" si="3"/>
        <v>0</v>
      </c>
    </row>
    <row r="42" spans="2:13" x14ac:dyDescent="0.4">
      <c r="B42" s="8"/>
      <c r="C42" s="8"/>
      <c r="D42" s="8"/>
      <c r="E42" s="8"/>
      <c r="F42" s="9"/>
      <c r="G42" s="9"/>
      <c r="H42" s="10"/>
      <c r="I42" s="10"/>
      <c r="J42" s="10">
        <f t="shared" si="4"/>
        <v>0</v>
      </c>
      <c r="K42" s="9">
        <f t="shared" si="1"/>
        <v>0</v>
      </c>
      <c r="L42" s="9">
        <f t="shared" si="2"/>
        <v>0</v>
      </c>
      <c r="M42" s="9">
        <f t="shared" si="3"/>
        <v>0</v>
      </c>
    </row>
    <row r="43" spans="2:13" x14ac:dyDescent="0.4">
      <c r="B43" s="8"/>
      <c r="C43" s="8"/>
      <c r="D43" s="8"/>
      <c r="E43" s="8"/>
      <c r="F43" s="9"/>
      <c r="G43" s="9"/>
      <c r="H43" s="10"/>
      <c r="I43" s="10"/>
      <c r="J43" s="10">
        <f t="shared" si="4"/>
        <v>0</v>
      </c>
      <c r="K43" s="9">
        <f t="shared" si="1"/>
        <v>0</v>
      </c>
      <c r="L43" s="9">
        <f t="shared" si="2"/>
        <v>0</v>
      </c>
      <c r="M43" s="9">
        <f t="shared" si="3"/>
        <v>0</v>
      </c>
    </row>
    <row r="44" spans="2:13" x14ac:dyDescent="0.4">
      <c r="B44" s="8"/>
      <c r="C44" s="8"/>
      <c r="D44" s="8"/>
      <c r="E44" s="8"/>
      <c r="F44" s="9"/>
      <c r="G44" s="9"/>
      <c r="H44" s="10"/>
      <c r="I44" s="10"/>
      <c r="J44" s="10">
        <f t="shared" si="4"/>
        <v>0</v>
      </c>
      <c r="K44" s="9">
        <f t="shared" si="1"/>
        <v>0</v>
      </c>
      <c r="L44" s="9">
        <f t="shared" si="2"/>
        <v>0</v>
      </c>
      <c r="M44" s="9">
        <f t="shared" si="3"/>
        <v>0</v>
      </c>
    </row>
    <row r="45" spans="2:13" x14ac:dyDescent="0.4">
      <c r="B45" s="8"/>
      <c r="C45" s="8"/>
      <c r="D45" s="8"/>
      <c r="E45" s="8"/>
      <c r="F45" s="9"/>
      <c r="G45" s="9"/>
      <c r="H45" s="10"/>
      <c r="I45" s="10"/>
      <c r="J45" s="10">
        <f t="shared" si="4"/>
        <v>0</v>
      </c>
      <c r="K45" s="9">
        <f t="shared" si="1"/>
        <v>0</v>
      </c>
      <c r="L45" s="9">
        <f t="shared" si="2"/>
        <v>0</v>
      </c>
      <c r="M45" s="9">
        <f t="shared" si="3"/>
        <v>0</v>
      </c>
    </row>
    <row r="46" spans="2:13" x14ac:dyDescent="0.4">
      <c r="B46" s="8"/>
      <c r="C46" s="8"/>
      <c r="D46" s="8"/>
      <c r="E46" s="8"/>
      <c r="F46" s="9"/>
      <c r="G46" s="9"/>
      <c r="H46" s="10"/>
      <c r="I46" s="10"/>
      <c r="J46" s="10">
        <f t="shared" si="4"/>
        <v>0</v>
      </c>
      <c r="K46" s="9">
        <f t="shared" si="1"/>
        <v>0</v>
      </c>
      <c r="L46" s="9">
        <f t="shared" si="2"/>
        <v>0</v>
      </c>
      <c r="M46" s="9">
        <f t="shared" si="3"/>
        <v>0</v>
      </c>
    </row>
    <row r="47" spans="2:13" x14ac:dyDescent="0.4">
      <c r="B47" s="8"/>
      <c r="C47" s="8"/>
      <c r="D47" s="8"/>
      <c r="E47" s="8"/>
      <c r="F47" s="9"/>
      <c r="G47" s="9"/>
      <c r="H47" s="10"/>
      <c r="I47" s="10"/>
      <c r="J47" s="10">
        <f t="shared" si="4"/>
        <v>0</v>
      </c>
      <c r="K47" s="9">
        <f t="shared" si="1"/>
        <v>0</v>
      </c>
      <c r="L47" s="9">
        <f t="shared" si="2"/>
        <v>0</v>
      </c>
      <c r="M47" s="9">
        <f t="shared" si="3"/>
        <v>0</v>
      </c>
    </row>
    <row r="48" spans="2:13" x14ac:dyDescent="0.4">
      <c r="B48" s="8"/>
      <c r="C48" s="8"/>
      <c r="D48" s="8"/>
      <c r="E48" s="8"/>
      <c r="F48" s="9"/>
      <c r="G48" s="9"/>
      <c r="H48" s="10"/>
      <c r="I48" s="10"/>
      <c r="J48" s="10">
        <f t="shared" si="4"/>
        <v>0</v>
      </c>
      <c r="K48" s="9">
        <f t="shared" si="1"/>
        <v>0</v>
      </c>
      <c r="L48" s="9">
        <f t="shared" si="2"/>
        <v>0</v>
      </c>
      <c r="M48" s="9">
        <f t="shared" si="3"/>
        <v>0</v>
      </c>
    </row>
    <row r="49" spans="2:13" x14ac:dyDescent="0.4">
      <c r="B49" s="8"/>
      <c r="C49" s="8"/>
      <c r="D49" s="8"/>
      <c r="E49" s="8"/>
      <c r="F49" s="9"/>
      <c r="G49" s="9"/>
      <c r="H49" s="10"/>
      <c r="I49" s="10"/>
      <c r="J49" s="10">
        <f t="shared" si="4"/>
        <v>0</v>
      </c>
      <c r="K49" s="9">
        <f t="shared" si="1"/>
        <v>0</v>
      </c>
      <c r="L49" s="9">
        <f t="shared" si="2"/>
        <v>0</v>
      </c>
      <c r="M49" s="9">
        <f t="shared" si="3"/>
        <v>0</v>
      </c>
    </row>
    <row r="50" spans="2:13" x14ac:dyDescent="0.4">
      <c r="B50" s="8"/>
      <c r="C50" s="8"/>
      <c r="D50" s="8"/>
      <c r="E50" s="8"/>
      <c r="F50" s="9"/>
      <c r="G50" s="9"/>
      <c r="H50" s="10"/>
      <c r="I50" s="10"/>
      <c r="J50" s="10">
        <f t="shared" si="4"/>
        <v>0</v>
      </c>
      <c r="K50" s="9">
        <f t="shared" si="1"/>
        <v>0</v>
      </c>
      <c r="L50" s="9">
        <f t="shared" si="2"/>
        <v>0</v>
      </c>
      <c r="M50" s="9">
        <f t="shared" si="3"/>
        <v>0</v>
      </c>
    </row>
    <row r="51" spans="2:13" x14ac:dyDescent="0.4">
      <c r="B51" s="8"/>
      <c r="C51" s="8"/>
      <c r="D51" s="8"/>
      <c r="E51" s="8"/>
      <c r="F51" s="9"/>
      <c r="G51" s="9"/>
      <c r="H51" s="10"/>
      <c r="I51" s="10"/>
      <c r="J51" s="10">
        <f t="shared" si="4"/>
        <v>0</v>
      </c>
      <c r="K51" s="9">
        <f t="shared" si="1"/>
        <v>0</v>
      </c>
      <c r="L51" s="9">
        <f t="shared" si="2"/>
        <v>0</v>
      </c>
      <c r="M51" s="9">
        <f t="shared" si="3"/>
        <v>0</v>
      </c>
    </row>
    <row r="52" spans="2:13" x14ac:dyDescent="0.4">
      <c r="B52" s="8"/>
      <c r="C52" s="8"/>
      <c r="D52" s="8"/>
      <c r="E52" s="8"/>
      <c r="F52" s="9"/>
      <c r="G52" s="9"/>
      <c r="H52" s="10"/>
      <c r="I52" s="10"/>
      <c r="J52" s="10">
        <f t="shared" si="4"/>
        <v>0</v>
      </c>
      <c r="K52" s="9">
        <f t="shared" si="1"/>
        <v>0</v>
      </c>
      <c r="L52" s="9">
        <f t="shared" si="2"/>
        <v>0</v>
      </c>
      <c r="M52" s="9">
        <f t="shared" si="3"/>
        <v>0</v>
      </c>
    </row>
    <row r="53" spans="2:13" x14ac:dyDescent="0.4">
      <c r="B53" s="8"/>
      <c r="C53" s="8"/>
      <c r="D53" s="8"/>
      <c r="E53" s="8"/>
      <c r="F53" s="9"/>
      <c r="G53" s="9"/>
      <c r="H53" s="10"/>
      <c r="I53" s="10"/>
      <c r="J53" s="10">
        <f t="shared" si="4"/>
        <v>0</v>
      </c>
      <c r="K53" s="9">
        <f t="shared" si="1"/>
        <v>0</v>
      </c>
      <c r="L53" s="9">
        <f t="shared" si="2"/>
        <v>0</v>
      </c>
      <c r="M53" s="9">
        <f t="shared" si="3"/>
        <v>0</v>
      </c>
    </row>
    <row r="54" spans="2:13" x14ac:dyDescent="0.4">
      <c r="B54" s="8"/>
      <c r="C54" s="8"/>
      <c r="D54" s="8"/>
      <c r="E54" s="8"/>
      <c r="F54" s="9"/>
      <c r="G54" s="9"/>
      <c r="H54" s="10"/>
      <c r="I54" s="10"/>
      <c r="J54" s="10">
        <f t="shared" si="4"/>
        <v>0</v>
      </c>
      <c r="K54" s="9">
        <f t="shared" si="1"/>
        <v>0</v>
      </c>
      <c r="L54" s="9">
        <f t="shared" si="2"/>
        <v>0</v>
      </c>
      <c r="M54" s="9">
        <f t="shared" si="3"/>
        <v>0</v>
      </c>
    </row>
    <row r="55" spans="2:13" x14ac:dyDescent="0.4">
      <c r="B55" s="8"/>
      <c r="C55" s="8"/>
      <c r="D55" s="8"/>
      <c r="E55" s="8"/>
      <c r="F55" s="9"/>
      <c r="G55" s="9"/>
      <c r="H55" s="10"/>
      <c r="I55" s="10"/>
      <c r="J55" s="10">
        <f t="shared" si="4"/>
        <v>0</v>
      </c>
      <c r="K55" s="9">
        <f t="shared" si="1"/>
        <v>0</v>
      </c>
      <c r="L55" s="9">
        <f t="shared" si="2"/>
        <v>0</v>
      </c>
      <c r="M55" s="9">
        <f t="shared" si="3"/>
        <v>0</v>
      </c>
    </row>
    <row r="56" spans="2:13" x14ac:dyDescent="0.4">
      <c r="B56" s="8"/>
      <c r="C56" s="8"/>
      <c r="D56" s="8"/>
      <c r="E56" s="8"/>
      <c r="F56" s="9"/>
      <c r="G56" s="9"/>
      <c r="H56" s="10"/>
      <c r="I56" s="10"/>
      <c r="J56" s="10">
        <f t="shared" si="4"/>
        <v>0</v>
      </c>
      <c r="K56" s="9">
        <f t="shared" si="1"/>
        <v>0</v>
      </c>
      <c r="L56" s="9">
        <f t="shared" si="2"/>
        <v>0</v>
      </c>
      <c r="M56" s="9">
        <f t="shared" si="3"/>
        <v>0</v>
      </c>
    </row>
    <row r="57" spans="2:13" x14ac:dyDescent="0.4">
      <c r="B57" s="8"/>
      <c r="C57" s="8"/>
      <c r="D57" s="8"/>
      <c r="E57" s="8"/>
      <c r="F57" s="9"/>
      <c r="G57" s="9"/>
      <c r="H57" s="10"/>
      <c r="I57" s="10"/>
      <c r="J57" s="10">
        <f t="shared" si="4"/>
        <v>0</v>
      </c>
      <c r="K57" s="9">
        <f t="shared" si="1"/>
        <v>0</v>
      </c>
      <c r="L57" s="9">
        <f t="shared" si="2"/>
        <v>0</v>
      </c>
      <c r="M57" s="9">
        <f t="shared" si="3"/>
        <v>0</v>
      </c>
    </row>
    <row r="58" spans="2:13" x14ac:dyDescent="0.4">
      <c r="B58" s="8"/>
      <c r="C58" s="8"/>
      <c r="D58" s="8"/>
      <c r="E58" s="8"/>
      <c r="F58" s="9"/>
      <c r="G58" s="9"/>
      <c r="H58" s="10"/>
      <c r="I58" s="10"/>
      <c r="J58" s="10">
        <f t="shared" si="4"/>
        <v>0</v>
      </c>
      <c r="K58" s="9">
        <f t="shared" si="1"/>
        <v>0</v>
      </c>
      <c r="L58" s="9">
        <f t="shared" si="2"/>
        <v>0</v>
      </c>
      <c r="M58" s="9">
        <f t="shared" si="3"/>
        <v>0</v>
      </c>
    </row>
    <row r="59" spans="2:13" x14ac:dyDescent="0.4">
      <c r="B59" s="8"/>
      <c r="C59" s="8"/>
      <c r="D59" s="8"/>
      <c r="E59" s="8"/>
      <c r="F59" s="9"/>
      <c r="G59" s="9"/>
      <c r="H59" s="10"/>
      <c r="I59" s="10"/>
      <c r="J59" s="10">
        <f t="shared" si="4"/>
        <v>0</v>
      </c>
      <c r="K59" s="9">
        <f t="shared" si="1"/>
        <v>0</v>
      </c>
      <c r="L59" s="9">
        <f t="shared" si="2"/>
        <v>0</v>
      </c>
      <c r="M59" s="9">
        <f t="shared" si="3"/>
        <v>0</v>
      </c>
    </row>
    <row r="60" spans="2:13" x14ac:dyDescent="0.4">
      <c r="B60" s="8"/>
      <c r="C60" s="8"/>
      <c r="D60" s="8"/>
      <c r="E60" s="8"/>
      <c r="F60" s="9"/>
      <c r="G60" s="9"/>
      <c r="H60" s="10"/>
      <c r="I60" s="10"/>
      <c r="J60" s="10">
        <f t="shared" si="4"/>
        <v>0</v>
      </c>
      <c r="K60" s="9">
        <f t="shared" si="1"/>
        <v>0</v>
      </c>
      <c r="L60" s="9">
        <f t="shared" si="2"/>
        <v>0</v>
      </c>
      <c r="M60" s="9">
        <f t="shared" si="3"/>
        <v>0</v>
      </c>
    </row>
    <row r="61" spans="2:13" x14ac:dyDescent="0.4">
      <c r="B61" s="8"/>
      <c r="C61" s="8"/>
      <c r="D61" s="8"/>
      <c r="E61" s="8"/>
      <c r="F61" s="9"/>
      <c r="G61" s="9"/>
      <c r="H61" s="10"/>
      <c r="I61" s="10"/>
      <c r="J61" s="10">
        <f t="shared" si="4"/>
        <v>0</v>
      </c>
      <c r="K61" s="9">
        <f t="shared" si="1"/>
        <v>0</v>
      </c>
      <c r="L61" s="9">
        <f t="shared" si="2"/>
        <v>0</v>
      </c>
      <c r="M61" s="9">
        <f t="shared" si="3"/>
        <v>0</v>
      </c>
    </row>
    <row r="62" spans="2:13" x14ac:dyDescent="0.4">
      <c r="B62" s="8"/>
      <c r="C62" s="8"/>
      <c r="D62" s="8"/>
      <c r="E62" s="8"/>
      <c r="F62" s="9"/>
      <c r="G62" s="9"/>
      <c r="H62" s="10"/>
      <c r="I62" s="10"/>
      <c r="J62" s="10">
        <f t="shared" si="4"/>
        <v>0</v>
      </c>
      <c r="K62" s="9">
        <f t="shared" si="1"/>
        <v>0</v>
      </c>
      <c r="L62" s="9">
        <f t="shared" si="2"/>
        <v>0</v>
      </c>
      <c r="M62" s="9">
        <f t="shared" si="3"/>
        <v>0</v>
      </c>
    </row>
    <row r="63" spans="2:13" x14ac:dyDescent="0.4">
      <c r="B63" s="8"/>
      <c r="C63" s="8"/>
      <c r="D63" s="8"/>
      <c r="E63" s="8"/>
      <c r="F63" s="9"/>
      <c r="G63" s="9"/>
      <c r="H63" s="10"/>
      <c r="I63" s="10"/>
      <c r="J63" s="10">
        <f t="shared" si="4"/>
        <v>0</v>
      </c>
      <c r="K63" s="9">
        <f t="shared" si="1"/>
        <v>0</v>
      </c>
      <c r="L63" s="9">
        <f t="shared" si="2"/>
        <v>0</v>
      </c>
      <c r="M63" s="9">
        <f t="shared" si="3"/>
        <v>0</v>
      </c>
    </row>
    <row r="64" spans="2:13" x14ac:dyDescent="0.4">
      <c r="B64" s="8"/>
      <c r="C64" s="8"/>
      <c r="D64" s="8"/>
      <c r="E64" s="8"/>
      <c r="F64" s="9"/>
      <c r="G64" s="9"/>
      <c r="H64" s="10"/>
      <c r="I64" s="10"/>
      <c r="J64" s="10">
        <f t="shared" si="4"/>
        <v>0</v>
      </c>
      <c r="K64" s="9">
        <f t="shared" si="1"/>
        <v>0</v>
      </c>
      <c r="L64" s="9">
        <f t="shared" si="2"/>
        <v>0</v>
      </c>
      <c r="M64" s="9">
        <f t="shared" si="3"/>
        <v>0</v>
      </c>
    </row>
    <row r="65" spans="2:13" x14ac:dyDescent="0.4">
      <c r="B65" s="8"/>
      <c r="C65" s="8"/>
      <c r="D65" s="8"/>
      <c r="E65" s="8"/>
      <c r="F65" s="9"/>
      <c r="G65" s="9"/>
      <c r="H65" s="10"/>
      <c r="I65" s="10"/>
      <c r="J65" s="10">
        <f t="shared" si="4"/>
        <v>0</v>
      </c>
      <c r="K65" s="9">
        <f t="shared" si="1"/>
        <v>0</v>
      </c>
      <c r="L65" s="9">
        <f t="shared" si="2"/>
        <v>0</v>
      </c>
      <c r="M65" s="9">
        <f t="shared" si="3"/>
        <v>0</v>
      </c>
    </row>
    <row r="66" spans="2:13" x14ac:dyDescent="0.4">
      <c r="B66" s="8"/>
      <c r="C66" s="8"/>
      <c r="D66" s="8"/>
      <c r="E66" s="8"/>
      <c r="F66" s="9"/>
      <c r="G66" s="9"/>
      <c r="H66" s="10"/>
      <c r="I66" s="10"/>
      <c r="J66" s="10">
        <f t="shared" si="4"/>
        <v>0</v>
      </c>
      <c r="K66" s="9">
        <f t="shared" si="1"/>
        <v>0</v>
      </c>
      <c r="L66" s="9">
        <f t="shared" si="2"/>
        <v>0</v>
      </c>
      <c r="M66" s="9">
        <f t="shared" si="3"/>
        <v>0</v>
      </c>
    </row>
    <row r="67" spans="2:13" x14ac:dyDescent="0.4">
      <c r="B67" s="8"/>
      <c r="C67" s="8"/>
      <c r="D67" s="8"/>
      <c r="E67" s="8"/>
      <c r="F67" s="9"/>
      <c r="G67" s="9"/>
      <c r="H67" s="10"/>
      <c r="I67" s="10"/>
      <c r="J67" s="10">
        <f t="shared" si="4"/>
        <v>0</v>
      </c>
      <c r="K67" s="9">
        <f t="shared" si="1"/>
        <v>0</v>
      </c>
      <c r="L67" s="9">
        <f t="shared" si="2"/>
        <v>0</v>
      </c>
      <c r="M67" s="9">
        <f t="shared" si="3"/>
        <v>0</v>
      </c>
    </row>
    <row r="68" spans="2:13" x14ac:dyDescent="0.4">
      <c r="B68" s="8"/>
      <c r="C68" s="8"/>
      <c r="D68" s="8"/>
      <c r="E68" s="8"/>
      <c r="F68" s="9"/>
      <c r="G68" s="9"/>
      <c r="H68" s="10"/>
      <c r="I68" s="10"/>
      <c r="J68" s="10">
        <f t="shared" si="4"/>
        <v>0</v>
      </c>
      <c r="K68" s="9">
        <f t="shared" si="1"/>
        <v>0</v>
      </c>
      <c r="L68" s="9">
        <f t="shared" si="2"/>
        <v>0</v>
      </c>
      <c r="M68" s="9">
        <f t="shared" si="3"/>
        <v>0</v>
      </c>
    </row>
    <row r="69" spans="2:13" x14ac:dyDescent="0.4">
      <c r="B69" s="8"/>
      <c r="C69" s="8"/>
      <c r="D69" s="8"/>
      <c r="E69" s="8"/>
      <c r="F69" s="9"/>
      <c r="G69" s="9"/>
      <c r="H69" s="10"/>
      <c r="I69" s="10"/>
      <c r="J69" s="10">
        <f t="shared" si="4"/>
        <v>0</v>
      </c>
      <c r="K69" s="9">
        <f t="shared" si="1"/>
        <v>0</v>
      </c>
      <c r="L69" s="9">
        <f t="shared" si="2"/>
        <v>0</v>
      </c>
      <c r="M69" s="9">
        <f t="shared" si="3"/>
        <v>0</v>
      </c>
    </row>
    <row r="70" spans="2:13" x14ac:dyDescent="0.4">
      <c r="B70" s="8"/>
      <c r="C70" s="8"/>
      <c r="D70" s="8"/>
      <c r="E70" s="8"/>
      <c r="F70" s="9"/>
      <c r="G70" s="9"/>
      <c r="H70" s="10"/>
      <c r="I70" s="10"/>
      <c r="J70" s="10">
        <f t="shared" si="4"/>
        <v>0</v>
      </c>
      <c r="K70" s="9">
        <f t="shared" ref="K70:K87" si="5">J70*F70</f>
        <v>0</v>
      </c>
      <c r="L70" s="9">
        <f t="shared" ref="L70:L87" si="6">K70*J70</f>
        <v>0</v>
      </c>
      <c r="M70" s="9">
        <f t="shared" ref="M70:M87" si="7">L70-K70</f>
        <v>0</v>
      </c>
    </row>
    <row r="71" spans="2:13" x14ac:dyDescent="0.4">
      <c r="B71" s="8"/>
      <c r="C71" s="8"/>
      <c r="D71" s="8"/>
      <c r="E71" s="8"/>
      <c r="F71" s="9"/>
      <c r="G71" s="9"/>
      <c r="H71" s="10"/>
      <c r="I71" s="10"/>
      <c r="J71" s="10">
        <f t="shared" si="4"/>
        <v>0</v>
      </c>
      <c r="K71" s="9">
        <f t="shared" si="5"/>
        <v>0</v>
      </c>
      <c r="L71" s="9">
        <f t="shared" si="6"/>
        <v>0</v>
      </c>
      <c r="M71" s="9">
        <f t="shared" si="7"/>
        <v>0</v>
      </c>
    </row>
    <row r="72" spans="2:13" x14ac:dyDescent="0.4">
      <c r="B72" s="8"/>
      <c r="C72" s="8"/>
      <c r="D72" s="8"/>
      <c r="E72" s="8"/>
      <c r="F72" s="9"/>
      <c r="G72" s="9"/>
      <c r="H72" s="10"/>
      <c r="I72" s="10"/>
      <c r="J72" s="10">
        <f t="shared" si="4"/>
        <v>0</v>
      </c>
      <c r="K72" s="9">
        <f t="shared" si="5"/>
        <v>0</v>
      </c>
      <c r="L72" s="9">
        <f t="shared" si="6"/>
        <v>0</v>
      </c>
      <c r="M72" s="9">
        <f t="shared" si="7"/>
        <v>0</v>
      </c>
    </row>
    <row r="73" spans="2:13" x14ac:dyDescent="0.4">
      <c r="B73" s="8"/>
      <c r="C73" s="8"/>
      <c r="D73" s="8"/>
      <c r="E73" s="8"/>
      <c r="F73" s="9"/>
      <c r="G73" s="9"/>
      <c r="H73" s="10"/>
      <c r="I73" s="10"/>
      <c r="J73" s="10">
        <f t="shared" si="4"/>
        <v>0</v>
      </c>
      <c r="K73" s="9">
        <f t="shared" si="5"/>
        <v>0</v>
      </c>
      <c r="L73" s="9">
        <f t="shared" si="6"/>
        <v>0</v>
      </c>
      <c r="M73" s="9">
        <f t="shared" si="7"/>
        <v>0</v>
      </c>
    </row>
    <row r="74" spans="2:13" x14ac:dyDescent="0.4">
      <c r="B74" s="8"/>
      <c r="C74" s="8"/>
      <c r="D74" s="8"/>
      <c r="E74" s="8"/>
      <c r="F74" s="9"/>
      <c r="G74" s="9"/>
      <c r="H74" s="10"/>
      <c r="I74" s="10"/>
      <c r="J74" s="10">
        <f t="shared" ref="J74:J87" si="8">H74-I74</f>
        <v>0</v>
      </c>
      <c r="K74" s="9">
        <f t="shared" si="5"/>
        <v>0</v>
      </c>
      <c r="L74" s="9">
        <f t="shared" si="6"/>
        <v>0</v>
      </c>
      <c r="M74" s="9">
        <f t="shared" si="7"/>
        <v>0</v>
      </c>
    </row>
    <row r="75" spans="2:13" x14ac:dyDescent="0.4">
      <c r="B75" s="8"/>
      <c r="C75" s="8"/>
      <c r="D75" s="8"/>
      <c r="E75" s="8"/>
      <c r="F75" s="9"/>
      <c r="G75" s="9"/>
      <c r="H75" s="10"/>
      <c r="I75" s="10"/>
      <c r="J75" s="10">
        <f t="shared" si="8"/>
        <v>0</v>
      </c>
      <c r="K75" s="9">
        <f t="shared" si="5"/>
        <v>0</v>
      </c>
      <c r="L75" s="9">
        <f t="shared" si="6"/>
        <v>0</v>
      </c>
      <c r="M75" s="9">
        <f t="shared" si="7"/>
        <v>0</v>
      </c>
    </row>
    <row r="76" spans="2:13" x14ac:dyDescent="0.4">
      <c r="B76" s="8"/>
      <c r="C76" s="8"/>
      <c r="D76" s="8"/>
      <c r="E76" s="8"/>
      <c r="F76" s="9"/>
      <c r="G76" s="9"/>
      <c r="H76" s="10"/>
      <c r="I76" s="10"/>
      <c r="J76" s="10">
        <f t="shared" si="8"/>
        <v>0</v>
      </c>
      <c r="K76" s="9">
        <f t="shared" si="5"/>
        <v>0</v>
      </c>
      <c r="L76" s="9">
        <f t="shared" si="6"/>
        <v>0</v>
      </c>
      <c r="M76" s="9">
        <f t="shared" si="7"/>
        <v>0</v>
      </c>
    </row>
    <row r="77" spans="2:13" x14ac:dyDescent="0.4">
      <c r="B77" s="8"/>
      <c r="C77" s="8"/>
      <c r="D77" s="8"/>
      <c r="E77" s="8"/>
      <c r="F77" s="9"/>
      <c r="G77" s="9"/>
      <c r="H77" s="10"/>
      <c r="I77" s="10"/>
      <c r="J77" s="10">
        <f t="shared" si="8"/>
        <v>0</v>
      </c>
      <c r="K77" s="9">
        <f t="shared" si="5"/>
        <v>0</v>
      </c>
      <c r="L77" s="9">
        <f t="shared" si="6"/>
        <v>0</v>
      </c>
      <c r="M77" s="9">
        <f t="shared" si="7"/>
        <v>0</v>
      </c>
    </row>
    <row r="78" spans="2:13" x14ac:dyDescent="0.4">
      <c r="B78" s="8"/>
      <c r="C78" s="8"/>
      <c r="D78" s="8"/>
      <c r="E78" s="8"/>
      <c r="F78" s="9"/>
      <c r="G78" s="9"/>
      <c r="H78" s="10"/>
      <c r="I78" s="10"/>
      <c r="J78" s="10">
        <f t="shared" si="8"/>
        <v>0</v>
      </c>
      <c r="K78" s="9">
        <f t="shared" si="5"/>
        <v>0</v>
      </c>
      <c r="L78" s="9">
        <f t="shared" si="6"/>
        <v>0</v>
      </c>
      <c r="M78" s="9">
        <f t="shared" si="7"/>
        <v>0</v>
      </c>
    </row>
    <row r="79" spans="2:13" x14ac:dyDescent="0.4">
      <c r="B79" s="8"/>
      <c r="C79" s="8"/>
      <c r="D79" s="8"/>
      <c r="E79" s="8"/>
      <c r="F79" s="9"/>
      <c r="G79" s="9"/>
      <c r="H79" s="10"/>
      <c r="I79" s="10"/>
      <c r="J79" s="10">
        <f t="shared" si="8"/>
        <v>0</v>
      </c>
      <c r="K79" s="9">
        <f t="shared" si="5"/>
        <v>0</v>
      </c>
      <c r="L79" s="9">
        <f t="shared" si="6"/>
        <v>0</v>
      </c>
      <c r="M79" s="9">
        <f t="shared" si="7"/>
        <v>0</v>
      </c>
    </row>
    <row r="80" spans="2:13" x14ac:dyDescent="0.4">
      <c r="B80" s="8"/>
      <c r="C80" s="8"/>
      <c r="D80" s="8"/>
      <c r="E80" s="8"/>
      <c r="F80" s="9"/>
      <c r="G80" s="9"/>
      <c r="H80" s="10"/>
      <c r="I80" s="10"/>
      <c r="J80" s="10">
        <f t="shared" si="8"/>
        <v>0</v>
      </c>
      <c r="K80" s="9">
        <f t="shared" si="5"/>
        <v>0</v>
      </c>
      <c r="L80" s="9">
        <f t="shared" si="6"/>
        <v>0</v>
      </c>
      <c r="M80" s="9">
        <f t="shared" si="7"/>
        <v>0</v>
      </c>
    </row>
    <row r="81" spans="2:13" x14ac:dyDescent="0.4">
      <c r="B81" s="8"/>
      <c r="C81" s="8"/>
      <c r="D81" s="8"/>
      <c r="E81" s="8"/>
      <c r="F81" s="9"/>
      <c r="G81" s="9"/>
      <c r="H81" s="10"/>
      <c r="I81" s="10"/>
      <c r="J81" s="10">
        <f t="shared" si="8"/>
        <v>0</v>
      </c>
      <c r="K81" s="9">
        <f t="shared" si="5"/>
        <v>0</v>
      </c>
      <c r="L81" s="9">
        <f t="shared" si="6"/>
        <v>0</v>
      </c>
      <c r="M81" s="9">
        <f t="shared" si="7"/>
        <v>0</v>
      </c>
    </row>
    <row r="82" spans="2:13" x14ac:dyDescent="0.4">
      <c r="B82" s="8"/>
      <c r="C82" s="8"/>
      <c r="D82" s="8"/>
      <c r="E82" s="8"/>
      <c r="F82" s="9"/>
      <c r="G82" s="9"/>
      <c r="H82" s="10"/>
      <c r="I82" s="10"/>
      <c r="J82" s="10">
        <f t="shared" si="8"/>
        <v>0</v>
      </c>
      <c r="K82" s="9">
        <f t="shared" si="5"/>
        <v>0</v>
      </c>
      <c r="L82" s="9">
        <f t="shared" si="6"/>
        <v>0</v>
      </c>
      <c r="M82" s="9">
        <f t="shared" si="7"/>
        <v>0</v>
      </c>
    </row>
    <row r="83" spans="2:13" x14ac:dyDescent="0.4">
      <c r="B83" s="8"/>
      <c r="C83" s="8"/>
      <c r="D83" s="8"/>
      <c r="E83" s="8"/>
      <c r="F83" s="9"/>
      <c r="G83" s="9"/>
      <c r="H83" s="10"/>
      <c r="I83" s="10"/>
      <c r="J83" s="10">
        <f t="shared" si="8"/>
        <v>0</v>
      </c>
      <c r="K83" s="9">
        <f t="shared" si="5"/>
        <v>0</v>
      </c>
      <c r="L83" s="9">
        <f t="shared" si="6"/>
        <v>0</v>
      </c>
      <c r="M83" s="9">
        <f t="shared" si="7"/>
        <v>0</v>
      </c>
    </row>
    <row r="84" spans="2:13" x14ac:dyDescent="0.4">
      <c r="B84" s="8"/>
      <c r="C84" s="8"/>
      <c r="D84" s="8"/>
      <c r="E84" s="8"/>
      <c r="F84" s="9"/>
      <c r="G84" s="9"/>
      <c r="H84" s="10"/>
      <c r="I84" s="10"/>
      <c r="J84" s="10">
        <f t="shared" si="8"/>
        <v>0</v>
      </c>
      <c r="K84" s="9">
        <f t="shared" si="5"/>
        <v>0</v>
      </c>
      <c r="L84" s="9">
        <f t="shared" si="6"/>
        <v>0</v>
      </c>
      <c r="M84" s="9">
        <f t="shared" si="7"/>
        <v>0</v>
      </c>
    </row>
    <row r="85" spans="2:13" x14ac:dyDescent="0.4">
      <c r="B85" s="8"/>
      <c r="C85" s="8"/>
      <c r="D85" s="8"/>
      <c r="E85" s="8"/>
      <c r="F85" s="9"/>
      <c r="G85" s="9"/>
      <c r="H85" s="10"/>
      <c r="I85" s="10"/>
      <c r="J85" s="10">
        <f t="shared" si="8"/>
        <v>0</v>
      </c>
      <c r="K85" s="9">
        <f t="shared" si="5"/>
        <v>0</v>
      </c>
      <c r="L85" s="9">
        <f t="shared" si="6"/>
        <v>0</v>
      </c>
      <c r="M85" s="9">
        <f t="shared" si="7"/>
        <v>0</v>
      </c>
    </row>
    <row r="86" spans="2:13" x14ac:dyDescent="0.4">
      <c r="B86" s="8"/>
      <c r="C86" s="8"/>
      <c r="D86" s="8"/>
      <c r="E86" s="8"/>
      <c r="F86" s="9"/>
      <c r="G86" s="9"/>
      <c r="H86" s="10"/>
      <c r="I86" s="10"/>
      <c r="J86" s="10">
        <f t="shared" si="8"/>
        <v>0</v>
      </c>
      <c r="K86" s="9">
        <f t="shared" si="5"/>
        <v>0</v>
      </c>
      <c r="L86" s="9">
        <f t="shared" si="6"/>
        <v>0</v>
      </c>
      <c r="M86" s="9">
        <f t="shared" si="7"/>
        <v>0</v>
      </c>
    </row>
    <row r="87" spans="2:13" x14ac:dyDescent="0.4">
      <c r="B87" s="8"/>
      <c r="C87" s="8"/>
      <c r="D87" s="8"/>
      <c r="E87" s="8"/>
      <c r="F87" s="9"/>
      <c r="G87" s="9"/>
      <c r="H87" s="10"/>
      <c r="I87" s="10"/>
      <c r="J87" s="10">
        <f t="shared" si="8"/>
        <v>0</v>
      </c>
      <c r="K87" s="9">
        <f t="shared" si="5"/>
        <v>0</v>
      </c>
      <c r="L87" s="9">
        <f t="shared" si="6"/>
        <v>0</v>
      </c>
      <c r="M87" s="9">
        <f t="shared" si="7"/>
        <v>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11C7-F6AF-4183-95F0-7C03170B1418}">
  <sheetPr>
    <tabColor rgb="FFFFFF00"/>
  </sheetPr>
  <dimension ref="B2:T748"/>
  <sheetViews>
    <sheetView showGridLines="0" tabSelected="1" topLeftCell="A265" zoomScale="70" zoomScaleNormal="70" workbookViewId="0">
      <selection activeCell="F291" sqref="F291"/>
    </sheetView>
  </sheetViews>
  <sheetFormatPr defaultColWidth="10.125" defaultRowHeight="15.75" x14ac:dyDescent="0.4"/>
  <cols>
    <col min="1" max="1" width="10.125" style="65"/>
    <col min="2" max="2" width="17.375" style="65" bestFit="1" customWidth="1"/>
    <col min="3" max="3" width="5.375" style="65" bestFit="1" customWidth="1"/>
    <col min="4" max="4" width="9.25" style="65" bestFit="1" customWidth="1"/>
    <col min="5" max="5" width="25.375" style="65" bestFit="1" customWidth="1"/>
    <col min="6" max="6" width="48.375" style="65" bestFit="1" customWidth="1"/>
    <col min="7" max="7" width="18.25" style="66" bestFit="1" customWidth="1"/>
    <col min="8" max="8" width="7.25" style="65" bestFit="1" customWidth="1"/>
    <col min="9" max="9" width="7.5" style="67" customWidth="1"/>
    <col min="10" max="10" width="12.25" style="95" bestFit="1" customWidth="1"/>
    <col min="11" max="11" width="10.125" style="68" bestFit="1" customWidth="1"/>
    <col min="12" max="12" width="5.375" style="68" bestFit="1" customWidth="1"/>
    <col min="13" max="13" width="10.375" style="68" bestFit="1" customWidth="1"/>
    <col min="14" max="14" width="11" style="67" customWidth="1"/>
    <col min="15" max="15" width="7.625" style="67" customWidth="1"/>
    <col min="16" max="16" width="13.25" style="68" bestFit="1" customWidth="1"/>
    <col min="17" max="17" width="9.25" style="68" bestFit="1" customWidth="1"/>
    <col min="18" max="18" width="5.375" style="68" bestFit="1" customWidth="1"/>
    <col min="19" max="19" width="12.625" style="87" bestFit="1" customWidth="1"/>
    <col min="20" max="20" width="11.25" style="65" bestFit="1" customWidth="1"/>
    <col min="21" max="16384" width="10.125" style="65"/>
  </cols>
  <sheetData>
    <row r="2" spans="2:19" ht="24" x14ac:dyDescent="0.4">
      <c r="B2" s="69" t="s">
        <v>470</v>
      </c>
      <c r="L2" s="65"/>
    </row>
    <row r="4" spans="2:19" s="76" customFormat="1" ht="31.5" x14ac:dyDescent="0.4">
      <c r="B4" s="70" t="s">
        <v>6</v>
      </c>
      <c r="C4" s="70" t="s">
        <v>95</v>
      </c>
      <c r="D4" s="70" t="s">
        <v>139</v>
      </c>
      <c r="E4" s="70" t="s">
        <v>1</v>
      </c>
      <c r="F4" s="70" t="s">
        <v>1325</v>
      </c>
      <c r="G4" s="71" t="s">
        <v>7</v>
      </c>
      <c r="H4" s="70" t="s">
        <v>27</v>
      </c>
      <c r="I4" s="72" t="s">
        <v>5</v>
      </c>
      <c r="J4" s="96" t="s">
        <v>25</v>
      </c>
      <c r="K4" s="73" t="s">
        <v>26</v>
      </c>
      <c r="L4" s="74" t="s">
        <v>4</v>
      </c>
      <c r="M4" s="73" t="s">
        <v>28</v>
      </c>
      <c r="N4" s="75" t="s">
        <v>8</v>
      </c>
      <c r="O4" s="75" t="s">
        <v>9</v>
      </c>
      <c r="P4" s="74" t="s">
        <v>11</v>
      </c>
      <c r="Q4" s="74" t="s">
        <v>10</v>
      </c>
      <c r="R4" s="74" t="s">
        <v>12</v>
      </c>
      <c r="S4" s="88"/>
    </row>
    <row r="5" spans="2:19" x14ac:dyDescent="0.4">
      <c r="B5" s="77">
        <v>44496</v>
      </c>
      <c r="C5" s="64"/>
      <c r="D5" s="64"/>
      <c r="E5" s="64" t="s">
        <v>471</v>
      </c>
      <c r="F5" s="64" t="s">
        <v>472</v>
      </c>
      <c r="G5" s="71" t="s">
        <v>260</v>
      </c>
      <c r="H5" s="78">
        <v>0.08</v>
      </c>
      <c r="I5" s="79">
        <f>30*12</f>
        <v>360</v>
      </c>
      <c r="J5" s="94">
        <v>65</v>
      </c>
      <c r="K5" s="80">
        <f>J5*108%</f>
        <v>70.2</v>
      </c>
      <c r="L5" s="80"/>
      <c r="M5" s="80">
        <f>K5*I5</f>
        <v>25272</v>
      </c>
      <c r="N5" s="79"/>
      <c r="O5" s="79" t="str">
        <f>IF(N5="","",I5-N5)</f>
        <v/>
      </c>
      <c r="P5" s="80" t="str">
        <f t="shared" ref="P5" si="0">IFERROR(O5*J5,"")</f>
        <v/>
      </c>
      <c r="Q5" s="80" t="str">
        <f t="shared" ref="Q5" si="1">IFERROR(P5*O5,"")</f>
        <v/>
      </c>
      <c r="R5" s="80" t="str">
        <f t="shared" ref="R5" si="2">IFERROR(Q5-P5,"")</f>
        <v/>
      </c>
    </row>
    <row r="6" spans="2:19" x14ac:dyDescent="0.4">
      <c r="B6" s="77">
        <v>44496</v>
      </c>
      <c r="C6" s="64"/>
      <c r="D6" s="64"/>
      <c r="E6" s="64" t="s">
        <v>471</v>
      </c>
      <c r="F6" s="64" t="s">
        <v>473</v>
      </c>
      <c r="G6" s="71" t="s">
        <v>261</v>
      </c>
      <c r="H6" s="78">
        <v>0.08</v>
      </c>
      <c r="I6" s="79">
        <f>24*11</f>
        <v>264</v>
      </c>
      <c r="J6" s="94">
        <v>70</v>
      </c>
      <c r="K6" s="80">
        <f t="shared" ref="K6:K69" si="3">J6*108%</f>
        <v>75.600000000000009</v>
      </c>
      <c r="L6" s="80"/>
      <c r="M6" s="80">
        <f t="shared" ref="M6:M74" si="4">K6*I6</f>
        <v>19958.400000000001</v>
      </c>
      <c r="N6" s="79"/>
      <c r="O6" s="79" t="str">
        <f t="shared" ref="O6:O69" si="5">IF(N6="","",I6-N6)</f>
        <v/>
      </c>
      <c r="P6" s="80" t="str">
        <f t="shared" ref="P6:P69" si="6">IFERROR(O6*J6,"")</f>
        <v/>
      </c>
      <c r="Q6" s="80" t="str">
        <f t="shared" ref="Q6:Q69" si="7">IFERROR(P6*O6,"")</f>
        <v/>
      </c>
      <c r="R6" s="80" t="str">
        <f t="shared" ref="R6:R69" si="8">IFERROR(Q6-P6,"")</f>
        <v/>
      </c>
    </row>
    <row r="7" spans="2:19" x14ac:dyDescent="0.4">
      <c r="B7" s="77">
        <v>44496</v>
      </c>
      <c r="C7" s="64"/>
      <c r="D7" s="64"/>
      <c r="E7" s="64" t="s">
        <v>471</v>
      </c>
      <c r="F7" s="64" t="s">
        <v>483</v>
      </c>
      <c r="G7" s="71" t="s">
        <v>474</v>
      </c>
      <c r="H7" s="78">
        <v>0.08</v>
      </c>
      <c r="I7" s="64">
        <f>24*2</f>
        <v>48</v>
      </c>
      <c r="J7" s="94">
        <v>56</v>
      </c>
      <c r="K7" s="80">
        <f t="shared" si="3"/>
        <v>60.480000000000004</v>
      </c>
      <c r="L7" s="80"/>
      <c r="M7" s="80">
        <f t="shared" si="4"/>
        <v>2903.04</v>
      </c>
      <c r="N7" s="79"/>
      <c r="O7" s="79" t="str">
        <f t="shared" si="5"/>
        <v/>
      </c>
      <c r="P7" s="80" t="str">
        <f t="shared" si="6"/>
        <v/>
      </c>
      <c r="Q7" s="80" t="str">
        <f t="shared" si="7"/>
        <v/>
      </c>
      <c r="R7" s="80" t="str">
        <f t="shared" si="8"/>
        <v/>
      </c>
    </row>
    <row r="8" spans="2:19" x14ac:dyDescent="0.4">
      <c r="B8" s="77">
        <v>44496</v>
      </c>
      <c r="C8" s="64"/>
      <c r="D8" s="64"/>
      <c r="E8" s="64" t="s">
        <v>471</v>
      </c>
      <c r="F8" s="64" t="s">
        <v>475</v>
      </c>
      <c r="G8" s="71" t="s">
        <v>262</v>
      </c>
      <c r="H8" s="78">
        <v>0.08</v>
      </c>
      <c r="I8" s="79">
        <v>30</v>
      </c>
      <c r="J8" s="94">
        <v>50</v>
      </c>
      <c r="K8" s="80">
        <f t="shared" si="3"/>
        <v>54</v>
      </c>
      <c r="L8" s="80"/>
      <c r="M8" s="80">
        <f t="shared" si="4"/>
        <v>1620</v>
      </c>
      <c r="N8" s="79"/>
      <c r="O8" s="79" t="str">
        <f t="shared" si="5"/>
        <v/>
      </c>
      <c r="P8" s="80" t="str">
        <f t="shared" si="6"/>
        <v/>
      </c>
      <c r="Q8" s="80" t="str">
        <f t="shared" si="7"/>
        <v/>
      </c>
      <c r="R8" s="80" t="str">
        <f t="shared" si="8"/>
        <v/>
      </c>
      <c r="S8" s="89">
        <f>SUM(M5:M8)</f>
        <v>49753.440000000002</v>
      </c>
    </row>
    <row r="9" spans="2:19" x14ac:dyDescent="0.4">
      <c r="B9" s="77">
        <v>44496</v>
      </c>
      <c r="C9" s="64"/>
      <c r="D9" s="64"/>
      <c r="E9" s="64" t="s">
        <v>471</v>
      </c>
      <c r="F9" s="82" t="s">
        <v>476</v>
      </c>
      <c r="G9" s="71" t="s">
        <v>477</v>
      </c>
      <c r="H9" s="78">
        <v>0.08</v>
      </c>
      <c r="I9" s="79">
        <v>20</v>
      </c>
      <c r="J9" s="94">
        <v>126</v>
      </c>
      <c r="K9" s="80">
        <f t="shared" si="3"/>
        <v>136.08000000000001</v>
      </c>
      <c r="L9" s="80"/>
      <c r="M9" s="80">
        <f t="shared" si="4"/>
        <v>2721.6000000000004</v>
      </c>
      <c r="N9" s="79"/>
      <c r="O9" s="79" t="str">
        <f t="shared" si="5"/>
        <v/>
      </c>
      <c r="P9" s="80" t="str">
        <f t="shared" si="6"/>
        <v/>
      </c>
      <c r="Q9" s="80" t="str">
        <f t="shared" si="7"/>
        <v/>
      </c>
      <c r="R9" s="80" t="str">
        <f t="shared" si="8"/>
        <v/>
      </c>
    </row>
    <row r="10" spans="2:19" x14ac:dyDescent="0.4">
      <c r="B10" s="77">
        <v>44496</v>
      </c>
      <c r="C10" s="64"/>
      <c r="D10" s="64"/>
      <c r="E10" s="64" t="s">
        <v>471</v>
      </c>
      <c r="F10" s="82" t="s">
        <v>478</v>
      </c>
      <c r="G10" s="71" t="s">
        <v>481</v>
      </c>
      <c r="H10" s="78">
        <v>0.08</v>
      </c>
      <c r="I10" s="79">
        <v>20</v>
      </c>
      <c r="J10" s="94">
        <v>126</v>
      </c>
      <c r="K10" s="80">
        <f t="shared" si="3"/>
        <v>136.08000000000001</v>
      </c>
      <c r="L10" s="80"/>
      <c r="M10" s="80">
        <f t="shared" si="4"/>
        <v>2721.6000000000004</v>
      </c>
      <c r="N10" s="79"/>
      <c r="O10" s="79" t="str">
        <f t="shared" si="5"/>
        <v/>
      </c>
      <c r="P10" s="80" t="str">
        <f t="shared" si="6"/>
        <v/>
      </c>
      <c r="Q10" s="80" t="str">
        <f t="shared" si="7"/>
        <v/>
      </c>
      <c r="R10" s="80" t="str">
        <f t="shared" si="8"/>
        <v/>
      </c>
    </row>
    <row r="11" spans="2:19" x14ac:dyDescent="0.4">
      <c r="B11" s="77">
        <v>44496</v>
      </c>
      <c r="C11" s="64"/>
      <c r="D11" s="64"/>
      <c r="E11" s="64" t="s">
        <v>471</v>
      </c>
      <c r="F11" s="82" t="s">
        <v>479</v>
      </c>
      <c r="G11" s="71" t="s">
        <v>482</v>
      </c>
      <c r="H11" s="78">
        <v>0.08</v>
      </c>
      <c r="I11" s="79">
        <v>20</v>
      </c>
      <c r="J11" s="94">
        <v>126</v>
      </c>
      <c r="K11" s="80">
        <f t="shared" si="3"/>
        <v>136.08000000000001</v>
      </c>
      <c r="L11" s="80"/>
      <c r="M11" s="80">
        <f t="shared" si="4"/>
        <v>2721.6000000000004</v>
      </c>
      <c r="N11" s="79"/>
      <c r="O11" s="79" t="str">
        <f t="shared" si="5"/>
        <v/>
      </c>
      <c r="P11" s="80" t="str">
        <f t="shared" si="6"/>
        <v/>
      </c>
      <c r="Q11" s="80" t="str">
        <f t="shared" si="7"/>
        <v/>
      </c>
      <c r="R11" s="80" t="str">
        <f t="shared" si="8"/>
        <v/>
      </c>
    </row>
    <row r="12" spans="2:19" x14ac:dyDescent="0.4">
      <c r="B12" s="77">
        <v>44496</v>
      </c>
      <c r="C12" s="64"/>
      <c r="D12" s="64"/>
      <c r="E12" s="64" t="s">
        <v>471</v>
      </c>
      <c r="F12" s="82" t="s">
        <v>480</v>
      </c>
      <c r="G12" s="71" t="s">
        <v>271</v>
      </c>
      <c r="H12" s="78">
        <v>0.08</v>
      </c>
      <c r="I12" s="79">
        <f>12*6</f>
        <v>72</v>
      </c>
      <c r="J12" s="94">
        <v>99</v>
      </c>
      <c r="K12" s="80">
        <f t="shared" si="3"/>
        <v>106.92</v>
      </c>
      <c r="L12" s="80"/>
      <c r="M12" s="80">
        <f t="shared" si="4"/>
        <v>7698.24</v>
      </c>
      <c r="N12" s="79"/>
      <c r="O12" s="79" t="str">
        <f t="shared" si="5"/>
        <v/>
      </c>
      <c r="P12" s="80" t="str">
        <f t="shared" si="6"/>
        <v/>
      </c>
      <c r="Q12" s="80" t="str">
        <f t="shared" si="7"/>
        <v/>
      </c>
      <c r="R12" s="80" t="str">
        <f t="shared" si="8"/>
        <v/>
      </c>
    </row>
    <row r="13" spans="2:19" x14ac:dyDescent="0.4">
      <c r="B13" s="77">
        <v>44496</v>
      </c>
      <c r="C13" s="64"/>
      <c r="D13" s="64"/>
      <c r="E13" s="64" t="s">
        <v>471</v>
      </c>
      <c r="F13" s="82" t="s">
        <v>484</v>
      </c>
      <c r="G13" s="71" t="s">
        <v>272</v>
      </c>
      <c r="H13" s="78">
        <v>0.08</v>
      </c>
      <c r="I13" s="79">
        <f>12*6</f>
        <v>72</v>
      </c>
      <c r="J13" s="94">
        <v>99</v>
      </c>
      <c r="K13" s="80">
        <f t="shared" si="3"/>
        <v>106.92</v>
      </c>
      <c r="L13" s="80"/>
      <c r="M13" s="80">
        <f t="shared" si="4"/>
        <v>7698.24</v>
      </c>
      <c r="N13" s="79"/>
      <c r="O13" s="79" t="str">
        <f t="shared" si="5"/>
        <v/>
      </c>
      <c r="P13" s="80" t="str">
        <f t="shared" si="6"/>
        <v/>
      </c>
      <c r="Q13" s="80" t="str">
        <f t="shared" si="7"/>
        <v/>
      </c>
      <c r="R13" s="80" t="str">
        <f t="shared" si="8"/>
        <v/>
      </c>
      <c r="S13" s="89">
        <f>SUM(M9:M13)</f>
        <v>23561.279999999999</v>
      </c>
    </row>
    <row r="14" spans="2:19" x14ac:dyDescent="0.4">
      <c r="B14" s="77">
        <v>44496</v>
      </c>
      <c r="C14" s="64"/>
      <c r="D14" s="64"/>
      <c r="E14" s="64" t="s">
        <v>471</v>
      </c>
      <c r="F14" s="64" t="s">
        <v>483</v>
      </c>
      <c r="G14" s="71" t="s">
        <v>474</v>
      </c>
      <c r="H14" s="78">
        <v>0.08</v>
      </c>
      <c r="I14" s="79">
        <f>24*10</f>
        <v>240</v>
      </c>
      <c r="J14" s="94">
        <f>M14/I14</f>
        <v>54.162000000000006</v>
      </c>
      <c r="K14" s="80">
        <f t="shared" si="3"/>
        <v>58.494960000000013</v>
      </c>
      <c r="L14" s="80"/>
      <c r="M14" s="80">
        <f>13440*1.08-1404*1.08</f>
        <v>12998.880000000001</v>
      </c>
      <c r="N14" s="79"/>
      <c r="O14" s="79" t="str">
        <f t="shared" si="5"/>
        <v/>
      </c>
      <c r="P14" s="80" t="str">
        <f t="shared" si="6"/>
        <v/>
      </c>
      <c r="Q14" s="80" t="str">
        <f t="shared" si="7"/>
        <v/>
      </c>
      <c r="R14" s="80" t="str">
        <f t="shared" si="8"/>
        <v/>
      </c>
    </row>
    <row r="15" spans="2:19" x14ac:dyDescent="0.4">
      <c r="B15" s="77">
        <v>44496</v>
      </c>
      <c r="C15" s="64"/>
      <c r="D15" s="64"/>
      <c r="E15" s="64" t="s">
        <v>471</v>
      </c>
      <c r="F15" s="82" t="s">
        <v>485</v>
      </c>
      <c r="G15" s="71" t="s">
        <v>270</v>
      </c>
      <c r="H15" s="78">
        <v>0.08</v>
      </c>
      <c r="I15" s="79">
        <f>24*12</f>
        <v>288</v>
      </c>
      <c r="J15" s="94">
        <v>57</v>
      </c>
      <c r="K15" s="80">
        <f t="shared" si="3"/>
        <v>61.56</v>
      </c>
      <c r="L15" s="80"/>
      <c r="M15" s="80">
        <f t="shared" si="4"/>
        <v>17729.28</v>
      </c>
      <c r="N15" s="79"/>
      <c r="O15" s="79" t="str">
        <f t="shared" si="5"/>
        <v/>
      </c>
      <c r="P15" s="80" t="str">
        <f t="shared" si="6"/>
        <v/>
      </c>
      <c r="Q15" s="80" t="str">
        <f t="shared" si="7"/>
        <v/>
      </c>
      <c r="R15" s="80" t="str">
        <f t="shared" si="8"/>
        <v/>
      </c>
      <c r="S15" s="89">
        <f>SUM(M14:M15)</f>
        <v>30728.16</v>
      </c>
    </row>
    <row r="16" spans="2:19" x14ac:dyDescent="0.4">
      <c r="B16" s="77">
        <v>44496</v>
      </c>
      <c r="C16" s="64"/>
      <c r="D16" s="64"/>
      <c r="E16" s="64" t="s">
        <v>471</v>
      </c>
      <c r="F16" s="82" t="s">
        <v>486</v>
      </c>
      <c r="G16" s="71" t="s">
        <v>266</v>
      </c>
      <c r="H16" s="78">
        <v>0.08</v>
      </c>
      <c r="I16" s="79">
        <f>12*6</f>
        <v>72</v>
      </c>
      <c r="J16" s="94">
        <v>153</v>
      </c>
      <c r="K16" s="80">
        <f t="shared" si="3"/>
        <v>165.24</v>
      </c>
      <c r="L16" s="80"/>
      <c r="M16" s="80">
        <f t="shared" si="4"/>
        <v>11897.28</v>
      </c>
      <c r="N16" s="79"/>
      <c r="O16" s="79" t="str">
        <f t="shared" si="5"/>
        <v/>
      </c>
      <c r="P16" s="80" t="str">
        <f t="shared" si="6"/>
        <v/>
      </c>
      <c r="Q16" s="80" t="str">
        <f t="shared" si="7"/>
        <v/>
      </c>
      <c r="R16" s="80" t="str">
        <f t="shared" si="8"/>
        <v/>
      </c>
    </row>
    <row r="17" spans="2:19" x14ac:dyDescent="0.4">
      <c r="B17" s="77">
        <v>44496</v>
      </c>
      <c r="C17" s="64"/>
      <c r="D17" s="64"/>
      <c r="E17" s="64" t="s">
        <v>471</v>
      </c>
      <c r="F17" s="82" t="s">
        <v>487</v>
      </c>
      <c r="G17" s="71" t="s">
        <v>267</v>
      </c>
      <c r="H17" s="78">
        <v>0.08</v>
      </c>
      <c r="I17" s="79">
        <f>20*3</f>
        <v>60</v>
      </c>
      <c r="J17" s="94">
        <v>225</v>
      </c>
      <c r="K17" s="80">
        <f t="shared" si="3"/>
        <v>243.00000000000003</v>
      </c>
      <c r="L17" s="80"/>
      <c r="M17" s="80">
        <f t="shared" si="4"/>
        <v>14580.000000000002</v>
      </c>
      <c r="N17" s="79"/>
      <c r="O17" s="79" t="str">
        <f t="shared" si="5"/>
        <v/>
      </c>
      <c r="P17" s="80" t="str">
        <f t="shared" si="6"/>
        <v/>
      </c>
      <c r="Q17" s="80" t="str">
        <f t="shared" si="7"/>
        <v/>
      </c>
      <c r="R17" s="80" t="str">
        <f t="shared" si="8"/>
        <v/>
      </c>
    </row>
    <row r="18" spans="2:19" x14ac:dyDescent="0.4">
      <c r="B18" s="77">
        <v>44496</v>
      </c>
      <c r="C18" s="64"/>
      <c r="D18" s="64"/>
      <c r="E18" s="64" t="s">
        <v>471</v>
      </c>
      <c r="F18" s="82" t="s">
        <v>488</v>
      </c>
      <c r="G18" s="71" t="s">
        <v>269</v>
      </c>
      <c r="H18" s="78">
        <v>0.08</v>
      </c>
      <c r="I18" s="79">
        <f>20*3</f>
        <v>60</v>
      </c>
      <c r="J18" s="94">
        <v>142</v>
      </c>
      <c r="K18" s="80">
        <f t="shared" si="3"/>
        <v>153.36000000000001</v>
      </c>
      <c r="L18" s="80"/>
      <c r="M18" s="80">
        <f t="shared" si="4"/>
        <v>9201.6</v>
      </c>
      <c r="N18" s="79"/>
      <c r="O18" s="79" t="str">
        <f t="shared" si="5"/>
        <v/>
      </c>
      <c r="P18" s="80" t="str">
        <f t="shared" si="6"/>
        <v/>
      </c>
      <c r="Q18" s="80" t="str">
        <f t="shared" si="7"/>
        <v/>
      </c>
      <c r="R18" s="80" t="str">
        <f t="shared" si="8"/>
        <v/>
      </c>
    </row>
    <row r="19" spans="2:19" x14ac:dyDescent="0.4">
      <c r="B19" s="77">
        <v>44496</v>
      </c>
      <c r="C19" s="64"/>
      <c r="D19" s="64"/>
      <c r="E19" s="64" t="s">
        <v>471</v>
      </c>
      <c r="F19" s="82" t="s">
        <v>489</v>
      </c>
      <c r="G19" s="71" t="s">
        <v>268</v>
      </c>
      <c r="H19" s="78">
        <v>0.08</v>
      </c>
      <c r="I19" s="79">
        <f>30*3</f>
        <v>90</v>
      </c>
      <c r="J19" s="94">
        <v>172</v>
      </c>
      <c r="K19" s="80">
        <f t="shared" si="3"/>
        <v>185.76000000000002</v>
      </c>
      <c r="L19" s="80"/>
      <c r="M19" s="80">
        <f t="shared" si="4"/>
        <v>16718.400000000001</v>
      </c>
      <c r="N19" s="79"/>
      <c r="O19" s="79" t="str">
        <f t="shared" si="5"/>
        <v/>
      </c>
      <c r="P19" s="80" t="str">
        <f t="shared" si="6"/>
        <v/>
      </c>
      <c r="Q19" s="80" t="str">
        <f t="shared" si="7"/>
        <v/>
      </c>
      <c r="R19" s="80" t="str">
        <f t="shared" si="8"/>
        <v/>
      </c>
    </row>
    <row r="20" spans="2:19" x14ac:dyDescent="0.4">
      <c r="B20" s="77">
        <v>44496</v>
      </c>
      <c r="C20" s="64"/>
      <c r="D20" s="64"/>
      <c r="E20" s="64" t="s">
        <v>471</v>
      </c>
      <c r="F20" s="82" t="s">
        <v>490</v>
      </c>
      <c r="G20" s="71" t="s">
        <v>491</v>
      </c>
      <c r="H20" s="78">
        <v>0.08</v>
      </c>
      <c r="I20" s="79">
        <f>30*3</f>
        <v>90</v>
      </c>
      <c r="J20" s="94">
        <v>146</v>
      </c>
      <c r="K20" s="80">
        <f t="shared" si="3"/>
        <v>157.68</v>
      </c>
      <c r="L20" s="80"/>
      <c r="M20" s="80">
        <f t="shared" si="4"/>
        <v>14191.2</v>
      </c>
      <c r="N20" s="79"/>
      <c r="O20" s="79" t="str">
        <f t="shared" si="5"/>
        <v/>
      </c>
      <c r="P20" s="80" t="str">
        <f t="shared" si="6"/>
        <v/>
      </c>
      <c r="Q20" s="80" t="str">
        <f t="shared" si="7"/>
        <v/>
      </c>
      <c r="R20" s="80" t="str">
        <f t="shared" si="8"/>
        <v/>
      </c>
      <c r="S20" s="89">
        <f>SUM(M16:M20)</f>
        <v>66588.48000000001</v>
      </c>
    </row>
    <row r="21" spans="2:19" x14ac:dyDescent="0.4">
      <c r="B21" s="77">
        <v>44496</v>
      </c>
      <c r="C21" s="64"/>
      <c r="D21" s="64"/>
      <c r="E21" s="64" t="s">
        <v>471</v>
      </c>
      <c r="F21" s="82" t="s">
        <v>492</v>
      </c>
      <c r="G21" s="71" t="s">
        <v>263</v>
      </c>
      <c r="H21" s="78">
        <v>0.08</v>
      </c>
      <c r="I21" s="79">
        <f>12*6</f>
        <v>72</v>
      </c>
      <c r="J21" s="94">
        <f>(5616-648)/72</f>
        <v>69</v>
      </c>
      <c r="K21" s="80">
        <f t="shared" si="3"/>
        <v>74.52000000000001</v>
      </c>
      <c r="L21" s="80"/>
      <c r="M21" s="80">
        <f>I21*K21</f>
        <v>5365.4400000000005</v>
      </c>
      <c r="N21" s="79"/>
      <c r="O21" s="79" t="str">
        <f t="shared" si="5"/>
        <v/>
      </c>
      <c r="P21" s="80" t="str">
        <f t="shared" si="6"/>
        <v/>
      </c>
      <c r="Q21" s="80" t="str">
        <f t="shared" si="7"/>
        <v/>
      </c>
      <c r="R21" s="80" t="str">
        <f t="shared" si="8"/>
        <v/>
      </c>
      <c r="S21" s="90"/>
    </row>
    <row r="22" spans="2:19" x14ac:dyDescent="0.4">
      <c r="B22" s="77">
        <v>44496</v>
      </c>
      <c r="C22" s="64"/>
      <c r="D22" s="64"/>
      <c r="E22" s="64" t="s">
        <v>471</v>
      </c>
      <c r="F22" s="82" t="s">
        <v>493</v>
      </c>
      <c r="G22" s="71" t="s">
        <v>264</v>
      </c>
      <c r="H22" s="78">
        <v>0.08</v>
      </c>
      <c r="I22" s="79">
        <f>12*6</f>
        <v>72</v>
      </c>
      <c r="J22" s="94">
        <f>(5616-432)/72</f>
        <v>72</v>
      </c>
      <c r="K22" s="80">
        <f t="shared" si="3"/>
        <v>77.760000000000005</v>
      </c>
      <c r="L22" s="80"/>
      <c r="M22" s="80">
        <f>(5616-432)*1.08</f>
        <v>5598.72</v>
      </c>
      <c r="N22" s="79"/>
      <c r="O22" s="79" t="str">
        <f t="shared" si="5"/>
        <v/>
      </c>
      <c r="P22" s="80" t="str">
        <f t="shared" si="6"/>
        <v/>
      </c>
      <c r="Q22" s="80" t="str">
        <f t="shared" si="7"/>
        <v/>
      </c>
      <c r="R22" s="80" t="str">
        <f t="shared" si="8"/>
        <v/>
      </c>
      <c r="S22" s="90"/>
    </row>
    <row r="23" spans="2:19" x14ac:dyDescent="0.4">
      <c r="B23" s="77">
        <v>44496</v>
      </c>
      <c r="C23" s="64"/>
      <c r="D23" s="64"/>
      <c r="E23" s="64" t="s">
        <v>471</v>
      </c>
      <c r="F23" s="82" t="s">
        <v>494</v>
      </c>
      <c r="G23" s="71" t="s">
        <v>265</v>
      </c>
      <c r="H23" s="78">
        <v>0.08</v>
      </c>
      <c r="I23" s="79">
        <f>12*6</f>
        <v>72</v>
      </c>
      <c r="J23" s="94">
        <v>78</v>
      </c>
      <c r="K23" s="80">
        <f t="shared" si="3"/>
        <v>84.240000000000009</v>
      </c>
      <c r="L23" s="80"/>
      <c r="M23" s="80">
        <f>K23*I23</f>
        <v>6065.2800000000007</v>
      </c>
      <c r="N23" s="79"/>
      <c r="O23" s="79" t="str">
        <f t="shared" si="5"/>
        <v/>
      </c>
      <c r="P23" s="80" t="str">
        <f t="shared" si="6"/>
        <v/>
      </c>
      <c r="Q23" s="80" t="str">
        <f t="shared" si="7"/>
        <v/>
      </c>
      <c r="R23" s="80" t="str">
        <f t="shared" si="8"/>
        <v/>
      </c>
      <c r="S23" s="89">
        <f>SUM(M21:M23)</f>
        <v>17029.440000000002</v>
      </c>
    </row>
    <row r="24" spans="2:19" x14ac:dyDescent="0.4">
      <c r="B24" s="77">
        <v>44496</v>
      </c>
      <c r="C24" s="64"/>
      <c r="D24" s="64"/>
      <c r="E24" s="64" t="s">
        <v>471</v>
      </c>
      <c r="F24" s="82" t="s">
        <v>495</v>
      </c>
      <c r="G24" s="71" t="s">
        <v>273</v>
      </c>
      <c r="H24" s="78">
        <v>0.08</v>
      </c>
      <c r="I24" s="79">
        <f>12*6</f>
        <v>72</v>
      </c>
      <c r="J24" s="94">
        <v>60</v>
      </c>
      <c r="K24" s="80">
        <f t="shared" si="3"/>
        <v>64.800000000000011</v>
      </c>
      <c r="L24" s="80"/>
      <c r="M24" s="80">
        <f t="shared" si="4"/>
        <v>4665.6000000000004</v>
      </c>
      <c r="N24" s="79"/>
      <c r="O24" s="79" t="str">
        <f t="shared" si="5"/>
        <v/>
      </c>
      <c r="P24" s="80" t="str">
        <f t="shared" si="6"/>
        <v/>
      </c>
      <c r="Q24" s="80" t="str">
        <f t="shared" si="7"/>
        <v/>
      </c>
      <c r="R24" s="80" t="str">
        <f t="shared" si="8"/>
        <v/>
      </c>
      <c r="S24" s="90"/>
    </row>
    <row r="25" spans="2:19" x14ac:dyDescent="0.4">
      <c r="B25" s="77">
        <v>44497</v>
      </c>
      <c r="C25" s="64"/>
      <c r="D25" s="64"/>
      <c r="E25" s="64" t="s">
        <v>471</v>
      </c>
      <c r="F25" s="82" t="s">
        <v>496</v>
      </c>
      <c r="G25" s="71" t="s">
        <v>274</v>
      </c>
      <c r="H25" s="78">
        <v>0.08</v>
      </c>
      <c r="I25" s="79">
        <f>20*3</f>
        <v>60</v>
      </c>
      <c r="J25" s="94">
        <v>102</v>
      </c>
      <c r="K25" s="80">
        <f t="shared" si="3"/>
        <v>110.16000000000001</v>
      </c>
      <c r="L25" s="80"/>
      <c r="M25" s="80">
        <f t="shared" si="4"/>
        <v>6609.6</v>
      </c>
      <c r="N25" s="79"/>
      <c r="O25" s="79" t="str">
        <f t="shared" si="5"/>
        <v/>
      </c>
      <c r="P25" s="80" t="str">
        <f t="shared" si="6"/>
        <v/>
      </c>
      <c r="Q25" s="80" t="str">
        <f t="shared" si="7"/>
        <v/>
      </c>
      <c r="R25" s="80" t="str">
        <f t="shared" si="8"/>
        <v/>
      </c>
      <c r="S25" s="90"/>
    </row>
    <row r="26" spans="2:19" x14ac:dyDescent="0.4">
      <c r="B26" s="77">
        <v>44497</v>
      </c>
      <c r="C26" s="64"/>
      <c r="D26" s="64"/>
      <c r="E26" s="64" t="s">
        <v>471</v>
      </c>
      <c r="F26" s="82" t="s">
        <v>497</v>
      </c>
      <c r="G26" s="71" t="s">
        <v>275</v>
      </c>
      <c r="H26" s="78">
        <v>0.08</v>
      </c>
      <c r="I26" s="79">
        <f>24*3</f>
        <v>72</v>
      </c>
      <c r="J26" s="94">
        <v>63</v>
      </c>
      <c r="K26" s="80">
        <f t="shared" si="3"/>
        <v>68.040000000000006</v>
      </c>
      <c r="L26" s="80"/>
      <c r="M26" s="80">
        <f t="shared" si="4"/>
        <v>4898.88</v>
      </c>
      <c r="N26" s="79"/>
      <c r="O26" s="79" t="str">
        <f t="shared" si="5"/>
        <v/>
      </c>
      <c r="P26" s="80" t="str">
        <f t="shared" si="6"/>
        <v/>
      </c>
      <c r="Q26" s="80" t="str">
        <f t="shared" si="7"/>
        <v/>
      </c>
      <c r="R26" s="80" t="str">
        <f t="shared" si="8"/>
        <v/>
      </c>
      <c r="S26" s="90"/>
    </row>
    <row r="27" spans="2:19" x14ac:dyDescent="0.4">
      <c r="B27" s="77">
        <v>44497</v>
      </c>
      <c r="C27" s="83"/>
      <c r="D27" s="64"/>
      <c r="E27" s="64" t="s">
        <v>471</v>
      </c>
      <c r="F27" s="64" t="s">
        <v>498</v>
      </c>
      <c r="G27" s="84">
        <v>4901940111107</v>
      </c>
      <c r="H27" s="78">
        <v>0.08</v>
      </c>
      <c r="I27" s="79">
        <f>24*3</f>
        <v>72</v>
      </c>
      <c r="J27" s="93">
        <f>(5184-216)/I27</f>
        <v>69</v>
      </c>
      <c r="K27" s="80">
        <f t="shared" si="3"/>
        <v>74.52000000000001</v>
      </c>
      <c r="L27" s="80"/>
      <c r="M27" s="80">
        <f>K27*I27</f>
        <v>5365.4400000000005</v>
      </c>
      <c r="N27" s="79"/>
      <c r="O27" s="79" t="str">
        <f t="shared" si="5"/>
        <v/>
      </c>
      <c r="P27" s="80" t="str">
        <f t="shared" si="6"/>
        <v/>
      </c>
      <c r="Q27" s="80" t="str">
        <f t="shared" si="7"/>
        <v/>
      </c>
      <c r="R27" s="80" t="str">
        <f t="shared" si="8"/>
        <v/>
      </c>
      <c r="S27" s="89">
        <f>SUM(M24:M27)</f>
        <v>21539.520000000004</v>
      </c>
    </row>
    <row r="28" spans="2:19" x14ac:dyDescent="0.4">
      <c r="B28" s="77">
        <v>44497</v>
      </c>
      <c r="C28" s="83"/>
      <c r="D28" s="64"/>
      <c r="E28" s="64" t="s">
        <v>471</v>
      </c>
      <c r="F28" s="82" t="s">
        <v>476</v>
      </c>
      <c r="G28" s="71" t="s">
        <v>477</v>
      </c>
      <c r="H28" s="78">
        <v>0.08</v>
      </c>
      <c r="I28" s="79">
        <f>20*5</f>
        <v>100</v>
      </c>
      <c r="J28" s="94">
        <v>126</v>
      </c>
      <c r="K28" s="80">
        <f t="shared" si="3"/>
        <v>136.08000000000001</v>
      </c>
      <c r="L28" s="80"/>
      <c r="M28" s="80">
        <f t="shared" si="4"/>
        <v>13608.000000000002</v>
      </c>
      <c r="N28" s="79"/>
      <c r="O28" s="79" t="str">
        <f t="shared" si="5"/>
        <v/>
      </c>
      <c r="P28" s="80" t="str">
        <f t="shared" si="6"/>
        <v/>
      </c>
      <c r="Q28" s="80" t="str">
        <f t="shared" si="7"/>
        <v/>
      </c>
      <c r="R28" s="80" t="str">
        <f t="shared" si="8"/>
        <v/>
      </c>
    </row>
    <row r="29" spans="2:19" x14ac:dyDescent="0.4">
      <c r="B29" s="77">
        <v>44497</v>
      </c>
      <c r="C29" s="83"/>
      <c r="D29" s="64"/>
      <c r="E29" s="64" t="s">
        <v>471</v>
      </c>
      <c r="F29" s="82" t="s">
        <v>479</v>
      </c>
      <c r="G29" s="71" t="s">
        <v>482</v>
      </c>
      <c r="H29" s="78">
        <v>0.08</v>
      </c>
      <c r="I29" s="79">
        <f>20*5</f>
        <v>100</v>
      </c>
      <c r="J29" s="94">
        <v>126</v>
      </c>
      <c r="K29" s="80">
        <f t="shared" si="3"/>
        <v>136.08000000000001</v>
      </c>
      <c r="L29" s="80"/>
      <c r="M29" s="80">
        <f t="shared" si="4"/>
        <v>13608.000000000002</v>
      </c>
      <c r="N29" s="79"/>
      <c r="O29" s="79" t="str">
        <f t="shared" si="5"/>
        <v/>
      </c>
      <c r="P29" s="80" t="str">
        <f t="shared" si="6"/>
        <v/>
      </c>
      <c r="Q29" s="80" t="str">
        <f t="shared" si="7"/>
        <v/>
      </c>
      <c r="R29" s="80" t="str">
        <f t="shared" si="8"/>
        <v/>
      </c>
    </row>
    <row r="30" spans="2:19" x14ac:dyDescent="0.4">
      <c r="B30" s="77">
        <v>44497</v>
      </c>
      <c r="C30" s="83"/>
      <c r="D30" s="64"/>
      <c r="E30" s="64" t="s">
        <v>471</v>
      </c>
      <c r="F30" s="82" t="s">
        <v>478</v>
      </c>
      <c r="G30" s="71" t="s">
        <v>481</v>
      </c>
      <c r="H30" s="78">
        <v>0.08</v>
      </c>
      <c r="I30" s="79">
        <v>20</v>
      </c>
      <c r="J30" s="94">
        <v>126</v>
      </c>
      <c r="K30" s="80">
        <f t="shared" si="3"/>
        <v>136.08000000000001</v>
      </c>
      <c r="L30" s="80"/>
      <c r="M30" s="80">
        <f t="shared" si="4"/>
        <v>2721.6000000000004</v>
      </c>
      <c r="N30" s="79"/>
      <c r="O30" s="79" t="str">
        <f t="shared" si="5"/>
        <v/>
      </c>
      <c r="P30" s="80" t="str">
        <f t="shared" si="6"/>
        <v/>
      </c>
      <c r="Q30" s="80" t="str">
        <f t="shared" si="7"/>
        <v/>
      </c>
      <c r="R30" s="80" t="str">
        <f t="shared" si="8"/>
        <v/>
      </c>
    </row>
    <row r="31" spans="2:19" x14ac:dyDescent="0.4">
      <c r="B31" s="77">
        <v>44497</v>
      </c>
      <c r="C31" s="83"/>
      <c r="D31" s="64"/>
      <c r="E31" s="64" t="s">
        <v>471</v>
      </c>
      <c r="F31" s="85" t="s">
        <v>499</v>
      </c>
      <c r="G31" s="84">
        <v>4902777351469</v>
      </c>
      <c r="H31" s="78">
        <v>0.08</v>
      </c>
      <c r="I31" s="79">
        <f>5*5</f>
        <v>25</v>
      </c>
      <c r="J31" s="93">
        <v>160</v>
      </c>
      <c r="K31" s="80">
        <f t="shared" si="3"/>
        <v>172.8</v>
      </c>
      <c r="L31" s="80"/>
      <c r="M31" s="80">
        <f t="shared" si="4"/>
        <v>4320</v>
      </c>
      <c r="N31" s="79"/>
      <c r="O31" s="79" t="str">
        <f t="shared" si="5"/>
        <v/>
      </c>
      <c r="P31" s="80" t="str">
        <f t="shared" si="6"/>
        <v/>
      </c>
      <c r="Q31" s="80" t="str">
        <f t="shared" si="7"/>
        <v/>
      </c>
      <c r="R31" s="80" t="str">
        <f t="shared" si="8"/>
        <v/>
      </c>
    </row>
    <row r="32" spans="2:19" x14ac:dyDescent="0.4">
      <c r="B32" s="77">
        <v>44497</v>
      </c>
      <c r="C32" s="83"/>
      <c r="D32" s="64"/>
      <c r="E32" s="64" t="s">
        <v>471</v>
      </c>
      <c r="F32" s="85" t="s">
        <v>500</v>
      </c>
      <c r="G32" s="84">
        <v>4902777351384</v>
      </c>
      <c r="H32" s="78">
        <v>0.08</v>
      </c>
      <c r="I32" s="79">
        <f>5*6</f>
        <v>30</v>
      </c>
      <c r="J32" s="93">
        <v>160</v>
      </c>
      <c r="K32" s="80">
        <f t="shared" si="3"/>
        <v>172.8</v>
      </c>
      <c r="L32" s="80"/>
      <c r="M32" s="80">
        <f t="shared" si="4"/>
        <v>5184</v>
      </c>
      <c r="N32" s="79"/>
      <c r="O32" s="79" t="str">
        <f t="shared" si="5"/>
        <v/>
      </c>
      <c r="P32" s="80" t="str">
        <f t="shared" si="6"/>
        <v/>
      </c>
      <c r="Q32" s="80" t="str">
        <f t="shared" si="7"/>
        <v/>
      </c>
      <c r="R32" s="80" t="str">
        <f t="shared" si="8"/>
        <v/>
      </c>
    </row>
    <row r="33" spans="2:19" x14ac:dyDescent="0.4">
      <c r="B33" s="77">
        <v>44497</v>
      </c>
      <c r="C33" s="83"/>
      <c r="D33" s="64"/>
      <c r="E33" s="64" t="s">
        <v>471</v>
      </c>
      <c r="F33" s="85" t="s">
        <v>501</v>
      </c>
      <c r="G33" s="84">
        <v>4902777351223</v>
      </c>
      <c r="H33" s="78">
        <v>0.08</v>
      </c>
      <c r="I33" s="79">
        <f>5*1</f>
        <v>5</v>
      </c>
      <c r="J33" s="93">
        <v>160</v>
      </c>
      <c r="K33" s="80">
        <f t="shared" si="3"/>
        <v>172.8</v>
      </c>
      <c r="L33" s="80"/>
      <c r="M33" s="80">
        <f t="shared" si="4"/>
        <v>864</v>
      </c>
      <c r="N33" s="79"/>
      <c r="O33" s="79" t="str">
        <f t="shared" si="5"/>
        <v/>
      </c>
      <c r="P33" s="80" t="str">
        <f t="shared" si="6"/>
        <v/>
      </c>
      <c r="Q33" s="80" t="str">
        <f t="shared" si="7"/>
        <v/>
      </c>
      <c r="R33" s="80" t="str">
        <f t="shared" si="8"/>
        <v/>
      </c>
    </row>
    <row r="34" spans="2:19" x14ac:dyDescent="0.4">
      <c r="B34" s="77">
        <v>44497</v>
      </c>
      <c r="C34" s="83"/>
      <c r="D34" s="64"/>
      <c r="E34" s="64" t="s">
        <v>471</v>
      </c>
      <c r="F34" s="85" t="s">
        <v>502</v>
      </c>
      <c r="G34" s="84">
        <v>4901990161589</v>
      </c>
      <c r="H34" s="78">
        <v>0.08</v>
      </c>
      <c r="I34" s="79">
        <f>8*6</f>
        <v>48</v>
      </c>
      <c r="J34" s="93">
        <v>239</v>
      </c>
      <c r="K34" s="80">
        <f t="shared" si="3"/>
        <v>258.12</v>
      </c>
      <c r="L34" s="80"/>
      <c r="M34" s="80">
        <f t="shared" si="4"/>
        <v>12389.76</v>
      </c>
      <c r="N34" s="79"/>
      <c r="O34" s="79" t="str">
        <f t="shared" si="5"/>
        <v/>
      </c>
      <c r="P34" s="80" t="str">
        <f t="shared" si="6"/>
        <v/>
      </c>
      <c r="Q34" s="80" t="str">
        <f t="shared" si="7"/>
        <v/>
      </c>
      <c r="R34" s="80" t="str">
        <f t="shared" si="8"/>
        <v/>
      </c>
    </row>
    <row r="35" spans="2:19" x14ac:dyDescent="0.4">
      <c r="B35" s="77">
        <v>44497</v>
      </c>
      <c r="C35" s="83"/>
      <c r="D35" s="64"/>
      <c r="E35" s="64" t="s">
        <v>471</v>
      </c>
      <c r="F35" s="85" t="s">
        <v>503</v>
      </c>
      <c r="G35" s="84">
        <v>4902388023359</v>
      </c>
      <c r="H35" s="78">
        <v>0.08</v>
      </c>
      <c r="I35" s="79">
        <f>60*1</f>
        <v>60</v>
      </c>
      <c r="J35" s="93">
        <v>170</v>
      </c>
      <c r="K35" s="80">
        <f t="shared" si="3"/>
        <v>183.60000000000002</v>
      </c>
      <c r="L35" s="80"/>
      <c r="M35" s="80">
        <f t="shared" si="4"/>
        <v>11016.000000000002</v>
      </c>
      <c r="N35" s="79"/>
      <c r="O35" s="79" t="str">
        <f t="shared" si="5"/>
        <v/>
      </c>
      <c r="P35" s="80" t="str">
        <f t="shared" si="6"/>
        <v/>
      </c>
      <c r="Q35" s="80" t="str">
        <f t="shared" si="7"/>
        <v/>
      </c>
      <c r="R35" s="80" t="str">
        <f t="shared" si="8"/>
        <v/>
      </c>
    </row>
    <row r="36" spans="2:19" x14ac:dyDescent="0.4">
      <c r="B36" s="77">
        <v>44497</v>
      </c>
      <c r="C36" s="83"/>
      <c r="D36" s="64"/>
      <c r="E36" s="64" t="s">
        <v>471</v>
      </c>
      <c r="F36" s="85" t="s">
        <v>504</v>
      </c>
      <c r="G36" s="84">
        <v>4901108001165</v>
      </c>
      <c r="H36" s="78">
        <v>0.08</v>
      </c>
      <c r="I36" s="79">
        <f>12*6</f>
        <v>72</v>
      </c>
      <c r="J36" s="93">
        <v>138</v>
      </c>
      <c r="K36" s="80">
        <f t="shared" si="3"/>
        <v>149.04000000000002</v>
      </c>
      <c r="L36" s="80"/>
      <c r="M36" s="80">
        <f t="shared" si="4"/>
        <v>10730.880000000001</v>
      </c>
      <c r="N36" s="79"/>
      <c r="O36" s="79" t="str">
        <f t="shared" si="5"/>
        <v/>
      </c>
      <c r="P36" s="80" t="str">
        <f t="shared" si="6"/>
        <v/>
      </c>
      <c r="Q36" s="80" t="str">
        <f t="shared" si="7"/>
        <v/>
      </c>
      <c r="R36" s="80" t="str">
        <f t="shared" si="8"/>
        <v/>
      </c>
    </row>
    <row r="37" spans="2:19" x14ac:dyDescent="0.4">
      <c r="B37" s="77">
        <v>44497</v>
      </c>
      <c r="C37" s="83"/>
      <c r="D37" s="64"/>
      <c r="E37" s="64" t="s">
        <v>471</v>
      </c>
      <c r="F37" s="85" t="s">
        <v>505</v>
      </c>
      <c r="G37" s="84">
        <v>4901108001189</v>
      </c>
      <c r="H37" s="78">
        <v>0.08</v>
      </c>
      <c r="I37" s="79">
        <f>12*6</f>
        <v>72</v>
      </c>
      <c r="J37" s="93">
        <v>138</v>
      </c>
      <c r="K37" s="80">
        <f t="shared" si="3"/>
        <v>149.04000000000002</v>
      </c>
      <c r="L37" s="80"/>
      <c r="M37" s="80">
        <f t="shared" si="4"/>
        <v>10730.880000000001</v>
      </c>
      <c r="N37" s="79"/>
      <c r="O37" s="79" t="str">
        <f t="shared" si="5"/>
        <v/>
      </c>
      <c r="P37" s="80" t="str">
        <f t="shared" si="6"/>
        <v/>
      </c>
      <c r="Q37" s="80" t="str">
        <f t="shared" si="7"/>
        <v/>
      </c>
      <c r="R37" s="80" t="str">
        <f t="shared" si="8"/>
        <v/>
      </c>
      <c r="S37" s="89">
        <f>SUM(M31:M37)</f>
        <v>55235.520000000004</v>
      </c>
    </row>
    <row r="38" spans="2:19" x14ac:dyDescent="0.4">
      <c r="B38" s="77">
        <v>44497</v>
      </c>
      <c r="C38" s="83"/>
      <c r="D38" s="64"/>
      <c r="E38" s="64" t="s">
        <v>471</v>
      </c>
      <c r="F38" s="85" t="s">
        <v>506</v>
      </c>
      <c r="G38" s="84">
        <v>4901139362761</v>
      </c>
      <c r="H38" s="78">
        <v>0.08</v>
      </c>
      <c r="I38" s="79">
        <f>6*6</f>
        <v>36</v>
      </c>
      <c r="J38" s="93">
        <v>65</v>
      </c>
      <c r="K38" s="80">
        <f t="shared" si="3"/>
        <v>70.2</v>
      </c>
      <c r="L38" s="80"/>
      <c r="M38" s="80">
        <f t="shared" si="4"/>
        <v>2527.2000000000003</v>
      </c>
      <c r="N38" s="79"/>
      <c r="O38" s="79" t="str">
        <f t="shared" si="5"/>
        <v/>
      </c>
      <c r="P38" s="80" t="str">
        <f t="shared" si="6"/>
        <v/>
      </c>
      <c r="Q38" s="80" t="str">
        <f t="shared" si="7"/>
        <v/>
      </c>
      <c r="R38" s="80" t="str">
        <f t="shared" si="8"/>
        <v/>
      </c>
    </row>
    <row r="39" spans="2:19" x14ac:dyDescent="0.4">
      <c r="B39" s="77">
        <v>44497</v>
      </c>
      <c r="C39" s="83"/>
      <c r="D39" s="64"/>
      <c r="E39" s="64" t="s">
        <v>471</v>
      </c>
      <c r="F39" s="85" t="s">
        <v>507</v>
      </c>
      <c r="G39" s="84">
        <v>4902566003012</v>
      </c>
      <c r="H39" s="78">
        <v>0.08</v>
      </c>
      <c r="I39" s="79">
        <f>20*6</f>
        <v>120</v>
      </c>
      <c r="J39" s="93">
        <v>151</v>
      </c>
      <c r="K39" s="80">
        <f t="shared" si="3"/>
        <v>163.08000000000001</v>
      </c>
      <c r="L39" s="80"/>
      <c r="M39" s="80">
        <f t="shared" si="4"/>
        <v>19569.600000000002</v>
      </c>
      <c r="N39" s="79"/>
      <c r="O39" s="79" t="str">
        <f t="shared" si="5"/>
        <v/>
      </c>
      <c r="P39" s="80" t="str">
        <f t="shared" si="6"/>
        <v/>
      </c>
      <c r="Q39" s="80" t="str">
        <f t="shared" si="7"/>
        <v/>
      </c>
      <c r="R39" s="80" t="str">
        <f t="shared" si="8"/>
        <v/>
      </c>
    </row>
    <row r="40" spans="2:19" x14ac:dyDescent="0.4">
      <c r="B40" s="77">
        <v>44497</v>
      </c>
      <c r="C40" s="83"/>
      <c r="D40" s="64"/>
      <c r="E40" s="64" t="s">
        <v>471</v>
      </c>
      <c r="F40" s="85" t="s">
        <v>508</v>
      </c>
      <c r="G40" s="84">
        <v>4901760427853</v>
      </c>
      <c r="H40" s="78">
        <v>0.08</v>
      </c>
      <c r="I40" s="92">
        <f>20*6</f>
        <v>120</v>
      </c>
      <c r="J40" s="93">
        <v>139</v>
      </c>
      <c r="K40" s="80">
        <f t="shared" si="3"/>
        <v>150.12</v>
      </c>
      <c r="L40" s="80"/>
      <c r="M40" s="80">
        <f t="shared" si="4"/>
        <v>18014.400000000001</v>
      </c>
      <c r="N40" s="79"/>
      <c r="O40" s="79" t="str">
        <f t="shared" si="5"/>
        <v/>
      </c>
      <c r="P40" s="80" t="str">
        <f t="shared" si="6"/>
        <v/>
      </c>
      <c r="Q40" s="80" t="str">
        <f t="shared" si="7"/>
        <v/>
      </c>
      <c r="R40" s="80" t="str">
        <f t="shared" si="8"/>
        <v/>
      </c>
      <c r="S40" s="89">
        <f>SUM(M38:M40)</f>
        <v>40111.200000000004</v>
      </c>
    </row>
    <row r="41" spans="2:19" x14ac:dyDescent="0.4">
      <c r="B41" s="77">
        <v>44497</v>
      </c>
      <c r="C41" s="83"/>
      <c r="D41" s="64"/>
      <c r="E41" s="64" t="s">
        <v>471</v>
      </c>
      <c r="F41" s="85" t="s">
        <v>509</v>
      </c>
      <c r="G41" s="84">
        <v>4901002066550</v>
      </c>
      <c r="H41" s="78">
        <v>0.08</v>
      </c>
      <c r="I41" s="92">
        <f>10*6</f>
        <v>60</v>
      </c>
      <c r="J41" s="93">
        <v>69.5</v>
      </c>
      <c r="K41" s="91">
        <f t="shared" si="3"/>
        <v>75.06</v>
      </c>
      <c r="L41" s="80"/>
      <c r="M41" s="80">
        <f t="shared" si="4"/>
        <v>4503.6000000000004</v>
      </c>
      <c r="N41" s="79"/>
      <c r="O41" s="79" t="str">
        <f t="shared" si="5"/>
        <v/>
      </c>
      <c r="P41" s="80" t="str">
        <f t="shared" si="6"/>
        <v/>
      </c>
      <c r="Q41" s="80" t="str">
        <f t="shared" si="7"/>
        <v/>
      </c>
      <c r="R41" s="80" t="str">
        <f t="shared" si="8"/>
        <v/>
      </c>
    </row>
    <row r="42" spans="2:19" x14ac:dyDescent="0.4">
      <c r="B42" s="77">
        <v>44497</v>
      </c>
      <c r="C42" s="83"/>
      <c r="D42" s="64"/>
      <c r="E42" s="64" t="s">
        <v>471</v>
      </c>
      <c r="F42" s="85" t="s">
        <v>510</v>
      </c>
      <c r="G42" s="84">
        <v>4902427111542</v>
      </c>
      <c r="H42" s="78">
        <v>0.08</v>
      </c>
      <c r="I42" s="79">
        <f>30*3</f>
        <v>90</v>
      </c>
      <c r="J42" s="93">
        <v>79</v>
      </c>
      <c r="K42" s="80">
        <f t="shared" si="3"/>
        <v>85.320000000000007</v>
      </c>
      <c r="L42" s="80"/>
      <c r="M42" s="80">
        <f t="shared" si="4"/>
        <v>7678.8000000000011</v>
      </c>
      <c r="N42" s="79"/>
      <c r="O42" s="79" t="str">
        <f t="shared" si="5"/>
        <v/>
      </c>
      <c r="P42" s="80" t="str">
        <f t="shared" si="6"/>
        <v/>
      </c>
      <c r="Q42" s="80" t="str">
        <f t="shared" si="7"/>
        <v/>
      </c>
      <c r="R42" s="80" t="str">
        <f t="shared" si="8"/>
        <v/>
      </c>
    </row>
    <row r="43" spans="2:19" x14ac:dyDescent="0.4">
      <c r="B43" s="77">
        <v>44497</v>
      </c>
      <c r="C43" s="83"/>
      <c r="D43" s="64"/>
      <c r="E43" s="64" t="s">
        <v>471</v>
      </c>
      <c r="F43" s="85" t="s">
        <v>511</v>
      </c>
      <c r="G43" s="84">
        <v>4901139362778</v>
      </c>
      <c r="H43" s="78">
        <v>0.08</v>
      </c>
      <c r="I43" s="79">
        <f>6*6</f>
        <v>36</v>
      </c>
      <c r="J43" s="93">
        <v>65</v>
      </c>
      <c r="K43" s="80">
        <f t="shared" si="3"/>
        <v>70.2</v>
      </c>
      <c r="L43" s="80"/>
      <c r="M43" s="80">
        <f t="shared" si="4"/>
        <v>2527.2000000000003</v>
      </c>
      <c r="N43" s="79"/>
      <c r="O43" s="79" t="str">
        <f t="shared" si="5"/>
        <v/>
      </c>
      <c r="P43" s="80" t="str">
        <f t="shared" si="6"/>
        <v/>
      </c>
      <c r="Q43" s="80" t="str">
        <f t="shared" si="7"/>
        <v/>
      </c>
      <c r="R43" s="80" t="str">
        <f t="shared" si="8"/>
        <v/>
      </c>
    </row>
    <row r="44" spans="2:19" x14ac:dyDescent="0.4">
      <c r="B44" s="77">
        <v>44497</v>
      </c>
      <c r="C44" s="83"/>
      <c r="D44" s="64"/>
      <c r="E44" s="64" t="s">
        <v>471</v>
      </c>
      <c r="F44" s="85" t="s">
        <v>512</v>
      </c>
      <c r="G44" s="84">
        <v>4901002887056</v>
      </c>
      <c r="H44" s="78">
        <v>0.08</v>
      </c>
      <c r="I44" s="79">
        <f>10*6</f>
        <v>60</v>
      </c>
      <c r="J44" s="93">
        <v>105</v>
      </c>
      <c r="K44" s="80">
        <f t="shared" si="3"/>
        <v>113.4</v>
      </c>
      <c r="L44" s="80"/>
      <c r="M44" s="80">
        <f t="shared" si="4"/>
        <v>6804</v>
      </c>
      <c r="N44" s="79"/>
      <c r="O44" s="79" t="str">
        <f t="shared" si="5"/>
        <v/>
      </c>
      <c r="P44" s="80" t="str">
        <f t="shared" si="6"/>
        <v/>
      </c>
      <c r="Q44" s="80" t="str">
        <f t="shared" si="7"/>
        <v/>
      </c>
      <c r="R44" s="80" t="str">
        <f t="shared" si="8"/>
        <v/>
      </c>
    </row>
    <row r="45" spans="2:19" x14ac:dyDescent="0.4">
      <c r="B45" s="77">
        <v>44497</v>
      </c>
      <c r="C45" s="83"/>
      <c r="D45" s="64"/>
      <c r="E45" s="64" t="s">
        <v>471</v>
      </c>
      <c r="F45" s="85" t="s">
        <v>513</v>
      </c>
      <c r="G45" s="84">
        <v>4901002066581</v>
      </c>
      <c r="H45" s="78">
        <v>0.08</v>
      </c>
      <c r="I45" s="79">
        <f>10*6</f>
        <v>60</v>
      </c>
      <c r="J45" s="93">
        <v>69.5</v>
      </c>
      <c r="K45" s="80">
        <f t="shared" si="3"/>
        <v>75.06</v>
      </c>
      <c r="L45" s="80"/>
      <c r="M45" s="80">
        <f t="shared" si="4"/>
        <v>4503.6000000000004</v>
      </c>
      <c r="N45" s="79"/>
      <c r="O45" s="79" t="str">
        <f t="shared" si="5"/>
        <v/>
      </c>
      <c r="P45" s="80" t="str">
        <f t="shared" si="6"/>
        <v/>
      </c>
      <c r="Q45" s="80" t="str">
        <f t="shared" si="7"/>
        <v/>
      </c>
      <c r="R45" s="80" t="str">
        <f t="shared" si="8"/>
        <v/>
      </c>
      <c r="S45" s="89">
        <f>SUM(M41:M45)</f>
        <v>26017.200000000004</v>
      </c>
    </row>
    <row r="46" spans="2:19" x14ac:dyDescent="0.4">
      <c r="B46" s="77">
        <v>44497</v>
      </c>
      <c r="C46" s="83"/>
      <c r="D46" s="64"/>
      <c r="E46" s="64" t="s">
        <v>471</v>
      </c>
      <c r="F46" s="85" t="s">
        <v>514</v>
      </c>
      <c r="G46" s="84">
        <v>4901313937822</v>
      </c>
      <c r="H46" s="78">
        <v>0.08</v>
      </c>
      <c r="I46" s="79">
        <f>36*2</f>
        <v>72</v>
      </c>
      <c r="J46" s="93">
        <v>159</v>
      </c>
      <c r="K46" s="80">
        <f t="shared" si="3"/>
        <v>171.72</v>
      </c>
      <c r="L46" s="80"/>
      <c r="M46" s="80">
        <f t="shared" si="4"/>
        <v>12363.84</v>
      </c>
      <c r="N46" s="79"/>
      <c r="O46" s="79" t="str">
        <f t="shared" si="5"/>
        <v/>
      </c>
      <c r="P46" s="80" t="str">
        <f t="shared" si="6"/>
        <v/>
      </c>
      <c r="Q46" s="80" t="str">
        <f t="shared" si="7"/>
        <v/>
      </c>
      <c r="R46" s="80" t="str">
        <f t="shared" si="8"/>
        <v/>
      </c>
    </row>
    <row r="47" spans="2:19" x14ac:dyDescent="0.4">
      <c r="B47" s="77">
        <v>44497</v>
      </c>
      <c r="C47" s="83"/>
      <c r="D47" s="64"/>
      <c r="E47" s="64" t="s">
        <v>471</v>
      </c>
      <c r="F47" s="86" t="s">
        <v>515</v>
      </c>
      <c r="G47" s="84">
        <v>4901313931257</v>
      </c>
      <c r="H47" s="78">
        <v>0.08</v>
      </c>
      <c r="I47" s="79">
        <f>36*2</f>
        <v>72</v>
      </c>
      <c r="J47" s="93">
        <f>(9360-144)/I47</f>
        <v>128</v>
      </c>
      <c r="K47" s="80">
        <f t="shared" si="3"/>
        <v>138.24</v>
      </c>
      <c r="L47" s="80"/>
      <c r="M47" s="80">
        <f t="shared" si="4"/>
        <v>9953.2800000000007</v>
      </c>
      <c r="N47" s="79"/>
      <c r="O47" s="79" t="str">
        <f t="shared" si="5"/>
        <v/>
      </c>
      <c r="P47" s="80" t="str">
        <f t="shared" si="6"/>
        <v/>
      </c>
      <c r="Q47" s="80" t="str">
        <f t="shared" si="7"/>
        <v/>
      </c>
      <c r="R47" s="80" t="str">
        <f t="shared" si="8"/>
        <v/>
      </c>
    </row>
    <row r="48" spans="2:19" x14ac:dyDescent="0.4">
      <c r="B48" s="77">
        <v>44497</v>
      </c>
      <c r="C48" s="83"/>
      <c r="D48" s="64"/>
      <c r="E48" s="64" t="s">
        <v>471</v>
      </c>
      <c r="F48" s="86" t="s">
        <v>516</v>
      </c>
      <c r="G48" s="84">
        <v>4901336131146</v>
      </c>
      <c r="H48" s="78">
        <v>0.08</v>
      </c>
      <c r="I48" s="79">
        <f>12*6</f>
        <v>72</v>
      </c>
      <c r="J48" s="93">
        <v>108</v>
      </c>
      <c r="K48" s="80">
        <f t="shared" si="3"/>
        <v>116.64000000000001</v>
      </c>
      <c r="L48" s="80"/>
      <c r="M48" s="80">
        <f t="shared" si="4"/>
        <v>8398.0800000000017</v>
      </c>
      <c r="N48" s="79"/>
      <c r="O48" s="79" t="str">
        <f t="shared" si="5"/>
        <v/>
      </c>
      <c r="P48" s="80" t="str">
        <f t="shared" si="6"/>
        <v/>
      </c>
      <c r="Q48" s="80" t="str">
        <f t="shared" si="7"/>
        <v/>
      </c>
      <c r="R48" s="80" t="str">
        <f t="shared" si="8"/>
        <v/>
      </c>
    </row>
    <row r="49" spans="2:19" x14ac:dyDescent="0.4">
      <c r="B49" s="77">
        <v>44497</v>
      </c>
      <c r="C49" s="83"/>
      <c r="D49" s="64"/>
      <c r="E49" s="64" t="s">
        <v>471</v>
      </c>
      <c r="F49" s="85" t="s">
        <v>517</v>
      </c>
      <c r="G49" s="84">
        <v>4901336123516</v>
      </c>
      <c r="H49" s="78">
        <v>0.08</v>
      </c>
      <c r="I49" s="79">
        <f>12*6</f>
        <v>72</v>
      </c>
      <c r="J49" s="93">
        <v>105</v>
      </c>
      <c r="K49" s="80">
        <f t="shared" si="3"/>
        <v>113.4</v>
      </c>
      <c r="L49" s="80"/>
      <c r="M49" s="80">
        <f t="shared" si="4"/>
        <v>8164.8</v>
      </c>
      <c r="N49" s="79"/>
      <c r="O49" s="79" t="str">
        <f t="shared" si="5"/>
        <v/>
      </c>
      <c r="P49" s="80" t="str">
        <f t="shared" si="6"/>
        <v/>
      </c>
      <c r="Q49" s="80" t="str">
        <f t="shared" si="7"/>
        <v/>
      </c>
      <c r="R49" s="80" t="str">
        <f t="shared" si="8"/>
        <v/>
      </c>
      <c r="S49" s="89">
        <f>SUM(M46:M49)</f>
        <v>38880.000000000007</v>
      </c>
    </row>
    <row r="50" spans="2:19" x14ac:dyDescent="0.4">
      <c r="B50" s="77">
        <v>44497</v>
      </c>
      <c r="C50" s="83"/>
      <c r="D50" s="64"/>
      <c r="E50" s="64" t="s">
        <v>471</v>
      </c>
      <c r="F50" s="85" t="s">
        <v>518</v>
      </c>
      <c r="G50" s="84">
        <v>4902775067355</v>
      </c>
      <c r="H50" s="78">
        <v>0.08</v>
      </c>
      <c r="I50" s="79">
        <f>24*3</f>
        <v>72</v>
      </c>
      <c r="J50" s="93">
        <v>58</v>
      </c>
      <c r="K50" s="80">
        <f t="shared" si="3"/>
        <v>62.64</v>
      </c>
      <c r="L50" s="80"/>
      <c r="M50" s="80">
        <f t="shared" si="4"/>
        <v>4510.08</v>
      </c>
      <c r="N50" s="79"/>
      <c r="O50" s="79" t="str">
        <f t="shared" si="5"/>
        <v/>
      </c>
      <c r="P50" s="80" t="str">
        <f t="shared" si="6"/>
        <v/>
      </c>
      <c r="Q50" s="80" t="str">
        <f t="shared" si="7"/>
        <v/>
      </c>
      <c r="R50" s="80" t="str">
        <f t="shared" si="8"/>
        <v/>
      </c>
    </row>
    <row r="51" spans="2:19" x14ac:dyDescent="0.4">
      <c r="B51" s="77">
        <v>44497</v>
      </c>
      <c r="C51" s="83"/>
      <c r="D51" s="64"/>
      <c r="E51" s="64" t="s">
        <v>471</v>
      </c>
      <c r="F51" s="85" t="s">
        <v>519</v>
      </c>
      <c r="G51" s="84">
        <v>4902402873977</v>
      </c>
      <c r="H51" s="78">
        <v>0.08</v>
      </c>
      <c r="I51" s="79">
        <f>20*6</f>
        <v>120</v>
      </c>
      <c r="J51" s="93">
        <v>106</v>
      </c>
      <c r="K51" s="80">
        <f t="shared" si="3"/>
        <v>114.48</v>
      </c>
      <c r="L51" s="80"/>
      <c r="M51" s="80">
        <f t="shared" si="4"/>
        <v>13737.6</v>
      </c>
      <c r="N51" s="79"/>
      <c r="O51" s="79" t="str">
        <f t="shared" si="5"/>
        <v/>
      </c>
      <c r="P51" s="80" t="str">
        <f t="shared" si="6"/>
        <v/>
      </c>
      <c r="Q51" s="80" t="str">
        <f t="shared" si="7"/>
        <v/>
      </c>
      <c r="R51" s="80" t="str">
        <f t="shared" si="8"/>
        <v/>
      </c>
      <c r="S51" s="89">
        <f>SUM(M50:M51)</f>
        <v>18247.68</v>
      </c>
    </row>
    <row r="52" spans="2:19" x14ac:dyDescent="0.4">
      <c r="B52" s="77">
        <v>44497</v>
      </c>
      <c r="C52" s="83"/>
      <c r="D52" s="64"/>
      <c r="E52" s="64" t="s">
        <v>471</v>
      </c>
      <c r="F52" s="85" t="s">
        <v>520</v>
      </c>
      <c r="G52" s="84">
        <v>4901340689213</v>
      </c>
      <c r="H52" s="78">
        <v>0.08</v>
      </c>
      <c r="I52" s="79">
        <f>24*6</f>
        <v>144</v>
      </c>
      <c r="J52" s="93">
        <v>69</v>
      </c>
      <c r="K52" s="80">
        <f t="shared" si="3"/>
        <v>74.52000000000001</v>
      </c>
      <c r="L52" s="80"/>
      <c r="M52" s="80">
        <f t="shared" si="4"/>
        <v>10730.880000000001</v>
      </c>
      <c r="N52" s="79"/>
      <c r="O52" s="79" t="str">
        <f t="shared" si="5"/>
        <v/>
      </c>
      <c r="P52" s="80" t="str">
        <f t="shared" si="6"/>
        <v/>
      </c>
      <c r="Q52" s="80" t="str">
        <f t="shared" si="7"/>
        <v/>
      </c>
      <c r="R52" s="80" t="str">
        <f t="shared" si="8"/>
        <v/>
      </c>
    </row>
    <row r="53" spans="2:19" x14ac:dyDescent="0.4">
      <c r="B53" s="77">
        <v>44497</v>
      </c>
      <c r="C53" s="83"/>
      <c r="D53" s="64"/>
      <c r="E53" s="64" t="s">
        <v>471</v>
      </c>
      <c r="F53" s="85" t="s">
        <v>521</v>
      </c>
      <c r="G53" s="84">
        <v>4902555250991</v>
      </c>
      <c r="H53" s="78">
        <v>0.08</v>
      </c>
      <c r="I53" s="79">
        <f>24*6</f>
        <v>144</v>
      </c>
      <c r="J53" s="93">
        <v>63</v>
      </c>
      <c r="K53" s="80">
        <f t="shared" si="3"/>
        <v>68.040000000000006</v>
      </c>
      <c r="L53" s="80"/>
      <c r="M53" s="80">
        <f t="shared" si="4"/>
        <v>9797.76</v>
      </c>
      <c r="N53" s="79"/>
      <c r="O53" s="79" t="str">
        <f t="shared" si="5"/>
        <v/>
      </c>
      <c r="P53" s="80" t="str">
        <f t="shared" si="6"/>
        <v/>
      </c>
      <c r="Q53" s="80" t="str">
        <f t="shared" si="7"/>
        <v/>
      </c>
      <c r="R53" s="80" t="str">
        <f t="shared" si="8"/>
        <v/>
      </c>
    </row>
    <row r="54" spans="2:19" x14ac:dyDescent="0.4">
      <c r="B54" s="77">
        <v>44497</v>
      </c>
      <c r="C54" s="83"/>
      <c r="D54" s="64"/>
      <c r="E54" s="64" t="s">
        <v>471</v>
      </c>
      <c r="F54" s="85" t="s">
        <v>522</v>
      </c>
      <c r="G54" s="84">
        <v>4902555220154</v>
      </c>
      <c r="H54" s="78">
        <v>0.08</v>
      </c>
      <c r="I54" s="79">
        <f>24*6</f>
        <v>144</v>
      </c>
      <c r="J54" s="93">
        <v>65</v>
      </c>
      <c r="K54" s="80">
        <f t="shared" si="3"/>
        <v>70.2</v>
      </c>
      <c r="L54" s="80"/>
      <c r="M54" s="80">
        <f t="shared" si="4"/>
        <v>10108.800000000001</v>
      </c>
      <c r="N54" s="79"/>
      <c r="O54" s="79" t="str">
        <f t="shared" si="5"/>
        <v/>
      </c>
      <c r="P54" s="80" t="str">
        <f t="shared" si="6"/>
        <v/>
      </c>
      <c r="Q54" s="80" t="str">
        <f t="shared" si="7"/>
        <v/>
      </c>
      <c r="R54" s="80" t="str">
        <f t="shared" si="8"/>
        <v/>
      </c>
      <c r="S54" s="89">
        <f>SUM(M52:M54)</f>
        <v>30637.440000000002</v>
      </c>
    </row>
    <row r="55" spans="2:19" x14ac:dyDescent="0.4">
      <c r="B55" s="77">
        <v>44497</v>
      </c>
      <c r="C55" s="83"/>
      <c r="D55" s="64"/>
      <c r="E55" s="64" t="s">
        <v>471</v>
      </c>
      <c r="F55" s="85" t="s">
        <v>523</v>
      </c>
      <c r="G55" s="84">
        <v>4987300521007</v>
      </c>
      <c r="H55" s="78">
        <v>0.08</v>
      </c>
      <c r="I55" s="79">
        <f>48*6</f>
        <v>288</v>
      </c>
      <c r="J55" s="93">
        <v>52</v>
      </c>
      <c r="K55" s="80">
        <f>J55*110%</f>
        <v>57.2</v>
      </c>
      <c r="L55" s="80"/>
      <c r="M55" s="80">
        <f t="shared" si="4"/>
        <v>16473.600000000002</v>
      </c>
      <c r="N55" s="79"/>
      <c r="O55" s="79" t="str">
        <f t="shared" si="5"/>
        <v/>
      </c>
      <c r="P55" s="80" t="str">
        <f t="shared" si="6"/>
        <v/>
      </c>
      <c r="Q55" s="80" t="str">
        <f t="shared" si="7"/>
        <v/>
      </c>
      <c r="R55" s="80" t="str">
        <f t="shared" si="8"/>
        <v/>
      </c>
    </row>
    <row r="56" spans="2:19" x14ac:dyDescent="0.4">
      <c r="B56" s="77">
        <v>44497</v>
      </c>
      <c r="C56" s="83"/>
      <c r="D56" s="64"/>
      <c r="E56" s="64" t="s">
        <v>471</v>
      </c>
      <c r="F56" s="85" t="s">
        <v>524</v>
      </c>
      <c r="G56" s="84">
        <v>4514603217612</v>
      </c>
      <c r="H56" s="78">
        <v>0.08</v>
      </c>
      <c r="I56" s="79">
        <f>30*6</f>
        <v>180</v>
      </c>
      <c r="J56" s="93">
        <v>35</v>
      </c>
      <c r="K56" s="80">
        <f t="shared" si="3"/>
        <v>37.800000000000004</v>
      </c>
      <c r="L56" s="80"/>
      <c r="M56" s="80">
        <f t="shared" si="4"/>
        <v>6804.0000000000009</v>
      </c>
      <c r="N56" s="79"/>
      <c r="O56" s="79" t="str">
        <f t="shared" si="5"/>
        <v/>
      </c>
      <c r="P56" s="80" t="str">
        <f t="shared" si="6"/>
        <v/>
      </c>
      <c r="Q56" s="80" t="str">
        <f t="shared" si="7"/>
        <v/>
      </c>
      <c r="R56" s="80" t="str">
        <f t="shared" si="8"/>
        <v/>
      </c>
    </row>
    <row r="57" spans="2:19" x14ac:dyDescent="0.4">
      <c r="B57" s="77">
        <v>44497</v>
      </c>
      <c r="C57" s="83"/>
      <c r="D57" s="64"/>
      <c r="E57" s="64" t="s">
        <v>471</v>
      </c>
      <c r="F57" s="85" t="s">
        <v>525</v>
      </c>
      <c r="G57" s="84">
        <v>4901777243484</v>
      </c>
      <c r="H57" s="78">
        <v>0.08</v>
      </c>
      <c r="I57" s="79">
        <f>24*6</f>
        <v>144</v>
      </c>
      <c r="J57" s="93">
        <v>79</v>
      </c>
      <c r="K57" s="80">
        <f t="shared" si="3"/>
        <v>85.320000000000007</v>
      </c>
      <c r="L57" s="80"/>
      <c r="M57" s="80">
        <f t="shared" si="4"/>
        <v>12286.080000000002</v>
      </c>
      <c r="N57" s="79"/>
      <c r="O57" s="79" t="str">
        <f t="shared" si="5"/>
        <v/>
      </c>
      <c r="P57" s="80" t="str">
        <f t="shared" si="6"/>
        <v/>
      </c>
      <c r="Q57" s="80" t="str">
        <f t="shared" si="7"/>
        <v/>
      </c>
      <c r="R57" s="80" t="str">
        <f t="shared" si="8"/>
        <v/>
      </c>
      <c r="S57" s="89">
        <f>SUM(M55:M57)</f>
        <v>35563.680000000008</v>
      </c>
    </row>
    <row r="58" spans="2:19" x14ac:dyDescent="0.4">
      <c r="B58" s="77">
        <v>44497</v>
      </c>
      <c r="C58" s="83"/>
      <c r="D58" s="64"/>
      <c r="E58" s="64" t="s">
        <v>471</v>
      </c>
      <c r="F58" s="85" t="s">
        <v>526</v>
      </c>
      <c r="G58" s="84">
        <v>4902703010859</v>
      </c>
      <c r="H58" s="78">
        <v>0.08</v>
      </c>
      <c r="I58" s="79">
        <f>12*6</f>
        <v>72</v>
      </c>
      <c r="J58" s="93">
        <v>145</v>
      </c>
      <c r="K58" s="80">
        <f t="shared" si="3"/>
        <v>156.60000000000002</v>
      </c>
      <c r="L58" s="80"/>
      <c r="M58" s="80">
        <f t="shared" si="4"/>
        <v>11275.2</v>
      </c>
      <c r="N58" s="79"/>
      <c r="O58" s="79" t="str">
        <f t="shared" si="5"/>
        <v/>
      </c>
      <c r="P58" s="80" t="str">
        <f t="shared" si="6"/>
        <v/>
      </c>
      <c r="Q58" s="80" t="str">
        <f t="shared" si="7"/>
        <v/>
      </c>
      <c r="R58" s="80" t="str">
        <f t="shared" si="8"/>
        <v/>
      </c>
    </row>
    <row r="59" spans="2:19" x14ac:dyDescent="0.4">
      <c r="B59" s="77">
        <v>44497</v>
      </c>
      <c r="C59" s="83"/>
      <c r="D59" s="64"/>
      <c r="E59" s="64" t="s">
        <v>471</v>
      </c>
      <c r="F59" s="85" t="s">
        <v>527</v>
      </c>
      <c r="G59" s="84">
        <v>4902703010859</v>
      </c>
      <c r="H59" s="78">
        <v>0.08</v>
      </c>
      <c r="I59" s="79">
        <f>18*2</f>
        <v>36</v>
      </c>
      <c r="J59" s="93">
        <v>318</v>
      </c>
      <c r="K59" s="80">
        <f t="shared" si="3"/>
        <v>343.44</v>
      </c>
      <c r="L59" s="80"/>
      <c r="M59" s="80">
        <f t="shared" si="4"/>
        <v>12363.84</v>
      </c>
      <c r="N59" s="79"/>
      <c r="O59" s="79" t="str">
        <f t="shared" si="5"/>
        <v/>
      </c>
      <c r="P59" s="80" t="str">
        <f t="shared" si="6"/>
        <v/>
      </c>
      <c r="Q59" s="80" t="str">
        <f t="shared" si="7"/>
        <v/>
      </c>
      <c r="R59" s="80" t="str">
        <f t="shared" si="8"/>
        <v/>
      </c>
    </row>
    <row r="60" spans="2:19" x14ac:dyDescent="0.4">
      <c r="B60" s="77">
        <v>44497</v>
      </c>
      <c r="C60" s="83"/>
      <c r="D60" s="64"/>
      <c r="E60" s="64" t="s">
        <v>471</v>
      </c>
      <c r="F60" s="85" t="s">
        <v>528</v>
      </c>
      <c r="G60" s="84">
        <v>4902881000543</v>
      </c>
      <c r="H60" s="78">
        <v>0.08</v>
      </c>
      <c r="I60" s="79">
        <f>18*2</f>
        <v>36</v>
      </c>
      <c r="J60" s="93">
        <v>267</v>
      </c>
      <c r="K60" s="80">
        <f t="shared" si="3"/>
        <v>288.36</v>
      </c>
      <c r="L60" s="80"/>
      <c r="M60" s="80">
        <f t="shared" si="4"/>
        <v>10380.960000000001</v>
      </c>
      <c r="N60" s="79"/>
      <c r="O60" s="79" t="str">
        <f t="shared" si="5"/>
        <v/>
      </c>
      <c r="P60" s="80" t="str">
        <f t="shared" si="6"/>
        <v/>
      </c>
      <c r="Q60" s="80" t="str">
        <f t="shared" si="7"/>
        <v/>
      </c>
      <c r="R60" s="80" t="str">
        <f t="shared" si="8"/>
        <v/>
      </c>
      <c r="S60" s="89">
        <f>SUM(M58:M60)</f>
        <v>34020</v>
      </c>
    </row>
    <row r="61" spans="2:19" x14ac:dyDescent="0.4">
      <c r="B61" s="77">
        <v>44497</v>
      </c>
      <c r="C61" s="83"/>
      <c r="D61" s="64"/>
      <c r="E61" s="64" t="s">
        <v>471</v>
      </c>
      <c r="F61" s="86" t="s">
        <v>529</v>
      </c>
      <c r="G61" s="84">
        <v>490411087920</v>
      </c>
      <c r="H61" s="78">
        <v>0.08</v>
      </c>
      <c r="I61" s="79">
        <f>24*6</f>
        <v>144</v>
      </c>
      <c r="J61" s="93">
        <v>77</v>
      </c>
      <c r="K61" s="80">
        <f t="shared" si="3"/>
        <v>83.160000000000011</v>
      </c>
      <c r="L61" s="80"/>
      <c r="M61" s="80">
        <f t="shared" si="4"/>
        <v>11975.04</v>
      </c>
      <c r="N61" s="79"/>
      <c r="O61" s="79" t="str">
        <f t="shared" si="5"/>
        <v/>
      </c>
      <c r="P61" s="80" t="str">
        <f t="shared" si="6"/>
        <v/>
      </c>
      <c r="Q61" s="80" t="str">
        <f t="shared" si="7"/>
        <v/>
      </c>
      <c r="R61" s="80" t="str">
        <f t="shared" si="8"/>
        <v/>
      </c>
    </row>
    <row r="62" spans="2:19" x14ac:dyDescent="0.4">
      <c r="B62" s="77">
        <v>44497</v>
      </c>
      <c r="C62" s="83"/>
      <c r="D62" s="64"/>
      <c r="E62" s="64" t="s">
        <v>471</v>
      </c>
      <c r="F62" s="85" t="s">
        <v>530</v>
      </c>
      <c r="G62" s="84">
        <v>490941176955</v>
      </c>
      <c r="H62" s="78">
        <v>0.08</v>
      </c>
      <c r="I62" s="79">
        <f>24*6</f>
        <v>144</v>
      </c>
      <c r="J62" s="93">
        <v>83</v>
      </c>
      <c r="K62" s="80">
        <f t="shared" si="3"/>
        <v>89.64</v>
      </c>
      <c r="L62" s="80"/>
      <c r="M62" s="80">
        <f t="shared" si="4"/>
        <v>12908.16</v>
      </c>
      <c r="N62" s="79"/>
      <c r="O62" s="79" t="str">
        <f t="shared" si="5"/>
        <v/>
      </c>
      <c r="P62" s="80" t="str">
        <f t="shared" si="6"/>
        <v/>
      </c>
      <c r="Q62" s="80" t="str">
        <f t="shared" si="7"/>
        <v/>
      </c>
      <c r="R62" s="80" t="str">
        <f t="shared" si="8"/>
        <v/>
      </c>
    </row>
    <row r="63" spans="2:19" x14ac:dyDescent="0.4">
      <c r="B63" s="77">
        <v>44497</v>
      </c>
      <c r="C63" s="83"/>
      <c r="D63" s="64"/>
      <c r="E63" s="64" t="s">
        <v>471</v>
      </c>
      <c r="F63" s="85" t="s">
        <v>531</v>
      </c>
      <c r="G63" s="84">
        <v>4909411070557</v>
      </c>
      <c r="H63" s="78">
        <v>0.08</v>
      </c>
      <c r="I63" s="79">
        <f>24*6</f>
        <v>144</v>
      </c>
      <c r="J63" s="93">
        <v>69</v>
      </c>
      <c r="K63" s="80">
        <f t="shared" si="3"/>
        <v>74.52000000000001</v>
      </c>
      <c r="L63" s="80"/>
      <c r="M63" s="80">
        <f t="shared" si="4"/>
        <v>10730.880000000001</v>
      </c>
      <c r="N63" s="79"/>
      <c r="O63" s="79" t="str">
        <f t="shared" si="5"/>
        <v/>
      </c>
      <c r="P63" s="80" t="str">
        <f t="shared" si="6"/>
        <v/>
      </c>
      <c r="Q63" s="80" t="str">
        <f t="shared" si="7"/>
        <v/>
      </c>
      <c r="R63" s="80" t="str">
        <f t="shared" si="8"/>
        <v/>
      </c>
      <c r="S63" s="89">
        <f>SUM(M61:M63)</f>
        <v>35614.080000000002</v>
      </c>
    </row>
    <row r="64" spans="2:19" x14ac:dyDescent="0.4">
      <c r="B64" s="77">
        <v>44497</v>
      </c>
      <c r="C64" s="64"/>
      <c r="D64" s="64"/>
      <c r="E64" s="64" t="s">
        <v>471</v>
      </c>
      <c r="F64" s="64" t="s">
        <v>532</v>
      </c>
      <c r="G64" s="71" t="s">
        <v>297</v>
      </c>
      <c r="H64" s="78">
        <v>0.08</v>
      </c>
      <c r="I64" s="79">
        <f>24*6</f>
        <v>144</v>
      </c>
      <c r="J64" s="94">
        <v>69</v>
      </c>
      <c r="K64" s="80">
        <f t="shared" si="3"/>
        <v>74.52000000000001</v>
      </c>
      <c r="L64" s="80"/>
      <c r="M64" s="80">
        <f t="shared" si="4"/>
        <v>10730.880000000001</v>
      </c>
      <c r="N64" s="79"/>
      <c r="O64" s="79" t="str">
        <f t="shared" si="5"/>
        <v/>
      </c>
      <c r="P64" s="80" t="str">
        <f t="shared" si="6"/>
        <v/>
      </c>
      <c r="Q64" s="80" t="str">
        <f t="shared" si="7"/>
        <v/>
      </c>
      <c r="R64" s="80" t="str">
        <f t="shared" si="8"/>
        <v/>
      </c>
    </row>
    <row r="65" spans="2:19" x14ac:dyDescent="0.4">
      <c r="B65" s="77">
        <v>44497</v>
      </c>
      <c r="C65" s="64"/>
      <c r="D65" s="64"/>
      <c r="E65" s="64" t="s">
        <v>471</v>
      </c>
      <c r="F65" s="64" t="s">
        <v>533</v>
      </c>
      <c r="G65" s="71" t="s">
        <v>298</v>
      </c>
      <c r="H65" s="78">
        <v>0.08</v>
      </c>
      <c r="I65" s="79">
        <f>30*6</f>
        <v>180</v>
      </c>
      <c r="J65" s="94">
        <v>50</v>
      </c>
      <c r="K65" s="80">
        <f t="shared" si="3"/>
        <v>54</v>
      </c>
      <c r="L65" s="80"/>
      <c r="M65" s="80">
        <f t="shared" si="4"/>
        <v>9720</v>
      </c>
      <c r="N65" s="79"/>
      <c r="O65" s="79" t="str">
        <f t="shared" si="5"/>
        <v/>
      </c>
      <c r="P65" s="80" t="str">
        <f t="shared" si="6"/>
        <v/>
      </c>
      <c r="Q65" s="80" t="str">
        <f t="shared" si="7"/>
        <v/>
      </c>
      <c r="R65" s="80" t="str">
        <f t="shared" si="8"/>
        <v/>
      </c>
    </row>
    <row r="66" spans="2:19" x14ac:dyDescent="0.4">
      <c r="B66" s="77">
        <v>44497</v>
      </c>
      <c r="C66" s="64"/>
      <c r="D66" s="64"/>
      <c r="E66" s="64" t="s">
        <v>471</v>
      </c>
      <c r="F66" s="64" t="s">
        <v>534</v>
      </c>
      <c r="G66" s="71" t="s">
        <v>299</v>
      </c>
      <c r="H66" s="78">
        <v>0.08</v>
      </c>
      <c r="I66" s="79">
        <f>30*6</f>
        <v>180</v>
      </c>
      <c r="J66" s="94">
        <v>59</v>
      </c>
      <c r="K66" s="80">
        <f t="shared" si="3"/>
        <v>63.720000000000006</v>
      </c>
      <c r="L66" s="80"/>
      <c r="M66" s="80">
        <f t="shared" si="4"/>
        <v>11469.6</v>
      </c>
      <c r="N66" s="79"/>
      <c r="O66" s="79" t="str">
        <f t="shared" si="5"/>
        <v/>
      </c>
      <c r="P66" s="80" t="str">
        <f t="shared" si="6"/>
        <v/>
      </c>
      <c r="Q66" s="80" t="str">
        <f t="shared" si="7"/>
        <v/>
      </c>
      <c r="R66" s="80" t="str">
        <f t="shared" si="8"/>
        <v/>
      </c>
      <c r="S66" s="89">
        <f>SUM(M64:M66)</f>
        <v>31920.480000000003</v>
      </c>
    </row>
    <row r="67" spans="2:19" x14ac:dyDescent="0.4">
      <c r="B67" s="77">
        <v>44498</v>
      </c>
      <c r="C67" s="64"/>
      <c r="D67" s="64"/>
      <c r="E67" s="64" t="s">
        <v>471</v>
      </c>
      <c r="F67" s="64" t="s">
        <v>535</v>
      </c>
      <c r="G67" s="71" t="s">
        <v>536</v>
      </c>
      <c r="H67" s="78">
        <v>0.08</v>
      </c>
      <c r="I67" s="79">
        <f>24*1</f>
        <v>24</v>
      </c>
      <c r="J67" s="94">
        <v>73</v>
      </c>
      <c r="K67" s="80">
        <f t="shared" si="3"/>
        <v>78.84</v>
      </c>
      <c r="L67" s="80"/>
      <c r="M67" s="80">
        <f t="shared" si="4"/>
        <v>1892.16</v>
      </c>
      <c r="N67" s="79"/>
      <c r="O67" s="79" t="str">
        <f t="shared" si="5"/>
        <v/>
      </c>
      <c r="P67" s="80" t="str">
        <f t="shared" si="6"/>
        <v/>
      </c>
      <c r="Q67" s="80" t="str">
        <f t="shared" si="7"/>
        <v/>
      </c>
      <c r="R67" s="80" t="str">
        <f t="shared" si="8"/>
        <v/>
      </c>
    </row>
    <row r="68" spans="2:19" x14ac:dyDescent="0.4">
      <c r="B68" s="77">
        <v>44498</v>
      </c>
      <c r="C68" s="64"/>
      <c r="D68" s="64"/>
      <c r="E68" s="64" t="s">
        <v>471</v>
      </c>
      <c r="F68" s="64" t="s">
        <v>537</v>
      </c>
      <c r="G68" s="71" t="s">
        <v>538</v>
      </c>
      <c r="H68" s="78">
        <v>0.08</v>
      </c>
      <c r="I68" s="79">
        <f>12*3</f>
        <v>36</v>
      </c>
      <c r="J68" s="94">
        <v>72</v>
      </c>
      <c r="K68" s="80">
        <f t="shared" si="3"/>
        <v>77.760000000000005</v>
      </c>
      <c r="L68" s="80"/>
      <c r="M68" s="80">
        <f t="shared" si="4"/>
        <v>2799.36</v>
      </c>
      <c r="N68" s="79"/>
      <c r="O68" s="79" t="str">
        <f t="shared" si="5"/>
        <v/>
      </c>
      <c r="P68" s="80" t="str">
        <f t="shared" si="6"/>
        <v/>
      </c>
      <c r="Q68" s="80" t="str">
        <f t="shared" si="7"/>
        <v/>
      </c>
      <c r="R68" s="80" t="str">
        <f t="shared" si="8"/>
        <v/>
      </c>
    </row>
    <row r="69" spans="2:19" x14ac:dyDescent="0.4">
      <c r="B69" s="77">
        <v>44498</v>
      </c>
      <c r="C69" s="64"/>
      <c r="D69" s="64"/>
      <c r="E69" s="64" t="s">
        <v>471</v>
      </c>
      <c r="F69" s="64" t="s">
        <v>539</v>
      </c>
      <c r="G69" s="71" t="s">
        <v>540</v>
      </c>
      <c r="H69" s="78">
        <v>0.08</v>
      </c>
      <c r="I69" s="79">
        <f>12*3</f>
        <v>36</v>
      </c>
      <c r="J69" s="94">
        <v>132</v>
      </c>
      <c r="K69" s="80">
        <f t="shared" si="3"/>
        <v>142.56</v>
      </c>
      <c r="L69" s="80"/>
      <c r="M69" s="80">
        <f t="shared" si="4"/>
        <v>5132.16</v>
      </c>
      <c r="N69" s="79"/>
      <c r="O69" s="79" t="str">
        <f t="shared" si="5"/>
        <v/>
      </c>
      <c r="P69" s="80" t="str">
        <f t="shared" si="6"/>
        <v/>
      </c>
      <c r="Q69" s="80" t="str">
        <f t="shared" si="7"/>
        <v/>
      </c>
      <c r="R69" s="80" t="str">
        <f t="shared" si="8"/>
        <v/>
      </c>
    </row>
    <row r="70" spans="2:19" x14ac:dyDescent="0.4">
      <c r="B70" s="77">
        <v>44498</v>
      </c>
      <c r="C70" s="64"/>
      <c r="D70" s="64"/>
      <c r="E70" s="64" t="s">
        <v>471</v>
      </c>
      <c r="F70" s="64" t="s">
        <v>541</v>
      </c>
      <c r="G70" s="71" t="s">
        <v>542</v>
      </c>
      <c r="H70" s="78">
        <v>0.08</v>
      </c>
      <c r="I70" s="79">
        <v>30</v>
      </c>
      <c r="J70" s="94">
        <v>146</v>
      </c>
      <c r="K70" s="80">
        <f t="shared" ref="K70:K113" si="9">J70*108%</f>
        <v>157.68</v>
      </c>
      <c r="L70" s="80"/>
      <c r="M70" s="80">
        <f t="shared" si="4"/>
        <v>4730.4000000000005</v>
      </c>
      <c r="N70" s="79"/>
      <c r="O70" s="79" t="str">
        <f t="shared" ref="O70:O75" si="10">IF(N70="","",I70-N70)</f>
        <v/>
      </c>
      <c r="P70" s="80" t="str">
        <f t="shared" ref="P70:P133" si="11">IFERROR(O70*J70,"")</f>
        <v/>
      </c>
      <c r="Q70" s="80" t="str">
        <f t="shared" ref="Q70:Q133" si="12">IFERROR(P70*O70,"")</f>
        <v/>
      </c>
      <c r="R70" s="80" t="str">
        <f t="shared" ref="R70:R133" si="13">IFERROR(Q70-P70,"")</f>
        <v/>
      </c>
    </row>
    <row r="71" spans="2:19" x14ac:dyDescent="0.4">
      <c r="B71" s="77">
        <v>44498</v>
      </c>
      <c r="C71" s="64"/>
      <c r="D71" s="64"/>
      <c r="E71" s="64" t="s">
        <v>471</v>
      </c>
      <c r="F71" s="64" t="s">
        <v>543</v>
      </c>
      <c r="G71" s="71" t="s">
        <v>545</v>
      </c>
      <c r="H71" s="78">
        <v>0.08</v>
      </c>
      <c r="I71" s="79">
        <f>24*1</f>
        <v>24</v>
      </c>
      <c r="J71" s="94">
        <v>86</v>
      </c>
      <c r="K71" s="80">
        <f t="shared" si="9"/>
        <v>92.88000000000001</v>
      </c>
      <c r="L71" s="80"/>
      <c r="M71" s="80">
        <f t="shared" si="4"/>
        <v>2229.1200000000003</v>
      </c>
      <c r="N71" s="79"/>
      <c r="O71" s="79" t="str">
        <f t="shared" si="10"/>
        <v/>
      </c>
      <c r="P71" s="80" t="str">
        <f t="shared" si="11"/>
        <v/>
      </c>
      <c r="Q71" s="80" t="str">
        <f t="shared" si="12"/>
        <v/>
      </c>
      <c r="R71" s="80" t="str">
        <f t="shared" si="13"/>
        <v/>
      </c>
    </row>
    <row r="72" spans="2:19" x14ac:dyDescent="0.4">
      <c r="B72" s="77">
        <v>44498</v>
      </c>
      <c r="C72" s="64"/>
      <c r="D72" s="64"/>
      <c r="E72" s="64" t="s">
        <v>471</v>
      </c>
      <c r="F72" s="64" t="s">
        <v>544</v>
      </c>
      <c r="G72" s="71" t="s">
        <v>546</v>
      </c>
      <c r="H72" s="78">
        <v>0.08</v>
      </c>
      <c r="I72" s="79">
        <f>24*1</f>
        <v>24</v>
      </c>
      <c r="J72" s="94">
        <v>86</v>
      </c>
      <c r="K72" s="80">
        <f t="shared" si="9"/>
        <v>92.88000000000001</v>
      </c>
      <c r="L72" s="80"/>
      <c r="M72" s="80">
        <f t="shared" si="4"/>
        <v>2229.1200000000003</v>
      </c>
      <c r="N72" s="79"/>
      <c r="O72" s="79" t="str">
        <f t="shared" si="10"/>
        <v/>
      </c>
      <c r="P72" s="80" t="str">
        <f t="shared" si="11"/>
        <v/>
      </c>
      <c r="Q72" s="80" t="str">
        <f t="shared" si="12"/>
        <v/>
      </c>
      <c r="R72" s="80" t="str">
        <f t="shared" si="13"/>
        <v/>
      </c>
    </row>
    <row r="73" spans="2:19" x14ac:dyDescent="0.4">
      <c r="B73" s="77">
        <v>44498</v>
      </c>
      <c r="C73" s="64"/>
      <c r="D73" s="64"/>
      <c r="E73" s="64" t="s">
        <v>471</v>
      </c>
      <c r="F73" s="64" t="s">
        <v>547</v>
      </c>
      <c r="G73" s="71" t="s">
        <v>548</v>
      </c>
      <c r="H73" s="78">
        <v>0.08</v>
      </c>
      <c r="I73" s="79">
        <f>12*2</f>
        <v>24</v>
      </c>
      <c r="J73" s="94">
        <v>75</v>
      </c>
      <c r="K73" s="80">
        <f t="shared" si="9"/>
        <v>81</v>
      </c>
      <c r="L73" s="80"/>
      <c r="M73" s="80">
        <f t="shared" si="4"/>
        <v>1944</v>
      </c>
      <c r="N73" s="79"/>
      <c r="O73" s="79" t="str">
        <f t="shared" si="10"/>
        <v/>
      </c>
      <c r="P73" s="80" t="str">
        <f t="shared" si="11"/>
        <v/>
      </c>
      <c r="Q73" s="80" t="str">
        <f t="shared" si="12"/>
        <v/>
      </c>
      <c r="R73" s="80" t="str">
        <f t="shared" si="13"/>
        <v/>
      </c>
    </row>
    <row r="74" spans="2:19" x14ac:dyDescent="0.4">
      <c r="B74" s="77">
        <v>44498</v>
      </c>
      <c r="C74" s="64"/>
      <c r="D74" s="64"/>
      <c r="E74" s="64" t="s">
        <v>471</v>
      </c>
      <c r="F74" s="64" t="s">
        <v>549</v>
      </c>
      <c r="G74" s="71" t="s">
        <v>550</v>
      </c>
      <c r="H74" s="78">
        <v>0.08</v>
      </c>
      <c r="I74" s="79">
        <f>12*2</f>
        <v>24</v>
      </c>
      <c r="J74" s="94">
        <v>75</v>
      </c>
      <c r="K74" s="80">
        <f t="shared" si="9"/>
        <v>81</v>
      </c>
      <c r="L74" s="80"/>
      <c r="M74" s="80">
        <f t="shared" si="4"/>
        <v>1944</v>
      </c>
      <c r="N74" s="79"/>
      <c r="O74" s="79" t="str">
        <f t="shared" si="10"/>
        <v/>
      </c>
      <c r="P74" s="80" t="str">
        <f t="shared" si="11"/>
        <v/>
      </c>
      <c r="Q74" s="80" t="str">
        <f t="shared" si="12"/>
        <v/>
      </c>
      <c r="R74" s="80" t="str">
        <f t="shared" si="13"/>
        <v/>
      </c>
    </row>
    <row r="75" spans="2:19" x14ac:dyDescent="0.4">
      <c r="B75" s="77">
        <v>44498</v>
      </c>
      <c r="C75" s="64"/>
      <c r="D75" s="64"/>
      <c r="E75" s="64" t="s">
        <v>471</v>
      </c>
      <c r="F75" s="64" t="s">
        <v>822</v>
      </c>
      <c r="G75" s="71" t="s">
        <v>551</v>
      </c>
      <c r="H75" s="78">
        <v>0.08</v>
      </c>
      <c r="I75" s="79">
        <f>12*2</f>
        <v>24</v>
      </c>
      <c r="J75" s="94">
        <v>75</v>
      </c>
      <c r="K75" s="80">
        <f t="shared" si="9"/>
        <v>81</v>
      </c>
      <c r="L75" s="80"/>
      <c r="M75" s="80">
        <f t="shared" ref="M75:M138" si="14">K75*I75</f>
        <v>1944</v>
      </c>
      <c r="N75" s="79"/>
      <c r="O75" s="79" t="str">
        <f t="shared" si="10"/>
        <v/>
      </c>
      <c r="P75" s="80" t="str">
        <f t="shared" si="11"/>
        <v/>
      </c>
      <c r="Q75" s="80" t="str">
        <f t="shared" si="12"/>
        <v/>
      </c>
      <c r="R75" s="80" t="str">
        <f t="shared" si="13"/>
        <v/>
      </c>
    </row>
    <row r="76" spans="2:19" x14ac:dyDescent="0.4">
      <c r="B76" s="77">
        <v>44498</v>
      </c>
      <c r="C76" s="64"/>
      <c r="D76" s="64"/>
      <c r="E76" s="64" t="s">
        <v>471</v>
      </c>
      <c r="F76" s="64" t="s">
        <v>552</v>
      </c>
      <c r="G76" s="71" t="s">
        <v>555</v>
      </c>
      <c r="H76" s="78">
        <v>0.08</v>
      </c>
      <c r="I76" s="79">
        <f>12*2</f>
        <v>24</v>
      </c>
      <c r="J76" s="94">
        <v>152</v>
      </c>
      <c r="K76" s="80">
        <f t="shared" si="9"/>
        <v>164.16000000000003</v>
      </c>
      <c r="L76" s="80"/>
      <c r="M76" s="80">
        <f t="shared" si="14"/>
        <v>3939.8400000000006</v>
      </c>
      <c r="N76" s="79"/>
      <c r="O76" s="79"/>
      <c r="P76" s="80">
        <f>IFERROR(O76*J76,"")</f>
        <v>0</v>
      </c>
      <c r="Q76" s="80">
        <f t="shared" si="12"/>
        <v>0</v>
      </c>
      <c r="R76" s="80">
        <f t="shared" si="13"/>
        <v>0</v>
      </c>
    </row>
    <row r="77" spans="2:19" x14ac:dyDescent="0.4">
      <c r="B77" s="77">
        <v>44498</v>
      </c>
      <c r="C77" s="64"/>
      <c r="D77" s="64"/>
      <c r="E77" s="64" t="s">
        <v>471</v>
      </c>
      <c r="F77" s="64" t="s">
        <v>553</v>
      </c>
      <c r="G77" s="71" t="s">
        <v>556</v>
      </c>
      <c r="H77" s="78">
        <v>0.08</v>
      </c>
      <c r="I77" s="79">
        <f>20*10</f>
        <v>200</v>
      </c>
      <c r="J77" s="94">
        <v>21.6</v>
      </c>
      <c r="K77" s="80">
        <f t="shared" si="9"/>
        <v>23.328000000000003</v>
      </c>
      <c r="L77" s="80"/>
      <c r="M77" s="80">
        <f t="shared" si="14"/>
        <v>4665.6000000000004</v>
      </c>
      <c r="N77" s="79"/>
      <c r="O77" s="79"/>
      <c r="P77" s="80">
        <f t="shared" si="11"/>
        <v>0</v>
      </c>
      <c r="Q77" s="80">
        <f t="shared" si="12"/>
        <v>0</v>
      </c>
      <c r="R77" s="80">
        <f t="shared" si="13"/>
        <v>0</v>
      </c>
    </row>
    <row r="78" spans="2:19" x14ac:dyDescent="0.4">
      <c r="B78" s="77">
        <v>44498</v>
      </c>
      <c r="C78" s="64"/>
      <c r="D78" s="64"/>
      <c r="E78" s="64" t="s">
        <v>471</v>
      </c>
      <c r="F78" s="64" t="s">
        <v>554</v>
      </c>
      <c r="G78" s="71" t="s">
        <v>557</v>
      </c>
      <c r="H78" s="78">
        <v>0.08</v>
      </c>
      <c r="I78" s="79">
        <f>12*2</f>
        <v>24</v>
      </c>
      <c r="J78" s="94">
        <v>152</v>
      </c>
      <c r="K78" s="80">
        <f t="shared" si="9"/>
        <v>164.16000000000003</v>
      </c>
      <c r="L78" s="80"/>
      <c r="M78" s="80">
        <f t="shared" si="14"/>
        <v>3939.8400000000006</v>
      </c>
      <c r="N78" s="79"/>
      <c r="O78" s="79"/>
      <c r="P78" s="80">
        <f t="shared" si="11"/>
        <v>0</v>
      </c>
      <c r="Q78" s="80">
        <f t="shared" si="12"/>
        <v>0</v>
      </c>
      <c r="R78" s="80">
        <f t="shared" si="13"/>
        <v>0</v>
      </c>
      <c r="S78" s="89">
        <f>SUM(M67:M78)</f>
        <v>37389.600000000006</v>
      </c>
    </row>
    <row r="79" spans="2:19" x14ac:dyDescent="0.4">
      <c r="B79" s="77">
        <v>44498</v>
      </c>
      <c r="C79" s="64"/>
      <c r="D79" s="64"/>
      <c r="E79" s="64" t="s">
        <v>471</v>
      </c>
      <c r="F79" s="64" t="s">
        <v>558</v>
      </c>
      <c r="G79" s="71" t="s">
        <v>559</v>
      </c>
      <c r="H79" s="78">
        <v>0.08</v>
      </c>
      <c r="I79" s="79">
        <f>24*2</f>
        <v>48</v>
      </c>
      <c r="J79" s="94">
        <v>194</v>
      </c>
      <c r="K79" s="80">
        <f t="shared" si="9"/>
        <v>209.52</v>
      </c>
      <c r="L79" s="80"/>
      <c r="M79" s="80">
        <f t="shared" si="14"/>
        <v>10056.960000000001</v>
      </c>
      <c r="N79" s="79"/>
      <c r="O79" s="79"/>
      <c r="P79" s="80">
        <f t="shared" si="11"/>
        <v>0</v>
      </c>
      <c r="Q79" s="80">
        <f t="shared" si="12"/>
        <v>0</v>
      </c>
      <c r="R79" s="80">
        <f t="shared" si="13"/>
        <v>0</v>
      </c>
    </row>
    <row r="80" spans="2:19" x14ac:dyDescent="0.4">
      <c r="B80" s="77">
        <v>44498</v>
      </c>
      <c r="C80" s="64"/>
      <c r="D80" s="64"/>
      <c r="E80" s="64" t="s">
        <v>471</v>
      </c>
      <c r="F80" s="64" t="s">
        <v>560</v>
      </c>
      <c r="G80" s="71" t="s">
        <v>561</v>
      </c>
      <c r="H80" s="78">
        <v>0.08</v>
      </c>
      <c r="I80" s="79">
        <f>240*3</f>
        <v>720</v>
      </c>
      <c r="J80" s="94">
        <v>50</v>
      </c>
      <c r="K80" s="80">
        <f t="shared" si="9"/>
        <v>54</v>
      </c>
      <c r="L80" s="80"/>
      <c r="M80" s="80">
        <f t="shared" si="14"/>
        <v>38880</v>
      </c>
      <c r="N80" s="79"/>
      <c r="O80" s="79"/>
      <c r="P80" s="80">
        <f t="shared" si="11"/>
        <v>0</v>
      </c>
      <c r="Q80" s="80">
        <f t="shared" si="12"/>
        <v>0</v>
      </c>
      <c r="R80" s="80">
        <f t="shared" si="13"/>
        <v>0</v>
      </c>
    </row>
    <row r="81" spans="2:19" x14ac:dyDescent="0.4">
      <c r="B81" s="77">
        <v>44498</v>
      </c>
      <c r="C81" s="64"/>
      <c r="D81" s="64"/>
      <c r="E81" s="64" t="s">
        <v>471</v>
      </c>
      <c r="F81" s="64" t="s">
        <v>562</v>
      </c>
      <c r="G81" s="71" t="s">
        <v>563</v>
      </c>
      <c r="H81" s="78">
        <v>0.08</v>
      </c>
      <c r="I81" s="79">
        <f>160*2</f>
        <v>320</v>
      </c>
      <c r="J81" s="94">
        <v>59</v>
      </c>
      <c r="K81" s="80">
        <f t="shared" si="9"/>
        <v>63.720000000000006</v>
      </c>
      <c r="L81" s="80"/>
      <c r="M81" s="80">
        <f t="shared" si="14"/>
        <v>20390.400000000001</v>
      </c>
      <c r="N81" s="79"/>
      <c r="O81" s="79"/>
      <c r="P81" s="80">
        <f t="shared" si="11"/>
        <v>0</v>
      </c>
      <c r="Q81" s="80">
        <f t="shared" si="12"/>
        <v>0</v>
      </c>
      <c r="R81" s="80">
        <f t="shared" si="13"/>
        <v>0</v>
      </c>
    </row>
    <row r="82" spans="2:19" x14ac:dyDescent="0.4">
      <c r="B82" s="77">
        <v>44498</v>
      </c>
      <c r="C82" s="64"/>
      <c r="D82" s="64"/>
      <c r="E82" s="64" t="s">
        <v>471</v>
      </c>
      <c r="F82" s="64" t="s">
        <v>564</v>
      </c>
      <c r="G82" s="71" t="s">
        <v>566</v>
      </c>
      <c r="H82" s="78">
        <v>0.08</v>
      </c>
      <c r="I82" s="79">
        <f>12*2</f>
        <v>24</v>
      </c>
      <c r="J82" s="94">
        <v>246</v>
      </c>
      <c r="K82" s="80">
        <f t="shared" si="9"/>
        <v>265.68</v>
      </c>
      <c r="L82" s="80"/>
      <c r="M82" s="80">
        <f t="shared" si="14"/>
        <v>6376.32</v>
      </c>
      <c r="N82" s="79"/>
      <c r="O82" s="79"/>
      <c r="P82" s="80">
        <f t="shared" si="11"/>
        <v>0</v>
      </c>
      <c r="Q82" s="80">
        <f t="shared" si="12"/>
        <v>0</v>
      </c>
      <c r="R82" s="80">
        <f t="shared" si="13"/>
        <v>0</v>
      </c>
    </row>
    <row r="83" spans="2:19" x14ac:dyDescent="0.4">
      <c r="B83" s="77">
        <v>44498</v>
      </c>
      <c r="C83" s="64"/>
      <c r="D83" s="64"/>
      <c r="E83" s="64" t="s">
        <v>471</v>
      </c>
      <c r="F83" s="64" t="s">
        <v>565</v>
      </c>
      <c r="G83" s="71" t="s">
        <v>567</v>
      </c>
      <c r="H83" s="78">
        <v>0.08</v>
      </c>
      <c r="I83" s="79">
        <f>60*2</f>
        <v>120</v>
      </c>
      <c r="J83" s="94">
        <v>169</v>
      </c>
      <c r="K83" s="80">
        <f t="shared" si="9"/>
        <v>182.52</v>
      </c>
      <c r="L83" s="80"/>
      <c r="M83" s="80">
        <f t="shared" si="14"/>
        <v>21902.400000000001</v>
      </c>
      <c r="N83" s="79"/>
      <c r="O83" s="79"/>
      <c r="P83" s="80">
        <f t="shared" si="11"/>
        <v>0</v>
      </c>
      <c r="Q83" s="80">
        <f t="shared" si="12"/>
        <v>0</v>
      </c>
      <c r="R83" s="80">
        <f t="shared" si="13"/>
        <v>0</v>
      </c>
      <c r="S83" s="89">
        <f>SUM(M79:M83)</f>
        <v>97606.079999999987</v>
      </c>
    </row>
    <row r="84" spans="2:19" x14ac:dyDescent="0.4">
      <c r="B84" s="77">
        <v>44498</v>
      </c>
      <c r="C84" s="64"/>
      <c r="D84" s="64"/>
      <c r="E84" s="64" t="s">
        <v>471</v>
      </c>
      <c r="F84" s="64" t="s">
        <v>568</v>
      </c>
      <c r="G84" s="71" t="s">
        <v>569</v>
      </c>
      <c r="H84" s="78">
        <v>0.08</v>
      </c>
      <c r="I84" s="79">
        <f>10*4</f>
        <v>40</v>
      </c>
      <c r="J84" s="94">
        <v>193</v>
      </c>
      <c r="K84" s="80">
        <f t="shared" si="9"/>
        <v>208.44000000000003</v>
      </c>
      <c r="L84" s="80"/>
      <c r="M84" s="80">
        <f t="shared" si="14"/>
        <v>8337.6</v>
      </c>
      <c r="N84" s="79"/>
      <c r="O84" s="79"/>
      <c r="P84" s="80">
        <f t="shared" si="11"/>
        <v>0</v>
      </c>
      <c r="Q84" s="80">
        <f t="shared" si="12"/>
        <v>0</v>
      </c>
      <c r="R84" s="80">
        <f t="shared" si="13"/>
        <v>0</v>
      </c>
    </row>
    <row r="85" spans="2:19" x14ac:dyDescent="0.4">
      <c r="B85" s="77">
        <v>44498</v>
      </c>
      <c r="C85" s="64"/>
      <c r="D85" s="64"/>
      <c r="E85" s="64" t="s">
        <v>471</v>
      </c>
      <c r="F85" s="64" t="s">
        <v>570</v>
      </c>
      <c r="G85" s="71" t="s">
        <v>579</v>
      </c>
      <c r="H85" s="78">
        <v>0.08</v>
      </c>
      <c r="I85" s="79">
        <f>20*2</f>
        <v>40</v>
      </c>
      <c r="J85" s="94">
        <v>259</v>
      </c>
      <c r="K85" s="80">
        <f t="shared" si="9"/>
        <v>279.72000000000003</v>
      </c>
      <c r="L85" s="80"/>
      <c r="M85" s="80">
        <f t="shared" si="14"/>
        <v>11188.800000000001</v>
      </c>
      <c r="N85" s="79"/>
      <c r="O85" s="79"/>
      <c r="P85" s="80">
        <f t="shared" si="11"/>
        <v>0</v>
      </c>
      <c r="Q85" s="80">
        <f t="shared" si="12"/>
        <v>0</v>
      </c>
      <c r="R85" s="80">
        <f t="shared" si="13"/>
        <v>0</v>
      </c>
    </row>
    <row r="86" spans="2:19" x14ac:dyDescent="0.4">
      <c r="B86" s="77">
        <v>44498</v>
      </c>
      <c r="C86" s="64"/>
      <c r="D86" s="64"/>
      <c r="E86" s="64" t="s">
        <v>471</v>
      </c>
      <c r="F86" s="64" t="s">
        <v>571</v>
      </c>
      <c r="G86" s="71" t="s">
        <v>580</v>
      </c>
      <c r="H86" s="78">
        <v>0.08</v>
      </c>
      <c r="I86" s="79">
        <f>12*2</f>
        <v>24</v>
      </c>
      <c r="J86" s="94">
        <v>298</v>
      </c>
      <c r="K86" s="80">
        <f t="shared" si="9"/>
        <v>321.84000000000003</v>
      </c>
      <c r="L86" s="80"/>
      <c r="M86" s="80">
        <f t="shared" si="14"/>
        <v>7724.1600000000008</v>
      </c>
      <c r="N86" s="79"/>
      <c r="O86" s="79"/>
      <c r="P86" s="80">
        <f t="shared" si="11"/>
        <v>0</v>
      </c>
      <c r="Q86" s="80">
        <f t="shared" si="12"/>
        <v>0</v>
      </c>
      <c r="R86" s="80">
        <f t="shared" si="13"/>
        <v>0</v>
      </c>
    </row>
    <row r="87" spans="2:19" x14ac:dyDescent="0.4">
      <c r="B87" s="77">
        <v>44498</v>
      </c>
      <c r="C87" s="64"/>
      <c r="D87" s="64"/>
      <c r="E87" s="64" t="s">
        <v>471</v>
      </c>
      <c r="F87" s="64" t="s">
        <v>572</v>
      </c>
      <c r="G87" s="71" t="s">
        <v>581</v>
      </c>
      <c r="H87" s="78">
        <v>0.08</v>
      </c>
      <c r="I87" s="79">
        <f>30*1</f>
        <v>30</v>
      </c>
      <c r="J87" s="94">
        <v>87</v>
      </c>
      <c r="K87" s="80">
        <f t="shared" si="9"/>
        <v>93.960000000000008</v>
      </c>
      <c r="L87" s="80"/>
      <c r="M87" s="80">
        <f t="shared" si="14"/>
        <v>2818.8</v>
      </c>
      <c r="N87" s="79"/>
      <c r="O87" s="79"/>
      <c r="P87" s="80">
        <f t="shared" si="11"/>
        <v>0</v>
      </c>
      <c r="Q87" s="80">
        <f t="shared" si="12"/>
        <v>0</v>
      </c>
      <c r="R87" s="80">
        <f t="shared" si="13"/>
        <v>0</v>
      </c>
    </row>
    <row r="88" spans="2:19" x14ac:dyDescent="0.4">
      <c r="B88" s="77">
        <v>44498</v>
      </c>
      <c r="C88" s="64"/>
      <c r="D88" s="64"/>
      <c r="E88" s="64" t="s">
        <v>471</v>
      </c>
      <c r="F88" s="64" t="s">
        <v>573</v>
      </c>
      <c r="G88" s="71" t="s">
        <v>582</v>
      </c>
      <c r="H88" s="78">
        <v>0.08</v>
      </c>
      <c r="I88" s="79">
        <f>10*6</f>
        <v>60</v>
      </c>
      <c r="J88" s="94">
        <v>242</v>
      </c>
      <c r="K88" s="80">
        <f t="shared" si="9"/>
        <v>261.36</v>
      </c>
      <c r="L88" s="80"/>
      <c r="M88" s="80">
        <f t="shared" si="14"/>
        <v>15681.6</v>
      </c>
      <c r="N88" s="79"/>
      <c r="O88" s="79"/>
      <c r="P88" s="80">
        <f t="shared" si="11"/>
        <v>0</v>
      </c>
      <c r="Q88" s="80">
        <f t="shared" si="12"/>
        <v>0</v>
      </c>
      <c r="R88" s="80">
        <f t="shared" si="13"/>
        <v>0</v>
      </c>
    </row>
    <row r="89" spans="2:19" x14ac:dyDescent="0.4">
      <c r="B89" s="77">
        <v>44498</v>
      </c>
      <c r="C89" s="64"/>
      <c r="D89" s="64"/>
      <c r="E89" s="64" t="s">
        <v>471</v>
      </c>
      <c r="F89" s="64" t="s">
        <v>574</v>
      </c>
      <c r="G89" s="71" t="s">
        <v>583</v>
      </c>
      <c r="H89" s="78">
        <v>0.08</v>
      </c>
      <c r="I89" s="79">
        <f>48*1</f>
        <v>48</v>
      </c>
      <c r="J89" s="94">
        <v>222</v>
      </c>
      <c r="K89" s="80">
        <f t="shared" si="9"/>
        <v>239.76000000000002</v>
      </c>
      <c r="L89" s="80"/>
      <c r="M89" s="80">
        <f t="shared" si="14"/>
        <v>11508.480000000001</v>
      </c>
      <c r="N89" s="79"/>
      <c r="O89" s="79"/>
      <c r="P89" s="80">
        <f t="shared" si="11"/>
        <v>0</v>
      </c>
      <c r="Q89" s="80">
        <f t="shared" si="12"/>
        <v>0</v>
      </c>
      <c r="R89" s="80">
        <f t="shared" si="13"/>
        <v>0</v>
      </c>
    </row>
    <row r="90" spans="2:19" x14ac:dyDescent="0.4">
      <c r="B90" s="77">
        <v>44498</v>
      </c>
      <c r="C90" s="64"/>
      <c r="D90" s="64"/>
      <c r="E90" s="64" t="s">
        <v>471</v>
      </c>
      <c r="F90" s="64" t="s">
        <v>575</v>
      </c>
      <c r="G90" s="71" t="s">
        <v>584</v>
      </c>
      <c r="H90" s="78">
        <v>0.08</v>
      </c>
      <c r="I90" s="79">
        <f>24*3</f>
        <v>72</v>
      </c>
      <c r="J90" s="94">
        <v>90</v>
      </c>
      <c r="K90" s="80">
        <f t="shared" si="9"/>
        <v>97.2</v>
      </c>
      <c r="L90" s="80"/>
      <c r="M90" s="80">
        <f t="shared" si="14"/>
        <v>6998.4000000000005</v>
      </c>
      <c r="N90" s="79"/>
      <c r="O90" s="79"/>
      <c r="P90" s="80">
        <f t="shared" si="11"/>
        <v>0</v>
      </c>
      <c r="Q90" s="80">
        <f t="shared" si="12"/>
        <v>0</v>
      </c>
      <c r="R90" s="80">
        <f t="shared" si="13"/>
        <v>0</v>
      </c>
    </row>
    <row r="91" spans="2:19" x14ac:dyDescent="0.4">
      <c r="B91" s="77">
        <v>44498</v>
      </c>
      <c r="C91" s="64"/>
      <c r="D91" s="64"/>
      <c r="E91" s="64" t="s">
        <v>471</v>
      </c>
      <c r="F91" s="64" t="s">
        <v>576</v>
      </c>
      <c r="G91" s="71" t="s">
        <v>585</v>
      </c>
      <c r="H91" s="78">
        <v>0.08</v>
      </c>
      <c r="I91" s="79">
        <f>24*3</f>
        <v>72</v>
      </c>
      <c r="J91" s="94">
        <v>90</v>
      </c>
      <c r="K91" s="80">
        <f t="shared" si="9"/>
        <v>97.2</v>
      </c>
      <c r="L91" s="80"/>
      <c r="M91" s="80">
        <f t="shared" si="14"/>
        <v>6998.4000000000005</v>
      </c>
      <c r="N91" s="79"/>
      <c r="O91" s="79"/>
      <c r="P91" s="80">
        <f t="shared" si="11"/>
        <v>0</v>
      </c>
      <c r="Q91" s="80">
        <f t="shared" si="12"/>
        <v>0</v>
      </c>
      <c r="R91" s="80">
        <f t="shared" si="13"/>
        <v>0</v>
      </c>
    </row>
    <row r="92" spans="2:19" x14ac:dyDescent="0.4">
      <c r="B92" s="77">
        <v>44498</v>
      </c>
      <c r="C92" s="64"/>
      <c r="D92" s="64"/>
      <c r="E92" s="64" t="s">
        <v>471</v>
      </c>
      <c r="F92" s="64" t="s">
        <v>577</v>
      </c>
      <c r="G92" s="71" t="s">
        <v>586</v>
      </c>
      <c r="H92" s="78">
        <v>0.08</v>
      </c>
      <c r="I92" s="79">
        <f>60*1</f>
        <v>60</v>
      </c>
      <c r="J92" s="94">
        <v>184</v>
      </c>
      <c r="K92" s="80">
        <f t="shared" si="9"/>
        <v>198.72000000000003</v>
      </c>
      <c r="L92" s="80"/>
      <c r="M92" s="80">
        <f t="shared" si="14"/>
        <v>11923.2</v>
      </c>
      <c r="N92" s="79"/>
      <c r="O92" s="79"/>
      <c r="P92" s="80">
        <f t="shared" si="11"/>
        <v>0</v>
      </c>
      <c r="Q92" s="80">
        <f t="shared" si="12"/>
        <v>0</v>
      </c>
      <c r="R92" s="80">
        <f t="shared" si="13"/>
        <v>0</v>
      </c>
    </row>
    <row r="93" spans="2:19" x14ac:dyDescent="0.4">
      <c r="B93" s="77">
        <v>44498</v>
      </c>
      <c r="C93" s="64"/>
      <c r="D93" s="64"/>
      <c r="E93" s="64" t="s">
        <v>471</v>
      </c>
      <c r="F93" s="64" t="s">
        <v>577</v>
      </c>
      <c r="G93" s="71" t="s">
        <v>586</v>
      </c>
      <c r="H93" s="78">
        <v>0.08</v>
      </c>
      <c r="I93" s="79">
        <f>15*2</f>
        <v>30</v>
      </c>
      <c r="J93" s="94">
        <v>184</v>
      </c>
      <c r="K93" s="80">
        <f t="shared" si="9"/>
        <v>198.72000000000003</v>
      </c>
      <c r="L93" s="80"/>
      <c r="M93" s="80">
        <f t="shared" si="14"/>
        <v>5961.6</v>
      </c>
      <c r="N93" s="79"/>
      <c r="O93" s="79"/>
      <c r="P93" s="80">
        <f t="shared" si="11"/>
        <v>0</v>
      </c>
      <c r="Q93" s="80">
        <f t="shared" si="12"/>
        <v>0</v>
      </c>
      <c r="R93" s="80">
        <f t="shared" si="13"/>
        <v>0</v>
      </c>
    </row>
    <row r="94" spans="2:19" x14ac:dyDescent="0.4">
      <c r="B94" s="77">
        <v>44498</v>
      </c>
      <c r="C94" s="64"/>
      <c r="D94" s="64"/>
      <c r="E94" s="64" t="s">
        <v>471</v>
      </c>
      <c r="F94" s="64" t="s">
        <v>578</v>
      </c>
      <c r="G94" s="71" t="s">
        <v>587</v>
      </c>
      <c r="H94" s="78">
        <v>0.08</v>
      </c>
      <c r="I94" s="79">
        <f>48*1</f>
        <v>48</v>
      </c>
      <c r="J94" s="94">
        <v>222</v>
      </c>
      <c r="K94" s="80">
        <f t="shared" si="9"/>
        <v>239.76000000000002</v>
      </c>
      <c r="L94" s="80"/>
      <c r="M94" s="80">
        <f t="shared" si="14"/>
        <v>11508.480000000001</v>
      </c>
      <c r="N94" s="79"/>
      <c r="O94" s="79"/>
      <c r="P94" s="80">
        <f t="shared" si="11"/>
        <v>0</v>
      </c>
      <c r="Q94" s="80">
        <f t="shared" si="12"/>
        <v>0</v>
      </c>
      <c r="R94" s="80">
        <f t="shared" si="13"/>
        <v>0</v>
      </c>
      <c r="S94" s="89">
        <f>SUM(M84:M94)</f>
        <v>100649.52</v>
      </c>
    </row>
    <row r="95" spans="2:19" x14ac:dyDescent="0.4">
      <c r="B95" s="77">
        <v>44498</v>
      </c>
      <c r="C95" s="64"/>
      <c r="D95" s="64"/>
      <c r="E95" s="64" t="s">
        <v>471</v>
      </c>
      <c r="F95" s="64" t="s">
        <v>588</v>
      </c>
      <c r="G95" s="71" t="s">
        <v>598</v>
      </c>
      <c r="H95" s="78">
        <v>0.08</v>
      </c>
      <c r="I95" s="79">
        <f>30*2</f>
        <v>60</v>
      </c>
      <c r="J95" s="94">
        <v>267</v>
      </c>
      <c r="K95" s="80">
        <f t="shared" si="9"/>
        <v>288.36</v>
      </c>
      <c r="L95" s="80"/>
      <c r="M95" s="80">
        <f t="shared" si="14"/>
        <v>17301.600000000002</v>
      </c>
      <c r="N95" s="79"/>
      <c r="O95" s="79"/>
      <c r="P95" s="80">
        <f t="shared" si="11"/>
        <v>0</v>
      </c>
      <c r="Q95" s="80">
        <f t="shared" si="12"/>
        <v>0</v>
      </c>
      <c r="R95" s="80">
        <f t="shared" si="13"/>
        <v>0</v>
      </c>
    </row>
    <row r="96" spans="2:19" x14ac:dyDescent="0.4">
      <c r="B96" s="77">
        <v>44498</v>
      </c>
      <c r="C96" s="64"/>
      <c r="D96" s="64"/>
      <c r="E96" s="64" t="s">
        <v>471</v>
      </c>
      <c r="F96" s="64" t="s">
        <v>589</v>
      </c>
      <c r="G96" s="71" t="s">
        <v>599</v>
      </c>
      <c r="H96" s="78">
        <v>0.08</v>
      </c>
      <c r="I96" s="79">
        <f>24*1</f>
        <v>24</v>
      </c>
      <c r="J96" s="94">
        <v>159</v>
      </c>
      <c r="K96" s="80">
        <f t="shared" si="9"/>
        <v>171.72</v>
      </c>
      <c r="L96" s="80"/>
      <c r="M96" s="80">
        <f t="shared" si="14"/>
        <v>4121.28</v>
      </c>
      <c r="N96" s="79"/>
      <c r="O96" s="79"/>
      <c r="P96" s="80">
        <f t="shared" si="11"/>
        <v>0</v>
      </c>
      <c r="Q96" s="80">
        <f t="shared" si="12"/>
        <v>0</v>
      </c>
      <c r="R96" s="80">
        <f t="shared" si="13"/>
        <v>0</v>
      </c>
    </row>
    <row r="97" spans="2:19" x14ac:dyDescent="0.4">
      <c r="B97" s="77">
        <v>44498</v>
      </c>
      <c r="C97" s="64"/>
      <c r="D97" s="64"/>
      <c r="E97" s="64" t="s">
        <v>471</v>
      </c>
      <c r="F97" s="64" t="s">
        <v>590</v>
      </c>
      <c r="G97" s="71" t="s">
        <v>600</v>
      </c>
      <c r="H97" s="78">
        <v>0.08</v>
      </c>
      <c r="I97" s="79">
        <f>24*1</f>
        <v>24</v>
      </c>
      <c r="J97" s="94">
        <v>180</v>
      </c>
      <c r="K97" s="80">
        <f t="shared" si="9"/>
        <v>194.4</v>
      </c>
      <c r="L97" s="80"/>
      <c r="M97" s="80">
        <f t="shared" si="14"/>
        <v>4665.6000000000004</v>
      </c>
      <c r="N97" s="79"/>
      <c r="O97" s="79"/>
      <c r="P97" s="80">
        <f t="shared" si="11"/>
        <v>0</v>
      </c>
      <c r="Q97" s="80">
        <f t="shared" si="12"/>
        <v>0</v>
      </c>
      <c r="R97" s="80">
        <f t="shared" si="13"/>
        <v>0</v>
      </c>
    </row>
    <row r="98" spans="2:19" x14ac:dyDescent="0.4">
      <c r="B98" s="77">
        <v>44498</v>
      </c>
      <c r="C98" s="64"/>
      <c r="D98" s="64"/>
      <c r="E98" s="64" t="s">
        <v>471</v>
      </c>
      <c r="F98" s="64" t="s">
        <v>591</v>
      </c>
      <c r="G98" s="71" t="s">
        <v>601</v>
      </c>
      <c r="H98" s="78">
        <v>0.08</v>
      </c>
      <c r="I98" s="79">
        <f>24*1</f>
        <v>24</v>
      </c>
      <c r="J98" s="94">
        <v>172</v>
      </c>
      <c r="K98" s="80">
        <f t="shared" si="9"/>
        <v>185.76000000000002</v>
      </c>
      <c r="L98" s="80"/>
      <c r="M98" s="80">
        <f t="shared" si="14"/>
        <v>4458.2400000000007</v>
      </c>
      <c r="N98" s="79"/>
      <c r="O98" s="79"/>
      <c r="P98" s="80">
        <f t="shared" si="11"/>
        <v>0</v>
      </c>
      <c r="Q98" s="80">
        <f t="shared" si="12"/>
        <v>0</v>
      </c>
      <c r="R98" s="80">
        <f t="shared" si="13"/>
        <v>0</v>
      </c>
    </row>
    <row r="99" spans="2:19" x14ac:dyDescent="0.4">
      <c r="B99" s="77">
        <v>44498</v>
      </c>
      <c r="C99" s="64"/>
      <c r="D99" s="64"/>
      <c r="E99" s="64" t="s">
        <v>471</v>
      </c>
      <c r="F99" s="64" t="s">
        <v>592</v>
      </c>
      <c r="G99" s="71" t="s">
        <v>602</v>
      </c>
      <c r="H99" s="78">
        <v>0.08</v>
      </c>
      <c r="I99" s="79">
        <f>24*1</f>
        <v>24</v>
      </c>
      <c r="J99" s="94">
        <v>150</v>
      </c>
      <c r="K99" s="80">
        <f t="shared" si="9"/>
        <v>162</v>
      </c>
      <c r="L99" s="80"/>
      <c r="M99" s="80">
        <f t="shared" si="14"/>
        <v>3888</v>
      </c>
      <c r="N99" s="79"/>
      <c r="O99" s="79"/>
      <c r="P99" s="80">
        <f t="shared" si="11"/>
        <v>0</v>
      </c>
      <c r="Q99" s="80">
        <f t="shared" si="12"/>
        <v>0</v>
      </c>
      <c r="R99" s="80">
        <f t="shared" si="13"/>
        <v>0</v>
      </c>
    </row>
    <row r="100" spans="2:19" x14ac:dyDescent="0.4">
      <c r="B100" s="77">
        <v>44498</v>
      </c>
      <c r="C100" s="64"/>
      <c r="D100" s="64"/>
      <c r="E100" s="64" t="s">
        <v>471</v>
      </c>
      <c r="F100" s="64" t="s">
        <v>593</v>
      </c>
      <c r="G100" s="71" t="s">
        <v>603</v>
      </c>
      <c r="H100" s="78">
        <v>0.08</v>
      </c>
      <c r="I100" s="79">
        <f>24*1</f>
        <v>24</v>
      </c>
      <c r="J100" s="94">
        <v>155</v>
      </c>
      <c r="K100" s="80">
        <f t="shared" si="9"/>
        <v>167.4</v>
      </c>
      <c r="L100" s="80"/>
      <c r="M100" s="80">
        <f t="shared" si="14"/>
        <v>4017.6000000000004</v>
      </c>
      <c r="N100" s="79"/>
      <c r="O100" s="79"/>
      <c r="P100" s="80">
        <f t="shared" si="11"/>
        <v>0</v>
      </c>
      <c r="Q100" s="80">
        <f t="shared" si="12"/>
        <v>0</v>
      </c>
      <c r="R100" s="80">
        <f t="shared" si="13"/>
        <v>0</v>
      </c>
    </row>
    <row r="101" spans="2:19" x14ac:dyDescent="0.4">
      <c r="B101" s="77">
        <v>44498</v>
      </c>
      <c r="C101" s="64"/>
      <c r="D101" s="64"/>
      <c r="E101" s="64" t="s">
        <v>471</v>
      </c>
      <c r="F101" s="64" t="s">
        <v>594</v>
      </c>
      <c r="G101" s="71" t="s">
        <v>604</v>
      </c>
      <c r="H101" s="78">
        <v>0.08</v>
      </c>
      <c r="I101" s="79">
        <f>40*1</f>
        <v>40</v>
      </c>
      <c r="J101" s="94">
        <v>92</v>
      </c>
      <c r="K101" s="80">
        <f t="shared" si="9"/>
        <v>99.360000000000014</v>
      </c>
      <c r="L101" s="80"/>
      <c r="M101" s="80">
        <f t="shared" si="14"/>
        <v>3974.4000000000005</v>
      </c>
      <c r="N101" s="79"/>
      <c r="O101" s="79"/>
      <c r="P101" s="80">
        <f t="shared" si="11"/>
        <v>0</v>
      </c>
      <c r="Q101" s="80">
        <f t="shared" si="12"/>
        <v>0</v>
      </c>
      <c r="R101" s="80">
        <f t="shared" si="13"/>
        <v>0</v>
      </c>
    </row>
    <row r="102" spans="2:19" x14ac:dyDescent="0.4">
      <c r="B102" s="77">
        <v>44498</v>
      </c>
      <c r="C102" s="64"/>
      <c r="D102" s="64"/>
      <c r="E102" s="64" t="s">
        <v>471</v>
      </c>
      <c r="F102" s="64" t="s">
        <v>595</v>
      </c>
      <c r="G102" s="71" t="s">
        <v>605</v>
      </c>
      <c r="H102" s="78">
        <v>0.08</v>
      </c>
      <c r="I102" s="79">
        <f>20*1</f>
        <v>20</v>
      </c>
      <c r="J102" s="94">
        <v>173</v>
      </c>
      <c r="K102" s="80">
        <f t="shared" si="9"/>
        <v>186.84</v>
      </c>
      <c r="L102" s="80"/>
      <c r="M102" s="80">
        <f t="shared" si="14"/>
        <v>3736.8</v>
      </c>
      <c r="N102" s="79"/>
      <c r="O102" s="79"/>
      <c r="P102" s="80">
        <f t="shared" si="11"/>
        <v>0</v>
      </c>
      <c r="Q102" s="80">
        <f t="shared" si="12"/>
        <v>0</v>
      </c>
      <c r="R102" s="80">
        <f t="shared" si="13"/>
        <v>0</v>
      </c>
    </row>
    <row r="103" spans="2:19" x14ac:dyDescent="0.4">
      <c r="B103" s="77">
        <v>44498</v>
      </c>
      <c r="C103" s="64"/>
      <c r="D103" s="64"/>
      <c r="E103" s="64" t="s">
        <v>471</v>
      </c>
      <c r="F103" s="64" t="s">
        <v>596</v>
      </c>
      <c r="G103" s="71" t="s">
        <v>606</v>
      </c>
      <c r="H103" s="78">
        <v>0.08</v>
      </c>
      <c r="I103" s="79">
        <f>30*1</f>
        <v>30</v>
      </c>
      <c r="J103" s="94">
        <v>89</v>
      </c>
      <c r="K103" s="80">
        <f t="shared" si="9"/>
        <v>96.12</v>
      </c>
      <c r="L103" s="80"/>
      <c r="M103" s="80">
        <f t="shared" si="14"/>
        <v>2883.6000000000004</v>
      </c>
      <c r="N103" s="79"/>
      <c r="O103" s="79"/>
      <c r="P103" s="80">
        <f t="shared" si="11"/>
        <v>0</v>
      </c>
      <c r="Q103" s="80">
        <f t="shared" si="12"/>
        <v>0</v>
      </c>
      <c r="R103" s="80">
        <f t="shared" si="13"/>
        <v>0</v>
      </c>
    </row>
    <row r="104" spans="2:19" x14ac:dyDescent="0.4">
      <c r="B104" s="77">
        <v>44498</v>
      </c>
      <c r="C104" s="64"/>
      <c r="D104" s="64"/>
      <c r="E104" s="64" t="s">
        <v>471</v>
      </c>
      <c r="F104" s="64" t="s">
        <v>597</v>
      </c>
      <c r="G104" s="71" t="s">
        <v>607</v>
      </c>
      <c r="H104" s="78">
        <v>0.08</v>
      </c>
      <c r="I104" s="79">
        <f>24*1</f>
        <v>24</v>
      </c>
      <c r="J104" s="94">
        <v>187</v>
      </c>
      <c r="K104" s="80">
        <f t="shared" si="9"/>
        <v>201.96</v>
      </c>
      <c r="L104" s="80"/>
      <c r="M104" s="80">
        <f t="shared" si="14"/>
        <v>4847.04</v>
      </c>
      <c r="N104" s="79"/>
      <c r="O104" s="79"/>
      <c r="P104" s="80">
        <f t="shared" si="11"/>
        <v>0</v>
      </c>
      <c r="Q104" s="80">
        <f t="shared" si="12"/>
        <v>0</v>
      </c>
      <c r="R104" s="80">
        <f t="shared" si="13"/>
        <v>0</v>
      </c>
    </row>
    <row r="105" spans="2:19" x14ac:dyDescent="0.4">
      <c r="B105" s="77">
        <v>44498</v>
      </c>
      <c r="C105" s="64"/>
      <c r="D105" s="64"/>
      <c r="E105" s="64" t="s">
        <v>471</v>
      </c>
      <c r="F105" s="64" t="s">
        <v>597</v>
      </c>
      <c r="G105" s="71" t="s">
        <v>607</v>
      </c>
      <c r="H105" s="78">
        <v>0.08</v>
      </c>
      <c r="I105" s="79">
        <f>12*1</f>
        <v>12</v>
      </c>
      <c r="J105" s="94">
        <v>187</v>
      </c>
      <c r="K105" s="80">
        <f t="shared" si="9"/>
        <v>201.96</v>
      </c>
      <c r="L105" s="80"/>
      <c r="M105" s="80">
        <f t="shared" si="14"/>
        <v>2423.52</v>
      </c>
      <c r="N105" s="79"/>
      <c r="O105" s="79"/>
      <c r="P105" s="80">
        <f t="shared" si="11"/>
        <v>0</v>
      </c>
      <c r="Q105" s="80">
        <f t="shared" si="12"/>
        <v>0</v>
      </c>
      <c r="R105" s="80">
        <f t="shared" si="13"/>
        <v>0</v>
      </c>
      <c r="S105" s="89">
        <f>SUM(M95:M105)</f>
        <v>56317.68</v>
      </c>
    </row>
    <row r="106" spans="2:19" x14ac:dyDescent="0.4">
      <c r="B106" s="77">
        <v>44498</v>
      </c>
      <c r="C106" s="64"/>
      <c r="D106" s="64"/>
      <c r="E106" s="64" t="s">
        <v>471</v>
      </c>
      <c r="F106" s="64" t="s">
        <v>608</v>
      </c>
      <c r="G106" s="71" t="s">
        <v>614</v>
      </c>
      <c r="H106" s="78">
        <v>0.08</v>
      </c>
      <c r="I106" s="79">
        <f>12*1</f>
        <v>12</v>
      </c>
      <c r="J106" s="94">
        <v>328</v>
      </c>
      <c r="K106" s="80">
        <f t="shared" si="9"/>
        <v>354.24</v>
      </c>
      <c r="L106" s="80"/>
      <c r="M106" s="80">
        <f t="shared" si="14"/>
        <v>4250.88</v>
      </c>
      <c r="N106" s="79"/>
      <c r="O106" s="79"/>
      <c r="P106" s="80">
        <f t="shared" si="11"/>
        <v>0</v>
      </c>
      <c r="Q106" s="80">
        <f t="shared" si="12"/>
        <v>0</v>
      </c>
      <c r="R106" s="80">
        <f t="shared" si="13"/>
        <v>0</v>
      </c>
    </row>
    <row r="107" spans="2:19" x14ac:dyDescent="0.4">
      <c r="B107" s="77">
        <v>44498</v>
      </c>
      <c r="C107" s="64"/>
      <c r="D107" s="64"/>
      <c r="E107" s="64" t="s">
        <v>471</v>
      </c>
      <c r="F107" s="64" t="s">
        <v>609</v>
      </c>
      <c r="G107" s="71" t="s">
        <v>615</v>
      </c>
      <c r="H107" s="78">
        <v>0.08</v>
      </c>
      <c r="I107" s="79">
        <f>8*3</f>
        <v>24</v>
      </c>
      <c r="J107" s="94">
        <v>264</v>
      </c>
      <c r="K107" s="80">
        <f t="shared" si="9"/>
        <v>285.12</v>
      </c>
      <c r="L107" s="80"/>
      <c r="M107" s="80">
        <f t="shared" si="14"/>
        <v>6842.88</v>
      </c>
      <c r="N107" s="79"/>
      <c r="O107" s="79"/>
      <c r="P107" s="80">
        <f t="shared" si="11"/>
        <v>0</v>
      </c>
      <c r="Q107" s="80">
        <f t="shared" si="12"/>
        <v>0</v>
      </c>
      <c r="R107" s="80">
        <f t="shared" si="13"/>
        <v>0</v>
      </c>
    </row>
    <row r="108" spans="2:19" x14ac:dyDescent="0.4">
      <c r="B108" s="77">
        <v>44498</v>
      </c>
      <c r="C108" s="64"/>
      <c r="D108" s="64"/>
      <c r="E108" s="64" t="s">
        <v>471</v>
      </c>
      <c r="F108" s="64" t="s">
        <v>610</v>
      </c>
      <c r="G108" s="71" t="s">
        <v>616</v>
      </c>
      <c r="H108" s="78">
        <v>0.08</v>
      </c>
      <c r="I108" s="79">
        <f>40*2</f>
        <v>80</v>
      </c>
      <c r="J108" s="94">
        <v>85</v>
      </c>
      <c r="K108" s="80">
        <f t="shared" si="9"/>
        <v>91.800000000000011</v>
      </c>
      <c r="L108" s="80"/>
      <c r="M108" s="80">
        <f t="shared" si="14"/>
        <v>7344.0000000000009</v>
      </c>
      <c r="N108" s="79"/>
      <c r="O108" s="79"/>
      <c r="P108" s="80">
        <f t="shared" si="11"/>
        <v>0</v>
      </c>
      <c r="Q108" s="80">
        <f t="shared" si="12"/>
        <v>0</v>
      </c>
      <c r="R108" s="80">
        <f t="shared" si="13"/>
        <v>0</v>
      </c>
    </row>
    <row r="109" spans="2:19" x14ac:dyDescent="0.4">
      <c r="B109" s="77">
        <v>44498</v>
      </c>
      <c r="C109" s="64"/>
      <c r="D109" s="64"/>
      <c r="E109" s="64" t="s">
        <v>471</v>
      </c>
      <c r="F109" s="64" t="s">
        <v>611</v>
      </c>
      <c r="G109" s="71" t="s">
        <v>617</v>
      </c>
      <c r="H109" s="78">
        <v>0.08</v>
      </c>
      <c r="I109" s="79">
        <f>10*6</f>
        <v>60</v>
      </c>
      <c r="J109" s="94">
        <v>285</v>
      </c>
      <c r="K109" s="80">
        <f t="shared" si="9"/>
        <v>307.8</v>
      </c>
      <c r="L109" s="80"/>
      <c r="M109" s="80">
        <f t="shared" si="14"/>
        <v>18468</v>
      </c>
      <c r="N109" s="79"/>
      <c r="O109" s="79"/>
      <c r="P109" s="80">
        <f t="shared" si="11"/>
        <v>0</v>
      </c>
      <c r="Q109" s="80">
        <f t="shared" si="12"/>
        <v>0</v>
      </c>
      <c r="R109" s="80">
        <f t="shared" si="13"/>
        <v>0</v>
      </c>
    </row>
    <row r="110" spans="2:19" x14ac:dyDescent="0.4">
      <c r="B110" s="77">
        <v>44498</v>
      </c>
      <c r="C110" s="64"/>
      <c r="D110" s="64"/>
      <c r="E110" s="64" t="s">
        <v>471</v>
      </c>
      <c r="F110" s="64" t="s">
        <v>612</v>
      </c>
      <c r="G110" s="71" t="s">
        <v>618</v>
      </c>
      <c r="H110" s="78">
        <v>0.08</v>
      </c>
      <c r="I110" s="79">
        <f>12*2</f>
        <v>24</v>
      </c>
      <c r="J110" s="94">
        <v>328</v>
      </c>
      <c r="K110" s="80">
        <f t="shared" si="9"/>
        <v>354.24</v>
      </c>
      <c r="L110" s="80"/>
      <c r="M110" s="80">
        <f t="shared" si="14"/>
        <v>8501.76</v>
      </c>
      <c r="N110" s="79"/>
      <c r="O110" s="79"/>
      <c r="P110" s="80">
        <f t="shared" si="11"/>
        <v>0</v>
      </c>
      <c r="Q110" s="80">
        <f t="shared" si="12"/>
        <v>0</v>
      </c>
      <c r="R110" s="80">
        <f t="shared" si="13"/>
        <v>0</v>
      </c>
    </row>
    <row r="111" spans="2:19" x14ac:dyDescent="0.4">
      <c r="B111" s="77">
        <v>44498</v>
      </c>
      <c r="C111" s="64"/>
      <c r="D111" s="64"/>
      <c r="E111" s="64" t="s">
        <v>471</v>
      </c>
      <c r="F111" s="64" t="s">
        <v>612</v>
      </c>
      <c r="G111" s="71" t="s">
        <v>618</v>
      </c>
      <c r="H111" s="78">
        <v>0.08</v>
      </c>
      <c r="I111" s="79">
        <f>6*1</f>
        <v>6</v>
      </c>
      <c r="J111" s="94">
        <v>328</v>
      </c>
      <c r="K111" s="80">
        <f t="shared" si="9"/>
        <v>354.24</v>
      </c>
      <c r="L111" s="80"/>
      <c r="M111" s="80">
        <f t="shared" ref="M111" si="15">K111*I111</f>
        <v>2125.44</v>
      </c>
      <c r="N111" s="79"/>
      <c r="O111" s="79"/>
      <c r="P111" s="80">
        <f t="shared" si="11"/>
        <v>0</v>
      </c>
      <c r="Q111" s="80">
        <f t="shared" si="12"/>
        <v>0</v>
      </c>
      <c r="R111" s="80">
        <f t="shared" si="13"/>
        <v>0</v>
      </c>
    </row>
    <row r="112" spans="2:19" x14ac:dyDescent="0.4">
      <c r="B112" s="77">
        <v>44498</v>
      </c>
      <c r="C112" s="64"/>
      <c r="D112" s="64"/>
      <c r="E112" s="64" t="s">
        <v>471</v>
      </c>
      <c r="F112" s="64" t="s">
        <v>1114</v>
      </c>
      <c r="G112" s="71" t="s">
        <v>619</v>
      </c>
      <c r="H112" s="78">
        <v>0.08</v>
      </c>
      <c r="I112" s="79">
        <f>12*3</f>
        <v>36</v>
      </c>
      <c r="J112" s="94">
        <v>328</v>
      </c>
      <c r="K112" s="80">
        <f t="shared" si="9"/>
        <v>354.24</v>
      </c>
      <c r="L112" s="80"/>
      <c r="M112" s="80">
        <f t="shared" si="14"/>
        <v>12752.64</v>
      </c>
      <c r="N112" s="79"/>
      <c r="O112" s="79"/>
      <c r="P112" s="80">
        <f t="shared" si="11"/>
        <v>0</v>
      </c>
      <c r="Q112" s="80">
        <f t="shared" si="12"/>
        <v>0</v>
      </c>
      <c r="R112" s="80">
        <f t="shared" si="13"/>
        <v>0</v>
      </c>
    </row>
    <row r="113" spans="2:20" x14ac:dyDescent="0.4">
      <c r="B113" s="77">
        <v>44498</v>
      </c>
      <c r="C113" s="64"/>
      <c r="D113" s="64"/>
      <c r="E113" s="64" t="s">
        <v>471</v>
      </c>
      <c r="F113" s="64" t="s">
        <v>613</v>
      </c>
      <c r="G113" s="71" t="s">
        <v>620</v>
      </c>
      <c r="H113" s="78">
        <v>0.08</v>
      </c>
      <c r="I113" s="79">
        <f>16*2</f>
        <v>32</v>
      </c>
      <c r="J113" s="94">
        <v>284</v>
      </c>
      <c r="K113" s="80">
        <f t="shared" si="9"/>
        <v>306.72000000000003</v>
      </c>
      <c r="L113" s="80"/>
      <c r="M113" s="80">
        <f t="shared" si="14"/>
        <v>9815.0400000000009</v>
      </c>
      <c r="N113" s="79"/>
      <c r="O113" s="79"/>
      <c r="P113" s="80">
        <f t="shared" si="11"/>
        <v>0</v>
      </c>
      <c r="Q113" s="80">
        <f t="shared" si="12"/>
        <v>0</v>
      </c>
      <c r="R113" s="80">
        <f t="shared" si="13"/>
        <v>0</v>
      </c>
      <c r="S113" s="89">
        <f>SUM(M106:M113)</f>
        <v>70100.640000000014</v>
      </c>
      <c r="T113" s="81"/>
    </row>
    <row r="114" spans="2:20" x14ac:dyDescent="0.4">
      <c r="B114" s="77">
        <v>44498</v>
      </c>
      <c r="C114" s="64"/>
      <c r="D114" s="64"/>
      <c r="E114" s="64" t="s">
        <v>471</v>
      </c>
      <c r="F114" s="64" t="s">
        <v>621</v>
      </c>
      <c r="G114" s="71" t="s">
        <v>622</v>
      </c>
      <c r="H114" s="78">
        <v>0.1</v>
      </c>
      <c r="I114" s="79">
        <v>31</v>
      </c>
      <c r="J114" s="94">
        <v>167</v>
      </c>
      <c r="K114" s="80">
        <f>J114*110%</f>
        <v>183.70000000000002</v>
      </c>
      <c r="L114" s="80"/>
      <c r="M114" s="80">
        <f t="shared" si="14"/>
        <v>5694.7000000000007</v>
      </c>
      <c r="N114" s="79"/>
      <c r="O114" s="79"/>
      <c r="P114" s="80">
        <f t="shared" si="11"/>
        <v>0</v>
      </c>
      <c r="Q114" s="80">
        <f t="shared" si="12"/>
        <v>0</v>
      </c>
      <c r="R114" s="80">
        <f t="shared" si="13"/>
        <v>0</v>
      </c>
    </row>
    <row r="115" spans="2:20" x14ac:dyDescent="0.4">
      <c r="B115" s="77">
        <v>44498</v>
      </c>
      <c r="C115" s="64"/>
      <c r="D115" s="64"/>
      <c r="E115" s="64" t="s">
        <v>471</v>
      </c>
      <c r="F115" s="64" t="s">
        <v>623</v>
      </c>
      <c r="G115" s="71" t="s">
        <v>622</v>
      </c>
      <c r="H115" s="78">
        <v>0.1</v>
      </c>
      <c r="I115" s="79">
        <v>5</v>
      </c>
      <c r="J115" s="94">
        <v>286</v>
      </c>
      <c r="K115" s="80">
        <f t="shared" ref="K115:K142" si="16">J115*110%</f>
        <v>314.60000000000002</v>
      </c>
      <c r="L115" s="80"/>
      <c r="M115" s="80">
        <f t="shared" si="14"/>
        <v>1573</v>
      </c>
      <c r="N115" s="79"/>
      <c r="O115" s="79"/>
      <c r="P115" s="80">
        <f t="shared" si="11"/>
        <v>0</v>
      </c>
      <c r="Q115" s="80">
        <f t="shared" si="12"/>
        <v>0</v>
      </c>
      <c r="R115" s="80">
        <f t="shared" si="13"/>
        <v>0</v>
      </c>
    </row>
    <row r="116" spans="2:20" x14ac:dyDescent="0.4">
      <c r="B116" s="77">
        <v>44498</v>
      </c>
      <c r="C116" s="64"/>
      <c r="D116" s="64"/>
      <c r="E116" s="64" t="s">
        <v>471</v>
      </c>
      <c r="F116" s="64" t="s">
        <v>624</v>
      </c>
      <c r="G116" s="71" t="s">
        <v>630</v>
      </c>
      <c r="H116" s="78">
        <v>0.1</v>
      </c>
      <c r="I116" s="79">
        <v>5</v>
      </c>
      <c r="J116" s="94">
        <v>320</v>
      </c>
      <c r="K116" s="80">
        <f t="shared" si="16"/>
        <v>352</v>
      </c>
      <c r="L116" s="80"/>
      <c r="M116" s="80">
        <f t="shared" si="14"/>
        <v>1760</v>
      </c>
      <c r="N116" s="79"/>
      <c r="O116" s="79"/>
      <c r="P116" s="80">
        <f t="shared" si="11"/>
        <v>0</v>
      </c>
      <c r="Q116" s="80">
        <f t="shared" si="12"/>
        <v>0</v>
      </c>
      <c r="R116" s="80">
        <f t="shared" si="13"/>
        <v>0</v>
      </c>
    </row>
    <row r="117" spans="2:20" x14ac:dyDescent="0.4">
      <c r="B117" s="77">
        <v>44498</v>
      </c>
      <c r="C117" s="64"/>
      <c r="D117" s="64"/>
      <c r="E117" s="64" t="s">
        <v>471</v>
      </c>
      <c r="F117" s="64" t="s">
        <v>625</v>
      </c>
      <c r="G117" s="71" t="s">
        <v>631</v>
      </c>
      <c r="H117" s="78">
        <v>0.1</v>
      </c>
      <c r="I117" s="79">
        <v>10</v>
      </c>
      <c r="J117" s="94">
        <v>242</v>
      </c>
      <c r="K117" s="80">
        <f t="shared" si="16"/>
        <v>266.20000000000005</v>
      </c>
      <c r="L117" s="80"/>
      <c r="M117" s="80">
        <f t="shared" si="14"/>
        <v>2662.0000000000005</v>
      </c>
      <c r="N117" s="79"/>
      <c r="O117" s="79"/>
      <c r="P117" s="80">
        <f t="shared" si="11"/>
        <v>0</v>
      </c>
      <c r="Q117" s="80">
        <f t="shared" si="12"/>
        <v>0</v>
      </c>
      <c r="R117" s="80">
        <f t="shared" si="13"/>
        <v>0</v>
      </c>
    </row>
    <row r="118" spans="2:20" x14ac:dyDescent="0.4">
      <c r="B118" s="77">
        <v>44498</v>
      </c>
      <c r="C118" s="64"/>
      <c r="D118" s="64"/>
      <c r="E118" s="64" t="s">
        <v>471</v>
      </c>
      <c r="F118" s="64" t="s">
        <v>626</v>
      </c>
      <c r="G118" s="71" t="s">
        <v>632</v>
      </c>
      <c r="H118" s="78">
        <v>0.1</v>
      </c>
      <c r="I118" s="79">
        <v>5</v>
      </c>
      <c r="J118" s="94">
        <v>273</v>
      </c>
      <c r="K118" s="80">
        <f t="shared" si="16"/>
        <v>300.3</v>
      </c>
      <c r="L118" s="80"/>
      <c r="M118" s="80">
        <f t="shared" si="14"/>
        <v>1501.5</v>
      </c>
      <c r="N118" s="79"/>
      <c r="O118" s="79"/>
      <c r="P118" s="80">
        <f t="shared" si="11"/>
        <v>0</v>
      </c>
      <c r="Q118" s="80">
        <f t="shared" si="12"/>
        <v>0</v>
      </c>
      <c r="R118" s="80">
        <f t="shared" si="13"/>
        <v>0</v>
      </c>
    </row>
    <row r="119" spans="2:20" x14ac:dyDescent="0.4">
      <c r="B119" s="77">
        <v>44498</v>
      </c>
      <c r="C119" s="64"/>
      <c r="D119" s="64"/>
      <c r="E119" s="64" t="s">
        <v>471</v>
      </c>
      <c r="F119" s="64" t="s">
        <v>627</v>
      </c>
      <c r="G119" s="71" t="s">
        <v>633</v>
      </c>
      <c r="H119" s="78">
        <v>0.1</v>
      </c>
      <c r="I119" s="79">
        <v>5</v>
      </c>
      <c r="J119" s="94">
        <v>253</v>
      </c>
      <c r="K119" s="80">
        <f t="shared" si="16"/>
        <v>278.3</v>
      </c>
      <c r="L119" s="80"/>
      <c r="M119" s="80">
        <f t="shared" si="14"/>
        <v>1391.5</v>
      </c>
      <c r="N119" s="79"/>
      <c r="O119" s="79"/>
      <c r="P119" s="80">
        <f t="shared" si="11"/>
        <v>0</v>
      </c>
      <c r="Q119" s="80">
        <f t="shared" si="12"/>
        <v>0</v>
      </c>
      <c r="R119" s="80">
        <f t="shared" si="13"/>
        <v>0</v>
      </c>
    </row>
    <row r="120" spans="2:20" x14ac:dyDescent="0.4">
      <c r="B120" s="77">
        <v>44498</v>
      </c>
      <c r="C120" s="64"/>
      <c r="D120" s="64"/>
      <c r="E120" s="64" t="s">
        <v>471</v>
      </c>
      <c r="F120" s="64" t="s">
        <v>628</v>
      </c>
      <c r="G120" s="71" t="s">
        <v>634</v>
      </c>
      <c r="H120" s="78">
        <v>0.1</v>
      </c>
      <c r="I120" s="79">
        <v>5</v>
      </c>
      <c r="J120" s="94">
        <v>342</v>
      </c>
      <c r="K120" s="80">
        <f t="shared" si="16"/>
        <v>376.20000000000005</v>
      </c>
      <c r="L120" s="80"/>
      <c r="M120" s="80">
        <f t="shared" si="14"/>
        <v>1881.0000000000002</v>
      </c>
      <c r="N120" s="79"/>
      <c r="O120" s="79"/>
      <c r="P120" s="80">
        <f t="shared" si="11"/>
        <v>0</v>
      </c>
      <c r="Q120" s="80">
        <f t="shared" si="12"/>
        <v>0</v>
      </c>
      <c r="R120" s="80">
        <f t="shared" si="13"/>
        <v>0</v>
      </c>
    </row>
    <row r="121" spans="2:20" x14ac:dyDescent="0.4">
      <c r="B121" s="77">
        <v>44498</v>
      </c>
      <c r="C121" s="64"/>
      <c r="D121" s="64"/>
      <c r="E121" s="64" t="s">
        <v>471</v>
      </c>
      <c r="F121" s="64" t="s">
        <v>629</v>
      </c>
      <c r="G121" s="71" t="s">
        <v>635</v>
      </c>
      <c r="H121" s="78">
        <v>0.1</v>
      </c>
      <c r="I121" s="79">
        <v>5</v>
      </c>
      <c r="J121" s="94">
        <v>370</v>
      </c>
      <c r="K121" s="80">
        <f t="shared" si="16"/>
        <v>407.00000000000006</v>
      </c>
      <c r="L121" s="80"/>
      <c r="M121" s="80">
        <f t="shared" si="14"/>
        <v>2035.0000000000002</v>
      </c>
      <c r="N121" s="79"/>
      <c r="O121" s="79"/>
      <c r="P121" s="80">
        <f t="shared" si="11"/>
        <v>0</v>
      </c>
      <c r="Q121" s="80">
        <f t="shared" si="12"/>
        <v>0</v>
      </c>
      <c r="R121" s="80">
        <f t="shared" si="13"/>
        <v>0</v>
      </c>
      <c r="S121" s="89">
        <f>SUM(M114:M121)</f>
        <v>18498.7</v>
      </c>
    </row>
    <row r="122" spans="2:20" x14ac:dyDescent="0.4">
      <c r="B122" s="77">
        <v>44498</v>
      </c>
      <c r="C122" s="64"/>
      <c r="D122" s="64"/>
      <c r="E122" s="64" t="s">
        <v>471</v>
      </c>
      <c r="F122" s="64" t="s">
        <v>636</v>
      </c>
      <c r="G122" s="71" t="s">
        <v>645</v>
      </c>
      <c r="H122" s="78">
        <v>0.1</v>
      </c>
      <c r="I122" s="79">
        <f>8*2</f>
        <v>16</v>
      </c>
      <c r="J122" s="94">
        <v>257</v>
      </c>
      <c r="K122" s="80">
        <f t="shared" si="16"/>
        <v>282.70000000000005</v>
      </c>
      <c r="L122" s="80"/>
      <c r="M122" s="80">
        <f t="shared" si="14"/>
        <v>4523.2000000000007</v>
      </c>
      <c r="N122" s="79"/>
      <c r="O122" s="79"/>
      <c r="P122" s="80">
        <f t="shared" si="11"/>
        <v>0</v>
      </c>
      <c r="Q122" s="80">
        <f t="shared" si="12"/>
        <v>0</v>
      </c>
      <c r="R122" s="80">
        <f t="shared" si="13"/>
        <v>0</v>
      </c>
    </row>
    <row r="123" spans="2:20" x14ac:dyDescent="0.4">
      <c r="B123" s="77">
        <v>44498</v>
      </c>
      <c r="C123" s="64"/>
      <c r="D123" s="64"/>
      <c r="E123" s="64" t="s">
        <v>471</v>
      </c>
      <c r="F123" s="64" t="s">
        <v>637</v>
      </c>
      <c r="G123" s="71" t="s">
        <v>646</v>
      </c>
      <c r="H123" s="78">
        <v>0.1</v>
      </c>
      <c r="I123" s="79">
        <f>8*3</f>
        <v>24</v>
      </c>
      <c r="J123" s="94">
        <v>310</v>
      </c>
      <c r="K123" s="80">
        <f t="shared" si="16"/>
        <v>341</v>
      </c>
      <c r="L123" s="80"/>
      <c r="M123" s="80">
        <f t="shared" si="14"/>
        <v>8184</v>
      </c>
      <c r="N123" s="79"/>
      <c r="O123" s="79"/>
      <c r="P123" s="80">
        <f t="shared" si="11"/>
        <v>0</v>
      </c>
      <c r="Q123" s="80">
        <f t="shared" si="12"/>
        <v>0</v>
      </c>
      <c r="R123" s="80">
        <f t="shared" si="13"/>
        <v>0</v>
      </c>
    </row>
    <row r="124" spans="2:20" x14ac:dyDescent="0.4">
      <c r="B124" s="77">
        <v>44498</v>
      </c>
      <c r="C124" s="64"/>
      <c r="D124" s="64"/>
      <c r="E124" s="64" t="s">
        <v>471</v>
      </c>
      <c r="F124" s="64" t="s">
        <v>638</v>
      </c>
      <c r="G124" s="71" t="s">
        <v>647</v>
      </c>
      <c r="H124" s="78">
        <v>0.1</v>
      </c>
      <c r="I124" s="79">
        <v>16</v>
      </c>
      <c r="J124" s="94">
        <v>269</v>
      </c>
      <c r="K124" s="80">
        <f t="shared" si="16"/>
        <v>295.90000000000003</v>
      </c>
      <c r="L124" s="80"/>
      <c r="M124" s="80">
        <f t="shared" si="14"/>
        <v>4734.4000000000005</v>
      </c>
      <c r="N124" s="79"/>
      <c r="O124" s="79"/>
      <c r="P124" s="80">
        <f t="shared" si="11"/>
        <v>0</v>
      </c>
      <c r="Q124" s="80">
        <f t="shared" si="12"/>
        <v>0</v>
      </c>
      <c r="R124" s="80">
        <f t="shared" si="13"/>
        <v>0</v>
      </c>
    </row>
    <row r="125" spans="2:20" x14ac:dyDescent="0.4">
      <c r="B125" s="77">
        <v>44498</v>
      </c>
      <c r="C125" s="64"/>
      <c r="D125" s="64"/>
      <c r="E125" s="64" t="s">
        <v>471</v>
      </c>
      <c r="F125" s="64" t="s">
        <v>639</v>
      </c>
      <c r="G125" s="71" t="s">
        <v>648</v>
      </c>
      <c r="H125" s="78">
        <v>0.1</v>
      </c>
      <c r="I125" s="79">
        <v>60</v>
      </c>
      <c r="J125" s="94">
        <v>135</v>
      </c>
      <c r="K125" s="80">
        <f t="shared" si="16"/>
        <v>148.5</v>
      </c>
      <c r="L125" s="80"/>
      <c r="M125" s="80">
        <f t="shared" si="14"/>
        <v>8910</v>
      </c>
      <c r="N125" s="79"/>
      <c r="O125" s="79"/>
      <c r="P125" s="80">
        <f t="shared" si="11"/>
        <v>0</v>
      </c>
      <c r="Q125" s="80">
        <f t="shared" si="12"/>
        <v>0</v>
      </c>
      <c r="R125" s="80">
        <f t="shared" si="13"/>
        <v>0</v>
      </c>
    </row>
    <row r="126" spans="2:20" x14ac:dyDescent="0.4">
      <c r="B126" s="77">
        <v>44498</v>
      </c>
      <c r="C126" s="64"/>
      <c r="D126" s="64"/>
      <c r="E126" s="64" t="s">
        <v>471</v>
      </c>
      <c r="F126" s="64" t="s">
        <v>639</v>
      </c>
      <c r="G126" s="71" t="s">
        <v>648</v>
      </c>
      <c r="H126" s="78">
        <v>0.1</v>
      </c>
      <c r="I126" s="79">
        <f>5*10</f>
        <v>50</v>
      </c>
      <c r="J126" s="94">
        <v>135</v>
      </c>
      <c r="K126" s="80">
        <f t="shared" si="16"/>
        <v>148.5</v>
      </c>
      <c r="L126" s="80"/>
      <c r="M126" s="80">
        <f t="shared" si="14"/>
        <v>7425</v>
      </c>
      <c r="N126" s="79"/>
      <c r="O126" s="79"/>
      <c r="P126" s="80">
        <f t="shared" si="11"/>
        <v>0</v>
      </c>
      <c r="Q126" s="80">
        <f t="shared" si="12"/>
        <v>0</v>
      </c>
      <c r="R126" s="80">
        <f t="shared" si="13"/>
        <v>0</v>
      </c>
    </row>
    <row r="127" spans="2:20" x14ac:dyDescent="0.4">
      <c r="B127" s="77">
        <v>44498</v>
      </c>
      <c r="C127" s="64"/>
      <c r="D127" s="64"/>
      <c r="E127" s="64" t="s">
        <v>471</v>
      </c>
      <c r="F127" s="64" t="s">
        <v>640</v>
      </c>
      <c r="G127" s="71" t="s">
        <v>649</v>
      </c>
      <c r="H127" s="78">
        <v>0.1</v>
      </c>
      <c r="I127" s="79">
        <v>24</v>
      </c>
      <c r="J127" s="94">
        <v>283</v>
      </c>
      <c r="K127" s="80">
        <f t="shared" si="16"/>
        <v>311.3</v>
      </c>
      <c r="L127" s="80"/>
      <c r="M127" s="80">
        <f t="shared" si="14"/>
        <v>7471.2000000000007</v>
      </c>
      <c r="N127" s="79"/>
      <c r="O127" s="79"/>
      <c r="P127" s="80">
        <f t="shared" si="11"/>
        <v>0</v>
      </c>
      <c r="Q127" s="80">
        <f t="shared" si="12"/>
        <v>0</v>
      </c>
      <c r="R127" s="80">
        <f t="shared" si="13"/>
        <v>0</v>
      </c>
    </row>
    <row r="128" spans="2:20" x14ac:dyDescent="0.4">
      <c r="B128" s="77">
        <v>44498</v>
      </c>
      <c r="C128" s="64"/>
      <c r="D128" s="64"/>
      <c r="E128" s="64" t="s">
        <v>471</v>
      </c>
      <c r="F128" s="64" t="s">
        <v>641</v>
      </c>
      <c r="G128" s="71" t="s">
        <v>652</v>
      </c>
      <c r="H128" s="78">
        <v>0.1</v>
      </c>
      <c r="I128" s="79">
        <v>24</v>
      </c>
      <c r="J128" s="94">
        <v>149</v>
      </c>
      <c r="K128" s="80">
        <f t="shared" si="16"/>
        <v>163.9</v>
      </c>
      <c r="L128" s="80"/>
      <c r="M128" s="80">
        <f t="shared" si="14"/>
        <v>3933.6000000000004</v>
      </c>
      <c r="N128" s="79"/>
      <c r="O128" s="79"/>
      <c r="P128" s="80">
        <f t="shared" si="11"/>
        <v>0</v>
      </c>
      <c r="Q128" s="80">
        <f t="shared" si="12"/>
        <v>0</v>
      </c>
      <c r="R128" s="80">
        <f t="shared" si="13"/>
        <v>0</v>
      </c>
    </row>
    <row r="129" spans="2:19" x14ac:dyDescent="0.4">
      <c r="B129" s="77">
        <v>44498</v>
      </c>
      <c r="C129" s="64"/>
      <c r="D129" s="64"/>
      <c r="E129" s="64" t="s">
        <v>471</v>
      </c>
      <c r="F129" s="64" t="s">
        <v>642</v>
      </c>
      <c r="G129" s="71" t="s">
        <v>653</v>
      </c>
      <c r="H129" s="78">
        <v>0.1</v>
      </c>
      <c r="I129" s="79">
        <f>24*1</f>
        <v>24</v>
      </c>
      <c r="J129" s="94">
        <v>149</v>
      </c>
      <c r="K129" s="80">
        <f t="shared" si="16"/>
        <v>163.9</v>
      </c>
      <c r="L129" s="80"/>
      <c r="M129" s="80">
        <f t="shared" si="14"/>
        <v>3933.6000000000004</v>
      </c>
      <c r="N129" s="79"/>
      <c r="O129" s="79"/>
      <c r="P129" s="80">
        <f t="shared" si="11"/>
        <v>0</v>
      </c>
      <c r="Q129" s="80">
        <f t="shared" si="12"/>
        <v>0</v>
      </c>
      <c r="R129" s="80">
        <f t="shared" si="13"/>
        <v>0</v>
      </c>
      <c r="S129" s="89"/>
    </row>
    <row r="130" spans="2:19" x14ac:dyDescent="0.4">
      <c r="B130" s="77">
        <v>44498</v>
      </c>
      <c r="C130" s="64"/>
      <c r="D130" s="64"/>
      <c r="E130" s="64" t="s">
        <v>471</v>
      </c>
      <c r="F130" s="64" t="s">
        <v>643</v>
      </c>
      <c r="G130" s="71" t="s">
        <v>650</v>
      </c>
      <c r="H130" s="78">
        <v>0.1</v>
      </c>
      <c r="I130" s="79">
        <f>1*4</f>
        <v>4</v>
      </c>
      <c r="J130" s="94">
        <v>208</v>
      </c>
      <c r="K130" s="80">
        <f t="shared" si="16"/>
        <v>228.8</v>
      </c>
      <c r="L130" s="80"/>
      <c r="M130" s="80">
        <f t="shared" si="14"/>
        <v>915.2</v>
      </c>
      <c r="N130" s="79"/>
      <c r="O130" s="79"/>
      <c r="P130" s="80">
        <f t="shared" si="11"/>
        <v>0</v>
      </c>
      <c r="Q130" s="80">
        <f t="shared" si="12"/>
        <v>0</v>
      </c>
      <c r="R130" s="80">
        <f t="shared" si="13"/>
        <v>0</v>
      </c>
    </row>
    <row r="131" spans="2:19" x14ac:dyDescent="0.4">
      <c r="B131" s="77">
        <v>44498</v>
      </c>
      <c r="C131" s="64"/>
      <c r="D131" s="64"/>
      <c r="E131" s="64" t="s">
        <v>471</v>
      </c>
      <c r="F131" s="64" t="s">
        <v>644</v>
      </c>
      <c r="G131" s="71" t="s">
        <v>651</v>
      </c>
      <c r="H131" s="78">
        <v>0.1</v>
      </c>
      <c r="I131" s="79">
        <f>20*1</f>
        <v>20</v>
      </c>
      <c r="J131" s="94">
        <v>162</v>
      </c>
      <c r="K131" s="80">
        <f t="shared" si="16"/>
        <v>178.20000000000002</v>
      </c>
      <c r="L131" s="80"/>
      <c r="M131" s="80">
        <f t="shared" si="14"/>
        <v>3564.0000000000005</v>
      </c>
      <c r="N131" s="79"/>
      <c r="O131" s="79"/>
      <c r="P131" s="80">
        <f t="shared" si="11"/>
        <v>0</v>
      </c>
      <c r="Q131" s="80">
        <f t="shared" si="12"/>
        <v>0</v>
      </c>
      <c r="R131" s="80">
        <f t="shared" si="13"/>
        <v>0</v>
      </c>
      <c r="S131" s="89">
        <f>SUM(M122:M131)</f>
        <v>53594.2</v>
      </c>
    </row>
    <row r="132" spans="2:19" x14ac:dyDescent="0.4">
      <c r="B132" s="77">
        <v>44498</v>
      </c>
      <c r="C132" s="64"/>
      <c r="D132" s="64"/>
      <c r="E132" s="64" t="s">
        <v>471</v>
      </c>
      <c r="F132" s="64" t="s">
        <v>654</v>
      </c>
      <c r="G132" s="71" t="s">
        <v>660</v>
      </c>
      <c r="H132" s="78">
        <v>0.1</v>
      </c>
      <c r="I132" s="79">
        <v>20</v>
      </c>
      <c r="J132" s="94">
        <v>295</v>
      </c>
      <c r="K132" s="80">
        <f t="shared" si="16"/>
        <v>324.5</v>
      </c>
      <c r="L132" s="80"/>
      <c r="M132" s="80">
        <f t="shared" si="14"/>
        <v>6490</v>
      </c>
      <c r="N132" s="79"/>
      <c r="O132" s="79"/>
      <c r="P132" s="80">
        <f t="shared" si="11"/>
        <v>0</v>
      </c>
      <c r="Q132" s="80">
        <f t="shared" si="12"/>
        <v>0</v>
      </c>
      <c r="R132" s="80">
        <f t="shared" si="13"/>
        <v>0</v>
      </c>
    </row>
    <row r="133" spans="2:19" x14ac:dyDescent="0.4">
      <c r="B133" s="77">
        <v>44498</v>
      </c>
      <c r="C133" s="64"/>
      <c r="D133" s="64"/>
      <c r="E133" s="64" t="s">
        <v>471</v>
      </c>
      <c r="F133" s="64" t="s">
        <v>655</v>
      </c>
      <c r="G133" s="71" t="s">
        <v>661</v>
      </c>
      <c r="H133" s="78">
        <v>0.1</v>
      </c>
      <c r="I133" s="79">
        <v>12</v>
      </c>
      <c r="J133" s="94">
        <v>308</v>
      </c>
      <c r="K133" s="80">
        <f t="shared" si="16"/>
        <v>338.8</v>
      </c>
      <c r="L133" s="80"/>
      <c r="M133" s="80">
        <f t="shared" si="14"/>
        <v>4065.6000000000004</v>
      </c>
      <c r="N133" s="79"/>
      <c r="O133" s="79"/>
      <c r="P133" s="80">
        <f t="shared" si="11"/>
        <v>0</v>
      </c>
      <c r="Q133" s="80">
        <f t="shared" si="12"/>
        <v>0</v>
      </c>
      <c r="R133" s="80">
        <f t="shared" si="13"/>
        <v>0</v>
      </c>
    </row>
    <row r="134" spans="2:19" x14ac:dyDescent="0.4">
      <c r="B134" s="77">
        <v>44498</v>
      </c>
      <c r="C134" s="64"/>
      <c r="D134" s="64"/>
      <c r="E134" s="64" t="s">
        <v>471</v>
      </c>
      <c r="F134" s="64" t="s">
        <v>656</v>
      </c>
      <c r="G134" s="71" t="s">
        <v>662</v>
      </c>
      <c r="H134" s="78">
        <v>0.1</v>
      </c>
      <c r="I134" s="79">
        <f>6*2</f>
        <v>12</v>
      </c>
      <c r="J134" s="94">
        <v>321</v>
      </c>
      <c r="K134" s="80">
        <f t="shared" si="16"/>
        <v>353.1</v>
      </c>
      <c r="L134" s="80"/>
      <c r="M134" s="80">
        <f t="shared" si="14"/>
        <v>4237.2000000000007</v>
      </c>
      <c r="N134" s="79"/>
      <c r="O134" s="79"/>
      <c r="P134" s="80">
        <f t="shared" ref="P134:P197" si="17">IFERROR(O134*J134,"")</f>
        <v>0</v>
      </c>
      <c r="Q134" s="80">
        <f t="shared" ref="Q134:Q197" si="18">IFERROR(P134*O134,"")</f>
        <v>0</v>
      </c>
      <c r="R134" s="80">
        <f t="shared" ref="R134:R197" si="19">IFERROR(Q134-P134,"")</f>
        <v>0</v>
      </c>
    </row>
    <row r="135" spans="2:19" x14ac:dyDescent="0.4">
      <c r="B135" s="77">
        <v>44498</v>
      </c>
      <c r="C135" s="64"/>
      <c r="D135" s="64"/>
      <c r="E135" s="64" t="s">
        <v>471</v>
      </c>
      <c r="F135" s="64" t="s">
        <v>657</v>
      </c>
      <c r="G135" s="71" t="s">
        <v>663</v>
      </c>
      <c r="H135" s="78">
        <v>0.1</v>
      </c>
      <c r="I135" s="79">
        <f>6*2</f>
        <v>12</v>
      </c>
      <c r="J135" s="94">
        <v>321</v>
      </c>
      <c r="K135" s="80">
        <f t="shared" si="16"/>
        <v>353.1</v>
      </c>
      <c r="L135" s="80"/>
      <c r="M135" s="80">
        <f t="shared" si="14"/>
        <v>4237.2000000000007</v>
      </c>
      <c r="N135" s="79"/>
      <c r="O135" s="79"/>
      <c r="P135" s="80">
        <f t="shared" si="17"/>
        <v>0</v>
      </c>
      <c r="Q135" s="80">
        <f t="shared" si="18"/>
        <v>0</v>
      </c>
      <c r="R135" s="80">
        <f t="shared" si="19"/>
        <v>0</v>
      </c>
    </row>
    <row r="136" spans="2:19" x14ac:dyDescent="0.4">
      <c r="B136" s="77">
        <v>44498</v>
      </c>
      <c r="C136" s="64"/>
      <c r="D136" s="64"/>
      <c r="E136" s="64" t="s">
        <v>471</v>
      </c>
      <c r="F136" s="64" t="s">
        <v>658</v>
      </c>
      <c r="G136" s="71" t="s">
        <v>664</v>
      </c>
      <c r="H136" s="78">
        <v>0.1</v>
      </c>
      <c r="I136" s="79">
        <f>5*8</f>
        <v>40</v>
      </c>
      <c r="J136" s="94">
        <v>150</v>
      </c>
      <c r="K136" s="80">
        <f t="shared" si="16"/>
        <v>165</v>
      </c>
      <c r="L136" s="80"/>
      <c r="M136" s="80">
        <f t="shared" si="14"/>
        <v>6600</v>
      </c>
      <c r="N136" s="79"/>
      <c r="O136" s="79"/>
      <c r="P136" s="80">
        <f t="shared" si="17"/>
        <v>0</v>
      </c>
      <c r="Q136" s="80">
        <f t="shared" si="18"/>
        <v>0</v>
      </c>
      <c r="R136" s="80">
        <f t="shared" si="19"/>
        <v>0</v>
      </c>
    </row>
    <row r="137" spans="2:19" x14ac:dyDescent="0.4">
      <c r="B137" s="77">
        <v>44498</v>
      </c>
      <c r="C137" s="64"/>
      <c r="D137" s="64"/>
      <c r="E137" s="64" t="s">
        <v>471</v>
      </c>
      <c r="F137" s="64" t="s">
        <v>659</v>
      </c>
      <c r="G137" s="71" t="s">
        <v>665</v>
      </c>
      <c r="H137" s="78">
        <v>0.1</v>
      </c>
      <c r="I137" s="79">
        <f>5*6</f>
        <v>30</v>
      </c>
      <c r="J137" s="94">
        <v>68</v>
      </c>
      <c r="K137" s="80">
        <f t="shared" si="16"/>
        <v>74.800000000000011</v>
      </c>
      <c r="L137" s="80"/>
      <c r="M137" s="80">
        <f t="shared" si="14"/>
        <v>2244.0000000000005</v>
      </c>
      <c r="N137" s="79"/>
      <c r="O137" s="79"/>
      <c r="P137" s="80">
        <f t="shared" si="17"/>
        <v>0</v>
      </c>
      <c r="Q137" s="80">
        <f t="shared" si="18"/>
        <v>0</v>
      </c>
      <c r="R137" s="80">
        <f t="shared" si="19"/>
        <v>0</v>
      </c>
      <c r="S137" s="89">
        <f>SUM(M132:M137)</f>
        <v>27874</v>
      </c>
    </row>
    <row r="138" spans="2:19" x14ac:dyDescent="0.4">
      <c r="B138" s="77">
        <v>44498</v>
      </c>
      <c r="C138" s="64"/>
      <c r="D138" s="64"/>
      <c r="E138" s="64" t="s">
        <v>471</v>
      </c>
      <c r="F138" s="64" t="s">
        <v>666</v>
      </c>
      <c r="G138" s="71" t="s">
        <v>671</v>
      </c>
      <c r="H138" s="78">
        <v>0.1</v>
      </c>
      <c r="I138" s="79">
        <f>20*1</f>
        <v>20</v>
      </c>
      <c r="J138" s="94">
        <v>124</v>
      </c>
      <c r="K138" s="80">
        <f t="shared" si="16"/>
        <v>136.4</v>
      </c>
      <c r="L138" s="80"/>
      <c r="M138" s="80">
        <f t="shared" si="14"/>
        <v>2728</v>
      </c>
      <c r="N138" s="79"/>
      <c r="O138" s="79"/>
      <c r="P138" s="80">
        <f t="shared" si="17"/>
        <v>0</v>
      </c>
      <c r="Q138" s="80">
        <f t="shared" si="18"/>
        <v>0</v>
      </c>
      <c r="R138" s="80">
        <f t="shared" si="19"/>
        <v>0</v>
      </c>
    </row>
    <row r="139" spans="2:19" x14ac:dyDescent="0.4">
      <c r="B139" s="77">
        <v>44498</v>
      </c>
      <c r="C139" s="64"/>
      <c r="D139" s="64"/>
      <c r="E139" s="64" t="s">
        <v>471</v>
      </c>
      <c r="F139" s="64" t="s">
        <v>667</v>
      </c>
      <c r="G139" s="71" t="s">
        <v>672</v>
      </c>
      <c r="H139" s="78">
        <v>0.1</v>
      </c>
      <c r="I139" s="79">
        <f>8*2</f>
        <v>16</v>
      </c>
      <c r="J139" s="94">
        <v>380</v>
      </c>
      <c r="K139" s="80">
        <f t="shared" si="16"/>
        <v>418.00000000000006</v>
      </c>
      <c r="L139" s="80"/>
      <c r="M139" s="80">
        <f t="shared" ref="M139:M202" si="20">K139*I139</f>
        <v>6688.0000000000009</v>
      </c>
      <c r="N139" s="79"/>
      <c r="O139" s="79"/>
      <c r="P139" s="80">
        <f t="shared" si="17"/>
        <v>0</v>
      </c>
      <c r="Q139" s="80">
        <f t="shared" si="18"/>
        <v>0</v>
      </c>
      <c r="R139" s="80">
        <f t="shared" si="19"/>
        <v>0</v>
      </c>
    </row>
    <row r="140" spans="2:19" x14ac:dyDescent="0.4">
      <c r="B140" s="77">
        <v>44498</v>
      </c>
      <c r="C140" s="64"/>
      <c r="D140" s="64"/>
      <c r="E140" s="64" t="s">
        <v>471</v>
      </c>
      <c r="F140" s="64" t="s">
        <v>668</v>
      </c>
      <c r="G140" s="71" t="s">
        <v>673</v>
      </c>
      <c r="H140" s="78">
        <v>0.1</v>
      </c>
      <c r="I140" s="79">
        <f>24*1</f>
        <v>24</v>
      </c>
      <c r="J140" s="94">
        <v>129</v>
      </c>
      <c r="K140" s="80">
        <f t="shared" si="16"/>
        <v>141.9</v>
      </c>
      <c r="L140" s="80"/>
      <c r="M140" s="80">
        <f t="shared" si="20"/>
        <v>3405.6000000000004</v>
      </c>
      <c r="N140" s="79"/>
      <c r="O140" s="79"/>
      <c r="P140" s="80">
        <f t="shared" si="17"/>
        <v>0</v>
      </c>
      <c r="Q140" s="80">
        <f t="shared" si="18"/>
        <v>0</v>
      </c>
      <c r="R140" s="80">
        <f t="shared" si="19"/>
        <v>0</v>
      </c>
    </row>
    <row r="141" spans="2:19" x14ac:dyDescent="0.4">
      <c r="B141" s="77">
        <v>44498</v>
      </c>
      <c r="C141" s="64"/>
      <c r="D141" s="64"/>
      <c r="E141" s="64" t="s">
        <v>471</v>
      </c>
      <c r="F141" s="64" t="s">
        <v>669</v>
      </c>
      <c r="G141" s="71" t="s">
        <v>674</v>
      </c>
      <c r="H141" s="78">
        <v>0.1</v>
      </c>
      <c r="I141" s="79">
        <f>16*1</f>
        <v>16</v>
      </c>
      <c r="J141" s="94">
        <v>192</v>
      </c>
      <c r="K141" s="80">
        <f t="shared" si="16"/>
        <v>211.20000000000002</v>
      </c>
      <c r="L141" s="80"/>
      <c r="M141" s="80">
        <f t="shared" si="20"/>
        <v>3379.2000000000003</v>
      </c>
      <c r="N141" s="79"/>
      <c r="O141" s="79"/>
      <c r="P141" s="80">
        <f t="shared" si="17"/>
        <v>0</v>
      </c>
      <c r="Q141" s="80">
        <f t="shared" si="18"/>
        <v>0</v>
      </c>
      <c r="R141" s="80">
        <f t="shared" si="19"/>
        <v>0</v>
      </c>
    </row>
    <row r="142" spans="2:19" x14ac:dyDescent="0.4">
      <c r="B142" s="77">
        <v>44498</v>
      </c>
      <c r="C142" s="64"/>
      <c r="D142" s="64"/>
      <c r="E142" s="64" t="s">
        <v>471</v>
      </c>
      <c r="F142" s="64" t="s">
        <v>670</v>
      </c>
      <c r="G142" s="71" t="s">
        <v>675</v>
      </c>
      <c r="H142" s="78">
        <v>0.1</v>
      </c>
      <c r="I142" s="79">
        <f>12*1</f>
        <v>12</v>
      </c>
      <c r="J142" s="94">
        <v>235</v>
      </c>
      <c r="K142" s="80">
        <f t="shared" si="16"/>
        <v>258.5</v>
      </c>
      <c r="L142" s="80"/>
      <c r="M142" s="80">
        <f t="shared" si="20"/>
        <v>3102</v>
      </c>
      <c r="N142" s="79"/>
      <c r="O142" s="79"/>
      <c r="P142" s="80">
        <f t="shared" si="17"/>
        <v>0</v>
      </c>
      <c r="Q142" s="80">
        <f t="shared" si="18"/>
        <v>0</v>
      </c>
      <c r="R142" s="80">
        <f t="shared" si="19"/>
        <v>0</v>
      </c>
      <c r="S142" s="89">
        <f>SUM(M138:M142)</f>
        <v>19302.800000000003</v>
      </c>
    </row>
    <row r="143" spans="2:19" x14ac:dyDescent="0.4">
      <c r="B143" s="77">
        <v>44498</v>
      </c>
      <c r="C143" s="64"/>
      <c r="D143" s="64"/>
      <c r="E143" s="64" t="s">
        <v>471</v>
      </c>
      <c r="F143" s="64" t="s">
        <v>676</v>
      </c>
      <c r="G143" s="71" t="s">
        <v>683</v>
      </c>
      <c r="H143" s="78">
        <v>0.08</v>
      </c>
      <c r="I143" s="79">
        <f>24*3</f>
        <v>72</v>
      </c>
      <c r="J143" s="94">
        <v>142</v>
      </c>
      <c r="K143" s="80">
        <f>J143*108%</f>
        <v>153.36000000000001</v>
      </c>
      <c r="L143" s="80"/>
      <c r="M143" s="80">
        <f t="shared" si="20"/>
        <v>11041.920000000002</v>
      </c>
      <c r="N143" s="79"/>
      <c r="O143" s="79"/>
      <c r="P143" s="80">
        <f t="shared" si="17"/>
        <v>0</v>
      </c>
      <c r="Q143" s="80">
        <f t="shared" si="18"/>
        <v>0</v>
      </c>
      <c r="R143" s="80">
        <f t="shared" si="19"/>
        <v>0</v>
      </c>
    </row>
    <row r="144" spans="2:19" x14ac:dyDescent="0.4">
      <c r="B144" s="77">
        <v>44498</v>
      </c>
      <c r="C144" s="64"/>
      <c r="D144" s="64"/>
      <c r="E144" s="64" t="s">
        <v>471</v>
      </c>
      <c r="F144" s="64" t="s">
        <v>677</v>
      </c>
      <c r="G144" s="71" t="s">
        <v>684</v>
      </c>
      <c r="H144" s="78">
        <v>0.08</v>
      </c>
      <c r="I144" s="79">
        <f>24*3</f>
        <v>72</v>
      </c>
      <c r="J144" s="94">
        <v>142</v>
      </c>
      <c r="K144" s="80">
        <f>J144*108%</f>
        <v>153.36000000000001</v>
      </c>
      <c r="L144" s="80"/>
      <c r="M144" s="80">
        <f t="shared" si="20"/>
        <v>11041.920000000002</v>
      </c>
      <c r="N144" s="79"/>
      <c r="O144" s="79"/>
      <c r="P144" s="80">
        <f t="shared" si="17"/>
        <v>0</v>
      </c>
      <c r="Q144" s="80">
        <f t="shared" si="18"/>
        <v>0</v>
      </c>
      <c r="R144" s="80">
        <f t="shared" si="19"/>
        <v>0</v>
      </c>
    </row>
    <row r="145" spans="2:19" x14ac:dyDescent="0.4">
      <c r="B145" s="77">
        <v>44498</v>
      </c>
      <c r="C145" s="64"/>
      <c r="D145" s="64"/>
      <c r="E145" s="64" t="s">
        <v>471</v>
      </c>
      <c r="F145" s="64" t="s">
        <v>678</v>
      </c>
      <c r="G145" s="71" t="s">
        <v>685</v>
      </c>
      <c r="H145" s="78">
        <v>0.08</v>
      </c>
      <c r="I145" s="79">
        <f>24*3</f>
        <v>72</v>
      </c>
      <c r="J145" s="94">
        <v>105</v>
      </c>
      <c r="K145" s="80">
        <f t="shared" ref="K145:K203" si="21">J145*108%</f>
        <v>113.4</v>
      </c>
      <c r="L145" s="80"/>
      <c r="M145" s="80">
        <f t="shared" si="20"/>
        <v>8164.8</v>
      </c>
      <c r="N145" s="79"/>
      <c r="O145" s="79"/>
      <c r="P145" s="80">
        <f t="shared" si="17"/>
        <v>0</v>
      </c>
      <c r="Q145" s="80">
        <f t="shared" si="18"/>
        <v>0</v>
      </c>
      <c r="R145" s="80">
        <f t="shared" si="19"/>
        <v>0</v>
      </c>
    </row>
    <row r="146" spans="2:19" x14ac:dyDescent="0.4">
      <c r="B146" s="77">
        <v>44498</v>
      </c>
      <c r="C146" s="64"/>
      <c r="D146" s="64"/>
      <c r="E146" s="64" t="s">
        <v>471</v>
      </c>
      <c r="F146" s="64" t="s">
        <v>679</v>
      </c>
      <c r="G146" s="71" t="s">
        <v>686</v>
      </c>
      <c r="H146" s="78">
        <v>0.08</v>
      </c>
      <c r="I146" s="79">
        <f t="shared" ref="I146:I149" si="22">24*3</f>
        <v>72</v>
      </c>
      <c r="J146" s="94">
        <v>74</v>
      </c>
      <c r="K146" s="80">
        <f t="shared" si="21"/>
        <v>79.92</v>
      </c>
      <c r="L146" s="80"/>
      <c r="M146" s="80">
        <f t="shared" si="20"/>
        <v>5754.24</v>
      </c>
      <c r="N146" s="79"/>
      <c r="O146" s="79"/>
      <c r="P146" s="80">
        <f t="shared" si="17"/>
        <v>0</v>
      </c>
      <c r="Q146" s="80">
        <f t="shared" si="18"/>
        <v>0</v>
      </c>
      <c r="R146" s="80">
        <f t="shared" si="19"/>
        <v>0</v>
      </c>
    </row>
    <row r="147" spans="2:19" x14ac:dyDescent="0.4">
      <c r="B147" s="77">
        <v>44498</v>
      </c>
      <c r="C147" s="64"/>
      <c r="D147" s="64"/>
      <c r="E147" s="64" t="s">
        <v>471</v>
      </c>
      <c r="F147" s="64" t="s">
        <v>680</v>
      </c>
      <c r="G147" s="71" t="s">
        <v>687</v>
      </c>
      <c r="H147" s="78">
        <v>0.08</v>
      </c>
      <c r="I147" s="79">
        <f t="shared" si="22"/>
        <v>72</v>
      </c>
      <c r="J147" s="94">
        <v>142</v>
      </c>
      <c r="K147" s="80">
        <f t="shared" si="21"/>
        <v>153.36000000000001</v>
      </c>
      <c r="L147" s="80"/>
      <c r="M147" s="80">
        <f t="shared" si="20"/>
        <v>11041.920000000002</v>
      </c>
      <c r="N147" s="79"/>
      <c r="O147" s="79"/>
      <c r="P147" s="80">
        <f t="shared" si="17"/>
        <v>0</v>
      </c>
      <c r="Q147" s="80">
        <f t="shared" si="18"/>
        <v>0</v>
      </c>
      <c r="R147" s="80">
        <f t="shared" si="19"/>
        <v>0</v>
      </c>
    </row>
    <row r="148" spans="2:19" x14ac:dyDescent="0.4">
      <c r="B148" s="77">
        <v>44498</v>
      </c>
      <c r="C148" s="64"/>
      <c r="D148" s="64"/>
      <c r="E148" s="64" t="s">
        <v>471</v>
      </c>
      <c r="F148" s="64" t="s">
        <v>681</v>
      </c>
      <c r="G148" s="71" t="s">
        <v>688</v>
      </c>
      <c r="H148" s="78">
        <v>0.08</v>
      </c>
      <c r="I148" s="79">
        <f t="shared" si="22"/>
        <v>72</v>
      </c>
      <c r="J148" s="94">
        <v>142</v>
      </c>
      <c r="K148" s="80">
        <f t="shared" si="21"/>
        <v>153.36000000000001</v>
      </c>
      <c r="L148" s="80"/>
      <c r="M148" s="80">
        <f t="shared" si="20"/>
        <v>11041.920000000002</v>
      </c>
      <c r="N148" s="79"/>
      <c r="O148" s="79"/>
      <c r="P148" s="80">
        <f t="shared" si="17"/>
        <v>0</v>
      </c>
      <c r="Q148" s="80">
        <f t="shared" si="18"/>
        <v>0</v>
      </c>
      <c r="R148" s="80">
        <f t="shared" si="19"/>
        <v>0</v>
      </c>
    </row>
    <row r="149" spans="2:19" x14ac:dyDescent="0.4">
      <c r="B149" s="77">
        <v>44498</v>
      </c>
      <c r="C149" s="64"/>
      <c r="D149" s="64"/>
      <c r="E149" s="64" t="s">
        <v>471</v>
      </c>
      <c r="F149" s="64" t="s">
        <v>682</v>
      </c>
      <c r="G149" s="71" t="s">
        <v>689</v>
      </c>
      <c r="H149" s="78">
        <v>0.08</v>
      </c>
      <c r="I149" s="79">
        <f t="shared" si="22"/>
        <v>72</v>
      </c>
      <c r="J149" s="94">
        <v>87</v>
      </c>
      <c r="K149" s="80">
        <f t="shared" si="21"/>
        <v>93.960000000000008</v>
      </c>
      <c r="L149" s="80"/>
      <c r="M149" s="80">
        <f t="shared" si="20"/>
        <v>6765.1200000000008</v>
      </c>
      <c r="N149" s="79"/>
      <c r="O149" s="79"/>
      <c r="P149" s="80">
        <f t="shared" si="17"/>
        <v>0</v>
      </c>
      <c r="Q149" s="80">
        <f t="shared" si="18"/>
        <v>0</v>
      </c>
      <c r="R149" s="80">
        <f t="shared" si="19"/>
        <v>0</v>
      </c>
      <c r="S149" s="89">
        <f>SUM(M143:M149)</f>
        <v>64851.840000000004</v>
      </c>
    </row>
    <row r="150" spans="2:19" x14ac:dyDescent="0.4">
      <c r="B150" s="77">
        <v>44498</v>
      </c>
      <c r="C150" s="64"/>
      <c r="D150" s="64"/>
      <c r="E150" s="64" t="s">
        <v>471</v>
      </c>
      <c r="F150" s="64" t="s">
        <v>690</v>
      </c>
      <c r="G150" s="71" t="s">
        <v>691</v>
      </c>
      <c r="H150" s="78">
        <v>0.08</v>
      </c>
      <c r="I150" s="79">
        <f>20*2</f>
        <v>40</v>
      </c>
      <c r="J150" s="94">
        <v>84</v>
      </c>
      <c r="K150" s="80">
        <f t="shared" si="21"/>
        <v>90.72</v>
      </c>
      <c r="L150" s="80"/>
      <c r="M150" s="80">
        <f t="shared" si="20"/>
        <v>3628.8</v>
      </c>
      <c r="N150" s="79"/>
      <c r="O150" s="79"/>
      <c r="P150" s="80">
        <f t="shared" si="17"/>
        <v>0</v>
      </c>
      <c r="Q150" s="80">
        <f t="shared" si="18"/>
        <v>0</v>
      </c>
      <c r="R150" s="80">
        <f t="shared" si="19"/>
        <v>0</v>
      </c>
    </row>
    <row r="151" spans="2:19" x14ac:dyDescent="0.4">
      <c r="B151" s="77">
        <v>44498</v>
      </c>
      <c r="C151" s="64"/>
      <c r="D151" s="64"/>
      <c r="E151" s="64" t="s">
        <v>471</v>
      </c>
      <c r="F151" s="64" t="s">
        <v>692</v>
      </c>
      <c r="G151" s="71" t="s">
        <v>700</v>
      </c>
      <c r="H151" s="78">
        <v>0.08</v>
      </c>
      <c r="I151" s="79">
        <f>24*1</f>
        <v>24</v>
      </c>
      <c r="J151" s="94">
        <v>236</v>
      </c>
      <c r="K151" s="80">
        <f t="shared" si="21"/>
        <v>254.88000000000002</v>
      </c>
      <c r="L151" s="80"/>
      <c r="M151" s="80">
        <f t="shared" si="20"/>
        <v>6117.1200000000008</v>
      </c>
      <c r="N151" s="79"/>
      <c r="O151" s="79"/>
      <c r="P151" s="80">
        <f t="shared" si="17"/>
        <v>0</v>
      </c>
      <c r="Q151" s="80">
        <f t="shared" si="18"/>
        <v>0</v>
      </c>
      <c r="R151" s="80">
        <f t="shared" si="19"/>
        <v>0</v>
      </c>
    </row>
    <row r="152" spans="2:19" x14ac:dyDescent="0.4">
      <c r="B152" s="77">
        <v>44498</v>
      </c>
      <c r="C152" s="64"/>
      <c r="D152" s="64"/>
      <c r="E152" s="64" t="s">
        <v>471</v>
      </c>
      <c r="F152" s="64" t="s">
        <v>693</v>
      </c>
      <c r="G152" s="71" t="s">
        <v>701</v>
      </c>
      <c r="H152" s="78">
        <v>0.08</v>
      </c>
      <c r="I152" s="79">
        <f>6*2</f>
        <v>12</v>
      </c>
      <c r="J152" s="94">
        <v>236</v>
      </c>
      <c r="K152" s="80">
        <f t="shared" si="21"/>
        <v>254.88000000000002</v>
      </c>
      <c r="L152" s="80"/>
      <c r="M152" s="80">
        <f t="shared" si="20"/>
        <v>3058.5600000000004</v>
      </c>
      <c r="N152" s="79"/>
      <c r="O152" s="79"/>
      <c r="P152" s="80">
        <f t="shared" si="17"/>
        <v>0</v>
      </c>
      <c r="Q152" s="80">
        <f t="shared" si="18"/>
        <v>0</v>
      </c>
      <c r="R152" s="80">
        <f t="shared" si="19"/>
        <v>0</v>
      </c>
    </row>
    <row r="153" spans="2:19" x14ac:dyDescent="0.4">
      <c r="B153" s="77">
        <v>44498</v>
      </c>
      <c r="C153" s="64"/>
      <c r="D153" s="64"/>
      <c r="E153" s="64" t="s">
        <v>471</v>
      </c>
      <c r="F153" s="64" t="s">
        <v>694</v>
      </c>
      <c r="G153" s="71" t="s">
        <v>702</v>
      </c>
      <c r="H153" s="78">
        <v>0.08</v>
      </c>
      <c r="I153" s="79">
        <f>6*1</f>
        <v>6</v>
      </c>
      <c r="J153" s="94">
        <v>236</v>
      </c>
      <c r="K153" s="80">
        <f t="shared" si="21"/>
        <v>254.88000000000002</v>
      </c>
      <c r="L153" s="80"/>
      <c r="M153" s="80">
        <f t="shared" si="20"/>
        <v>1529.2800000000002</v>
      </c>
      <c r="N153" s="79"/>
      <c r="O153" s="79"/>
      <c r="P153" s="80">
        <f t="shared" si="17"/>
        <v>0</v>
      </c>
      <c r="Q153" s="80">
        <f t="shared" si="18"/>
        <v>0</v>
      </c>
      <c r="R153" s="80">
        <f t="shared" si="19"/>
        <v>0</v>
      </c>
    </row>
    <row r="154" spans="2:19" x14ac:dyDescent="0.4">
      <c r="B154" s="77">
        <v>44498</v>
      </c>
      <c r="C154" s="64"/>
      <c r="D154" s="64"/>
      <c r="E154" s="64" t="s">
        <v>471</v>
      </c>
      <c r="F154" s="64" t="s">
        <v>695</v>
      </c>
      <c r="G154" s="71" t="s">
        <v>703</v>
      </c>
      <c r="H154" s="78">
        <v>0.08</v>
      </c>
      <c r="I154" s="79">
        <f>6*1</f>
        <v>6</v>
      </c>
      <c r="J154" s="94">
        <v>236</v>
      </c>
      <c r="K154" s="80">
        <f t="shared" si="21"/>
        <v>254.88000000000002</v>
      </c>
      <c r="L154" s="80"/>
      <c r="M154" s="80">
        <f t="shared" si="20"/>
        <v>1529.2800000000002</v>
      </c>
      <c r="N154" s="79"/>
      <c r="O154" s="79"/>
      <c r="P154" s="80">
        <f t="shared" si="17"/>
        <v>0</v>
      </c>
      <c r="Q154" s="80">
        <f t="shared" si="18"/>
        <v>0</v>
      </c>
      <c r="R154" s="80">
        <f t="shared" si="19"/>
        <v>0</v>
      </c>
    </row>
    <row r="155" spans="2:19" x14ac:dyDescent="0.4">
      <c r="B155" s="77">
        <v>44498</v>
      </c>
      <c r="C155" s="64"/>
      <c r="D155" s="64"/>
      <c r="E155" s="64" t="s">
        <v>471</v>
      </c>
      <c r="F155" s="64" t="s">
        <v>696</v>
      </c>
      <c r="G155" s="71" t="s">
        <v>704</v>
      </c>
      <c r="H155" s="78">
        <v>0.08</v>
      </c>
      <c r="I155" s="79">
        <f>20*2</f>
        <v>40</v>
      </c>
      <c r="J155" s="94">
        <v>84</v>
      </c>
      <c r="K155" s="80">
        <f t="shared" si="21"/>
        <v>90.72</v>
      </c>
      <c r="L155" s="80"/>
      <c r="M155" s="80">
        <f t="shared" si="20"/>
        <v>3628.8</v>
      </c>
      <c r="N155" s="79"/>
      <c r="O155" s="79"/>
      <c r="P155" s="80">
        <f t="shared" si="17"/>
        <v>0</v>
      </c>
      <c r="Q155" s="80">
        <f t="shared" si="18"/>
        <v>0</v>
      </c>
      <c r="R155" s="80">
        <f t="shared" si="19"/>
        <v>0</v>
      </c>
    </row>
    <row r="156" spans="2:19" x14ac:dyDescent="0.4">
      <c r="B156" s="77">
        <v>44498</v>
      </c>
      <c r="C156" s="64"/>
      <c r="D156" s="64"/>
      <c r="E156" s="64" t="s">
        <v>471</v>
      </c>
      <c r="F156" s="64" t="s">
        <v>697</v>
      </c>
      <c r="G156" s="71" t="s">
        <v>705</v>
      </c>
      <c r="H156" s="78">
        <v>0.08</v>
      </c>
      <c r="I156" s="79">
        <f>10*1</f>
        <v>10</v>
      </c>
      <c r="J156" s="94">
        <v>142</v>
      </c>
      <c r="K156" s="80">
        <f t="shared" si="21"/>
        <v>153.36000000000001</v>
      </c>
      <c r="L156" s="80"/>
      <c r="M156" s="80">
        <f t="shared" si="20"/>
        <v>1533.6000000000001</v>
      </c>
      <c r="N156" s="79"/>
      <c r="O156" s="79"/>
      <c r="P156" s="80">
        <f t="shared" si="17"/>
        <v>0</v>
      </c>
      <c r="Q156" s="80">
        <f t="shared" si="18"/>
        <v>0</v>
      </c>
      <c r="R156" s="80">
        <f t="shared" si="19"/>
        <v>0</v>
      </c>
    </row>
    <row r="157" spans="2:19" x14ac:dyDescent="0.4">
      <c r="B157" s="77">
        <v>44498</v>
      </c>
      <c r="C157" s="64"/>
      <c r="D157" s="64"/>
      <c r="E157" s="64" t="s">
        <v>471</v>
      </c>
      <c r="F157" s="64" t="s">
        <v>698</v>
      </c>
      <c r="G157" s="71" t="s">
        <v>706</v>
      </c>
      <c r="H157" s="78">
        <v>0.08</v>
      </c>
      <c r="I157" s="79">
        <f>10*1</f>
        <v>10</v>
      </c>
      <c r="J157" s="94">
        <v>142</v>
      </c>
      <c r="K157" s="80">
        <f t="shared" si="21"/>
        <v>153.36000000000001</v>
      </c>
      <c r="L157" s="80"/>
      <c r="M157" s="80">
        <f t="shared" si="20"/>
        <v>1533.6000000000001</v>
      </c>
      <c r="N157" s="79"/>
      <c r="O157" s="79"/>
      <c r="P157" s="80">
        <f t="shared" si="17"/>
        <v>0</v>
      </c>
      <c r="Q157" s="80">
        <f t="shared" si="18"/>
        <v>0</v>
      </c>
      <c r="R157" s="80">
        <f t="shared" si="19"/>
        <v>0</v>
      </c>
    </row>
    <row r="158" spans="2:19" x14ac:dyDescent="0.4">
      <c r="B158" s="77">
        <v>44498</v>
      </c>
      <c r="C158" s="64"/>
      <c r="D158" s="64"/>
      <c r="E158" s="64" t="s">
        <v>471</v>
      </c>
      <c r="F158" s="64" t="s">
        <v>699</v>
      </c>
      <c r="G158" s="71" t="s">
        <v>707</v>
      </c>
      <c r="H158" s="78">
        <v>0.08</v>
      </c>
      <c r="I158" s="79">
        <f>16*1</f>
        <v>16</v>
      </c>
      <c r="J158" s="94">
        <v>126</v>
      </c>
      <c r="K158" s="80">
        <f t="shared" si="21"/>
        <v>136.08000000000001</v>
      </c>
      <c r="L158" s="80"/>
      <c r="M158" s="80">
        <f t="shared" si="20"/>
        <v>2177.2800000000002</v>
      </c>
      <c r="N158" s="79"/>
      <c r="O158" s="79"/>
      <c r="P158" s="80">
        <f t="shared" si="17"/>
        <v>0</v>
      </c>
      <c r="Q158" s="80">
        <f t="shared" si="18"/>
        <v>0</v>
      </c>
      <c r="R158" s="80">
        <f t="shared" si="19"/>
        <v>0</v>
      </c>
      <c r="S158" s="89">
        <f>SUM(M150:M158)</f>
        <v>24736.32</v>
      </c>
    </row>
    <row r="159" spans="2:19" x14ac:dyDescent="0.4">
      <c r="B159" s="77">
        <v>44498</v>
      </c>
      <c r="C159" s="64"/>
      <c r="D159" s="64"/>
      <c r="E159" s="64" t="s">
        <v>471</v>
      </c>
      <c r="F159" s="64" t="s">
        <v>708</v>
      </c>
      <c r="G159" s="71" t="s">
        <v>721</v>
      </c>
      <c r="H159" s="78">
        <v>0.08</v>
      </c>
      <c r="I159" s="79">
        <f>10*2</f>
        <v>20</v>
      </c>
      <c r="J159" s="94">
        <v>69</v>
      </c>
      <c r="K159" s="80">
        <f t="shared" si="21"/>
        <v>74.52000000000001</v>
      </c>
      <c r="L159" s="80"/>
      <c r="M159" s="80">
        <f t="shared" si="20"/>
        <v>1490.4</v>
      </c>
      <c r="N159" s="79"/>
      <c r="O159" s="79"/>
      <c r="P159" s="80">
        <f t="shared" si="17"/>
        <v>0</v>
      </c>
      <c r="Q159" s="80">
        <f t="shared" si="18"/>
        <v>0</v>
      </c>
      <c r="R159" s="80">
        <f t="shared" si="19"/>
        <v>0</v>
      </c>
    </row>
    <row r="160" spans="2:19" x14ac:dyDescent="0.4">
      <c r="B160" s="77">
        <v>44498</v>
      </c>
      <c r="C160" s="64"/>
      <c r="D160" s="64"/>
      <c r="E160" s="64" t="s">
        <v>471</v>
      </c>
      <c r="F160" s="64" t="s">
        <v>709</v>
      </c>
      <c r="G160" s="71" t="s">
        <v>722</v>
      </c>
      <c r="H160" s="78">
        <v>0.08</v>
      </c>
      <c r="I160" s="79">
        <f>10*2</f>
        <v>20</v>
      </c>
      <c r="J160" s="94">
        <v>121</v>
      </c>
      <c r="K160" s="80">
        <f t="shared" si="21"/>
        <v>130.68</v>
      </c>
      <c r="L160" s="80"/>
      <c r="M160" s="80">
        <f t="shared" si="20"/>
        <v>2613.6000000000004</v>
      </c>
      <c r="N160" s="79"/>
      <c r="O160" s="79"/>
      <c r="P160" s="80">
        <f t="shared" si="17"/>
        <v>0</v>
      </c>
      <c r="Q160" s="80">
        <f t="shared" si="18"/>
        <v>0</v>
      </c>
      <c r="R160" s="80">
        <f t="shared" si="19"/>
        <v>0</v>
      </c>
    </row>
    <row r="161" spans="2:19" x14ac:dyDescent="0.4">
      <c r="B161" s="77">
        <v>44498</v>
      </c>
      <c r="C161" s="64"/>
      <c r="D161" s="64"/>
      <c r="E161" s="64" t="s">
        <v>471</v>
      </c>
      <c r="F161" s="64" t="s">
        <v>710</v>
      </c>
      <c r="G161" s="71" t="s">
        <v>723</v>
      </c>
      <c r="H161" s="78">
        <v>0.08</v>
      </c>
      <c r="I161" s="79">
        <f>12*2</f>
        <v>24</v>
      </c>
      <c r="J161" s="94">
        <v>392</v>
      </c>
      <c r="K161" s="80">
        <f t="shared" si="21"/>
        <v>423.36</v>
      </c>
      <c r="L161" s="80"/>
      <c r="M161" s="80">
        <f t="shared" si="20"/>
        <v>10160.64</v>
      </c>
      <c r="N161" s="79"/>
      <c r="O161" s="79"/>
      <c r="P161" s="80">
        <f t="shared" si="17"/>
        <v>0</v>
      </c>
      <c r="Q161" s="80">
        <f t="shared" si="18"/>
        <v>0</v>
      </c>
      <c r="R161" s="80">
        <f t="shared" si="19"/>
        <v>0</v>
      </c>
    </row>
    <row r="162" spans="2:19" x14ac:dyDescent="0.4">
      <c r="B162" s="77">
        <v>44498</v>
      </c>
      <c r="C162" s="64"/>
      <c r="D162" s="64"/>
      <c r="E162" s="64" t="s">
        <v>471</v>
      </c>
      <c r="F162" s="64" t="s">
        <v>711</v>
      </c>
      <c r="G162" s="71" t="s">
        <v>724</v>
      </c>
      <c r="H162" s="78">
        <v>0.08</v>
      </c>
      <c r="I162" s="79">
        <f>24*2</f>
        <v>48</v>
      </c>
      <c r="J162" s="94">
        <v>152</v>
      </c>
      <c r="K162" s="80">
        <f t="shared" si="21"/>
        <v>164.16000000000003</v>
      </c>
      <c r="L162" s="80"/>
      <c r="M162" s="80">
        <f t="shared" si="20"/>
        <v>7879.6800000000012</v>
      </c>
      <c r="N162" s="79"/>
      <c r="O162" s="79"/>
      <c r="P162" s="80">
        <f t="shared" si="17"/>
        <v>0</v>
      </c>
      <c r="Q162" s="80">
        <f t="shared" si="18"/>
        <v>0</v>
      </c>
      <c r="R162" s="80">
        <f t="shared" si="19"/>
        <v>0</v>
      </c>
    </row>
    <row r="163" spans="2:19" x14ac:dyDescent="0.4">
      <c r="B163" s="77">
        <v>44498</v>
      </c>
      <c r="C163" s="64"/>
      <c r="D163" s="64"/>
      <c r="E163" s="64" t="s">
        <v>471</v>
      </c>
      <c r="F163" s="64" t="s">
        <v>712</v>
      </c>
      <c r="G163" s="71" t="s">
        <v>725</v>
      </c>
      <c r="H163" s="78">
        <v>0.08</v>
      </c>
      <c r="I163" s="79">
        <f>144*2</f>
        <v>288</v>
      </c>
      <c r="J163" s="94">
        <v>59</v>
      </c>
      <c r="K163" s="80">
        <f t="shared" si="21"/>
        <v>63.720000000000006</v>
      </c>
      <c r="L163" s="80"/>
      <c r="M163" s="80">
        <f t="shared" si="20"/>
        <v>18351.36</v>
      </c>
      <c r="N163" s="79"/>
      <c r="O163" s="79"/>
      <c r="P163" s="80">
        <f t="shared" si="17"/>
        <v>0</v>
      </c>
      <c r="Q163" s="80">
        <f t="shared" si="18"/>
        <v>0</v>
      </c>
      <c r="R163" s="80">
        <f t="shared" si="19"/>
        <v>0</v>
      </c>
    </row>
    <row r="164" spans="2:19" x14ac:dyDescent="0.4">
      <c r="B164" s="77">
        <v>44498</v>
      </c>
      <c r="C164" s="64"/>
      <c r="D164" s="64"/>
      <c r="E164" s="64" t="s">
        <v>471</v>
      </c>
      <c r="F164" s="64" t="s">
        <v>713</v>
      </c>
      <c r="G164" s="71" t="s">
        <v>726</v>
      </c>
      <c r="H164" s="78">
        <v>0.08</v>
      </c>
      <c r="I164" s="79">
        <f>144*2</f>
        <v>288</v>
      </c>
      <c r="J164" s="94">
        <v>59</v>
      </c>
      <c r="K164" s="80">
        <f t="shared" si="21"/>
        <v>63.720000000000006</v>
      </c>
      <c r="L164" s="80"/>
      <c r="M164" s="80">
        <f t="shared" si="20"/>
        <v>18351.36</v>
      </c>
      <c r="N164" s="79"/>
      <c r="O164" s="79"/>
      <c r="P164" s="80">
        <f t="shared" si="17"/>
        <v>0</v>
      </c>
      <c r="Q164" s="80">
        <f t="shared" si="18"/>
        <v>0</v>
      </c>
      <c r="R164" s="80">
        <f t="shared" si="19"/>
        <v>0</v>
      </c>
    </row>
    <row r="165" spans="2:19" x14ac:dyDescent="0.4">
      <c r="B165" s="77">
        <v>44498</v>
      </c>
      <c r="C165" s="64"/>
      <c r="D165" s="64"/>
      <c r="E165" s="64" t="s">
        <v>471</v>
      </c>
      <c r="F165" s="64" t="s">
        <v>714</v>
      </c>
      <c r="G165" s="71" t="s">
        <v>727</v>
      </c>
      <c r="H165" s="78">
        <v>0.08</v>
      </c>
      <c r="I165" s="79">
        <f>10*1</f>
        <v>10</v>
      </c>
      <c r="J165" s="94">
        <v>69</v>
      </c>
      <c r="K165" s="80">
        <f t="shared" si="21"/>
        <v>74.52000000000001</v>
      </c>
      <c r="L165" s="80"/>
      <c r="M165" s="80">
        <f t="shared" si="20"/>
        <v>745.2</v>
      </c>
      <c r="N165" s="79"/>
      <c r="O165" s="79"/>
      <c r="P165" s="80">
        <f t="shared" si="17"/>
        <v>0</v>
      </c>
      <c r="Q165" s="80">
        <f t="shared" si="18"/>
        <v>0</v>
      </c>
      <c r="R165" s="80">
        <f t="shared" si="19"/>
        <v>0</v>
      </c>
    </row>
    <row r="166" spans="2:19" x14ac:dyDescent="0.4">
      <c r="B166" s="77">
        <v>44498</v>
      </c>
      <c r="C166" s="64"/>
      <c r="D166" s="64"/>
      <c r="E166" s="64" t="s">
        <v>471</v>
      </c>
      <c r="F166" s="64" t="s">
        <v>715</v>
      </c>
      <c r="G166" s="71" t="s">
        <v>728</v>
      </c>
      <c r="H166" s="78">
        <v>0.08</v>
      </c>
      <c r="I166" s="79">
        <f>144*2</f>
        <v>288</v>
      </c>
      <c r="J166" s="94">
        <v>59</v>
      </c>
      <c r="K166" s="80">
        <f t="shared" si="21"/>
        <v>63.720000000000006</v>
      </c>
      <c r="L166" s="80"/>
      <c r="M166" s="80">
        <f t="shared" si="20"/>
        <v>18351.36</v>
      </c>
      <c r="N166" s="79"/>
      <c r="O166" s="79"/>
      <c r="P166" s="80">
        <f t="shared" si="17"/>
        <v>0</v>
      </c>
      <c r="Q166" s="80">
        <f t="shared" si="18"/>
        <v>0</v>
      </c>
      <c r="R166" s="80">
        <f t="shared" si="19"/>
        <v>0</v>
      </c>
    </row>
    <row r="167" spans="2:19" x14ac:dyDescent="0.4">
      <c r="B167" s="77">
        <v>44498</v>
      </c>
      <c r="C167" s="64"/>
      <c r="D167" s="64"/>
      <c r="E167" s="64" t="s">
        <v>471</v>
      </c>
      <c r="F167" s="64" t="s">
        <v>716</v>
      </c>
      <c r="G167" s="71" t="s">
        <v>729</v>
      </c>
      <c r="H167" s="78">
        <v>0.08</v>
      </c>
      <c r="I167" s="79">
        <f>144*2</f>
        <v>288</v>
      </c>
      <c r="J167" s="94">
        <v>59</v>
      </c>
      <c r="K167" s="80">
        <f t="shared" si="21"/>
        <v>63.720000000000006</v>
      </c>
      <c r="L167" s="80"/>
      <c r="M167" s="80">
        <f t="shared" si="20"/>
        <v>18351.36</v>
      </c>
      <c r="N167" s="79"/>
      <c r="O167" s="79"/>
      <c r="P167" s="80">
        <f t="shared" si="17"/>
        <v>0</v>
      </c>
      <c r="Q167" s="80">
        <f t="shared" si="18"/>
        <v>0</v>
      </c>
      <c r="R167" s="80">
        <f t="shared" si="19"/>
        <v>0</v>
      </c>
    </row>
    <row r="168" spans="2:19" x14ac:dyDescent="0.4">
      <c r="B168" s="77">
        <v>44498</v>
      </c>
      <c r="C168" s="64"/>
      <c r="D168" s="64"/>
      <c r="E168" s="64" t="s">
        <v>471</v>
      </c>
      <c r="F168" s="64" t="s">
        <v>717</v>
      </c>
      <c r="G168" s="71" t="s">
        <v>730</v>
      </c>
      <c r="H168" s="78">
        <v>0.08</v>
      </c>
      <c r="I168" s="79">
        <f>12*2</f>
        <v>24</v>
      </c>
      <c r="J168" s="94">
        <v>258</v>
      </c>
      <c r="K168" s="80">
        <f t="shared" si="21"/>
        <v>278.64000000000004</v>
      </c>
      <c r="L168" s="80"/>
      <c r="M168" s="80">
        <f t="shared" si="20"/>
        <v>6687.3600000000006</v>
      </c>
      <c r="N168" s="79"/>
      <c r="O168" s="79"/>
      <c r="P168" s="80">
        <f t="shared" si="17"/>
        <v>0</v>
      </c>
      <c r="Q168" s="80">
        <f t="shared" si="18"/>
        <v>0</v>
      </c>
      <c r="R168" s="80">
        <f t="shared" si="19"/>
        <v>0</v>
      </c>
    </row>
    <row r="169" spans="2:19" x14ac:dyDescent="0.4">
      <c r="B169" s="77">
        <v>44498</v>
      </c>
      <c r="C169" s="64"/>
      <c r="D169" s="64"/>
      <c r="E169" s="64" t="s">
        <v>471</v>
      </c>
      <c r="F169" s="64" t="s">
        <v>718</v>
      </c>
      <c r="G169" s="71" t="s">
        <v>731</v>
      </c>
      <c r="H169" s="78">
        <v>0.08</v>
      </c>
      <c r="I169" s="79">
        <f>144*2</f>
        <v>288</v>
      </c>
      <c r="J169" s="94">
        <v>59</v>
      </c>
      <c r="K169" s="80">
        <f t="shared" si="21"/>
        <v>63.720000000000006</v>
      </c>
      <c r="L169" s="80"/>
      <c r="M169" s="80">
        <f t="shared" si="20"/>
        <v>18351.36</v>
      </c>
      <c r="N169" s="79"/>
      <c r="O169" s="79"/>
      <c r="P169" s="80">
        <f t="shared" si="17"/>
        <v>0</v>
      </c>
      <c r="Q169" s="80">
        <f t="shared" si="18"/>
        <v>0</v>
      </c>
      <c r="R169" s="80">
        <f t="shared" si="19"/>
        <v>0</v>
      </c>
    </row>
    <row r="170" spans="2:19" x14ac:dyDescent="0.4">
      <c r="B170" s="77">
        <v>44498</v>
      </c>
      <c r="C170" s="64"/>
      <c r="D170" s="64"/>
      <c r="E170" s="64" t="s">
        <v>471</v>
      </c>
      <c r="F170" s="64" t="s">
        <v>719</v>
      </c>
      <c r="G170" s="71" t="s">
        <v>732</v>
      </c>
      <c r="H170" s="78">
        <v>0.08</v>
      </c>
      <c r="I170" s="79">
        <f>10*2</f>
        <v>20</v>
      </c>
      <c r="J170" s="94">
        <v>69</v>
      </c>
      <c r="K170" s="80">
        <f t="shared" si="21"/>
        <v>74.52000000000001</v>
      </c>
      <c r="L170" s="80"/>
      <c r="M170" s="80">
        <f t="shared" si="20"/>
        <v>1490.4</v>
      </c>
      <c r="N170" s="79"/>
      <c r="O170" s="79"/>
      <c r="P170" s="80">
        <f t="shared" si="17"/>
        <v>0</v>
      </c>
      <c r="Q170" s="80">
        <f t="shared" si="18"/>
        <v>0</v>
      </c>
      <c r="R170" s="80">
        <f t="shared" si="19"/>
        <v>0</v>
      </c>
    </row>
    <row r="171" spans="2:19" x14ac:dyDescent="0.4">
      <c r="B171" s="77">
        <v>44498</v>
      </c>
      <c r="C171" s="64"/>
      <c r="D171" s="64"/>
      <c r="E171" s="64" t="s">
        <v>471</v>
      </c>
      <c r="F171" s="64" t="s">
        <v>720</v>
      </c>
      <c r="G171" s="71" t="s">
        <v>733</v>
      </c>
      <c r="H171" s="78">
        <v>0.08</v>
      </c>
      <c r="I171" s="79">
        <f>10*2</f>
        <v>20</v>
      </c>
      <c r="J171" s="94">
        <v>69</v>
      </c>
      <c r="K171" s="80">
        <f t="shared" si="21"/>
        <v>74.52000000000001</v>
      </c>
      <c r="L171" s="80"/>
      <c r="M171" s="80">
        <f t="shared" si="20"/>
        <v>1490.4</v>
      </c>
      <c r="N171" s="79"/>
      <c r="O171" s="79"/>
      <c r="P171" s="80">
        <f t="shared" si="17"/>
        <v>0</v>
      </c>
      <c r="Q171" s="80">
        <f t="shared" si="18"/>
        <v>0</v>
      </c>
      <c r="R171" s="80">
        <f t="shared" si="19"/>
        <v>0</v>
      </c>
      <c r="S171" s="89">
        <f>SUM(M159:M171)</f>
        <v>124314.48</v>
      </c>
    </row>
    <row r="172" spans="2:19" x14ac:dyDescent="0.4">
      <c r="B172" s="77">
        <v>44498</v>
      </c>
      <c r="C172" s="64"/>
      <c r="D172" s="64"/>
      <c r="E172" s="64" t="s">
        <v>471</v>
      </c>
      <c r="F172" s="64" t="s">
        <v>734</v>
      </c>
      <c r="G172" s="71" t="s">
        <v>740</v>
      </c>
      <c r="H172" s="78">
        <v>0.08</v>
      </c>
      <c r="I172" s="79">
        <f>12*2</f>
        <v>24</v>
      </c>
      <c r="J172" s="94">
        <v>124</v>
      </c>
      <c r="K172" s="80">
        <f t="shared" si="21"/>
        <v>133.92000000000002</v>
      </c>
      <c r="L172" s="80"/>
      <c r="M172" s="80">
        <f t="shared" si="20"/>
        <v>3214.0800000000004</v>
      </c>
      <c r="N172" s="79"/>
      <c r="O172" s="79"/>
      <c r="P172" s="80">
        <f t="shared" si="17"/>
        <v>0</v>
      </c>
      <c r="Q172" s="80">
        <f t="shared" si="18"/>
        <v>0</v>
      </c>
      <c r="R172" s="80">
        <f t="shared" si="19"/>
        <v>0</v>
      </c>
    </row>
    <row r="173" spans="2:19" x14ac:dyDescent="0.4">
      <c r="B173" s="77">
        <v>44498</v>
      </c>
      <c r="C173" s="64"/>
      <c r="D173" s="64"/>
      <c r="E173" s="64" t="s">
        <v>471</v>
      </c>
      <c r="F173" s="64" t="s">
        <v>735</v>
      </c>
      <c r="G173" s="71" t="s">
        <v>741</v>
      </c>
      <c r="H173" s="78">
        <v>0.08</v>
      </c>
      <c r="I173" s="79">
        <f>12*1</f>
        <v>12</v>
      </c>
      <c r="J173" s="94">
        <v>233</v>
      </c>
      <c r="K173" s="80">
        <f t="shared" si="21"/>
        <v>251.64000000000001</v>
      </c>
      <c r="L173" s="80"/>
      <c r="M173" s="80">
        <f t="shared" si="20"/>
        <v>3019.6800000000003</v>
      </c>
      <c r="N173" s="79"/>
      <c r="O173" s="79"/>
      <c r="P173" s="80">
        <f t="shared" si="17"/>
        <v>0</v>
      </c>
      <c r="Q173" s="80">
        <f t="shared" si="18"/>
        <v>0</v>
      </c>
      <c r="R173" s="80">
        <f t="shared" si="19"/>
        <v>0</v>
      </c>
    </row>
    <row r="174" spans="2:19" x14ac:dyDescent="0.4">
      <c r="B174" s="77">
        <v>44498</v>
      </c>
      <c r="C174" s="64"/>
      <c r="D174" s="64"/>
      <c r="E174" s="64" t="s">
        <v>471</v>
      </c>
      <c r="F174" s="64" t="s">
        <v>736</v>
      </c>
      <c r="G174" s="71" t="s">
        <v>742</v>
      </c>
      <c r="H174" s="78">
        <v>0.08</v>
      </c>
      <c r="I174" s="79">
        <f>6*2</f>
        <v>12</v>
      </c>
      <c r="J174" s="94">
        <v>218</v>
      </c>
      <c r="K174" s="80">
        <f t="shared" si="21"/>
        <v>235.44000000000003</v>
      </c>
      <c r="L174" s="80"/>
      <c r="M174" s="80">
        <f t="shared" si="20"/>
        <v>2825.28</v>
      </c>
      <c r="N174" s="79"/>
      <c r="O174" s="79"/>
      <c r="P174" s="80">
        <f t="shared" si="17"/>
        <v>0</v>
      </c>
      <c r="Q174" s="80">
        <f t="shared" si="18"/>
        <v>0</v>
      </c>
      <c r="R174" s="80">
        <f t="shared" si="19"/>
        <v>0</v>
      </c>
    </row>
    <row r="175" spans="2:19" x14ac:dyDescent="0.4">
      <c r="B175" s="77">
        <v>44498</v>
      </c>
      <c r="C175" s="64"/>
      <c r="D175" s="64"/>
      <c r="E175" s="64" t="s">
        <v>471</v>
      </c>
      <c r="F175" s="64" t="s">
        <v>737</v>
      </c>
      <c r="G175" s="71" t="s">
        <v>743</v>
      </c>
      <c r="H175" s="78">
        <v>0.08</v>
      </c>
      <c r="I175" s="79">
        <f>12*1</f>
        <v>12</v>
      </c>
      <c r="J175" s="94">
        <v>212</v>
      </c>
      <c r="K175" s="80">
        <f t="shared" si="21"/>
        <v>228.96</v>
      </c>
      <c r="L175" s="80"/>
      <c r="M175" s="80">
        <f t="shared" si="20"/>
        <v>2747.52</v>
      </c>
      <c r="N175" s="79"/>
      <c r="O175" s="79"/>
      <c r="P175" s="80">
        <f t="shared" si="17"/>
        <v>0</v>
      </c>
      <c r="Q175" s="80">
        <f t="shared" si="18"/>
        <v>0</v>
      </c>
      <c r="R175" s="80">
        <f t="shared" si="19"/>
        <v>0</v>
      </c>
    </row>
    <row r="176" spans="2:19" x14ac:dyDescent="0.4">
      <c r="B176" s="77">
        <v>44498</v>
      </c>
      <c r="C176" s="64"/>
      <c r="D176" s="64"/>
      <c r="E176" s="64" t="s">
        <v>471</v>
      </c>
      <c r="F176" s="64" t="s">
        <v>738</v>
      </c>
      <c r="G176" s="71" t="s">
        <v>744</v>
      </c>
      <c r="H176" s="78">
        <v>0.08</v>
      </c>
      <c r="I176" s="79">
        <f>12*2</f>
        <v>24</v>
      </c>
      <c r="J176" s="94">
        <v>71.5</v>
      </c>
      <c r="K176" s="80">
        <f t="shared" si="21"/>
        <v>77.22</v>
      </c>
      <c r="L176" s="80"/>
      <c r="M176" s="80">
        <f t="shared" si="20"/>
        <v>1853.28</v>
      </c>
      <c r="N176" s="79"/>
      <c r="O176" s="79"/>
      <c r="P176" s="80">
        <f t="shared" si="17"/>
        <v>0</v>
      </c>
      <c r="Q176" s="80">
        <f t="shared" si="18"/>
        <v>0</v>
      </c>
      <c r="R176" s="80">
        <f t="shared" si="19"/>
        <v>0</v>
      </c>
    </row>
    <row r="177" spans="2:19" x14ac:dyDescent="0.4">
      <c r="B177" s="77">
        <v>44498</v>
      </c>
      <c r="C177" s="64"/>
      <c r="D177" s="64"/>
      <c r="E177" s="64" t="s">
        <v>471</v>
      </c>
      <c r="F177" s="64" t="s">
        <v>739</v>
      </c>
      <c r="G177" s="71" t="s">
        <v>745</v>
      </c>
      <c r="H177" s="78">
        <v>0.08</v>
      </c>
      <c r="I177" s="79">
        <f>30*2</f>
        <v>60</v>
      </c>
      <c r="J177" s="94">
        <v>20.7</v>
      </c>
      <c r="K177" s="80">
        <f t="shared" si="21"/>
        <v>22.356000000000002</v>
      </c>
      <c r="L177" s="80"/>
      <c r="M177" s="80">
        <f t="shared" si="20"/>
        <v>1341.3600000000001</v>
      </c>
      <c r="N177" s="79"/>
      <c r="O177" s="79"/>
      <c r="P177" s="80">
        <f t="shared" si="17"/>
        <v>0</v>
      </c>
      <c r="Q177" s="80">
        <f t="shared" si="18"/>
        <v>0</v>
      </c>
      <c r="R177" s="80">
        <f t="shared" si="19"/>
        <v>0</v>
      </c>
      <c r="S177" s="89">
        <f>SUM(M172:M177)</f>
        <v>15001.200000000003</v>
      </c>
    </row>
    <row r="178" spans="2:19" x14ac:dyDescent="0.4">
      <c r="B178" s="77">
        <v>44498</v>
      </c>
      <c r="C178" s="64"/>
      <c r="D178" s="64"/>
      <c r="E178" s="64" t="s">
        <v>471</v>
      </c>
      <c r="F178" s="64" t="s">
        <v>746</v>
      </c>
      <c r="G178" s="71" t="s">
        <v>751</v>
      </c>
      <c r="H178" s="78">
        <v>0.08</v>
      </c>
      <c r="I178" s="79">
        <f>24*2</f>
        <v>48</v>
      </c>
      <c r="J178" s="94">
        <v>52</v>
      </c>
      <c r="K178" s="80">
        <f t="shared" si="21"/>
        <v>56.160000000000004</v>
      </c>
      <c r="L178" s="80"/>
      <c r="M178" s="80">
        <f t="shared" si="20"/>
        <v>2695.6800000000003</v>
      </c>
      <c r="N178" s="79"/>
      <c r="O178" s="79"/>
      <c r="P178" s="80">
        <f t="shared" si="17"/>
        <v>0</v>
      </c>
      <c r="Q178" s="80">
        <f t="shared" si="18"/>
        <v>0</v>
      </c>
      <c r="R178" s="80">
        <f t="shared" si="19"/>
        <v>0</v>
      </c>
    </row>
    <row r="179" spans="2:19" x14ac:dyDescent="0.4">
      <c r="B179" s="77">
        <v>44498</v>
      </c>
      <c r="C179" s="64"/>
      <c r="D179" s="64"/>
      <c r="E179" s="64" t="s">
        <v>471</v>
      </c>
      <c r="F179" s="64" t="s">
        <v>747</v>
      </c>
      <c r="G179" s="71" t="s">
        <v>752</v>
      </c>
      <c r="H179" s="78">
        <v>0.08</v>
      </c>
      <c r="I179" s="79">
        <f>24*3</f>
        <v>72</v>
      </c>
      <c r="J179" s="94">
        <v>58</v>
      </c>
      <c r="K179" s="80">
        <f t="shared" si="21"/>
        <v>62.64</v>
      </c>
      <c r="L179" s="80"/>
      <c r="M179" s="80">
        <f t="shared" si="20"/>
        <v>4510.08</v>
      </c>
      <c r="N179" s="79"/>
      <c r="O179" s="79"/>
      <c r="P179" s="80">
        <f t="shared" si="17"/>
        <v>0</v>
      </c>
      <c r="Q179" s="80">
        <f t="shared" si="18"/>
        <v>0</v>
      </c>
      <c r="R179" s="80">
        <f t="shared" si="19"/>
        <v>0</v>
      </c>
    </row>
    <row r="180" spans="2:19" x14ac:dyDescent="0.4">
      <c r="B180" s="77">
        <v>44498</v>
      </c>
      <c r="C180" s="64"/>
      <c r="D180" s="64"/>
      <c r="E180" s="64" t="s">
        <v>471</v>
      </c>
      <c r="F180" s="64" t="s">
        <v>748</v>
      </c>
      <c r="G180" s="71" t="s">
        <v>753</v>
      </c>
      <c r="H180" s="78">
        <v>0.08</v>
      </c>
      <c r="I180" s="79">
        <f>24*3</f>
        <v>72</v>
      </c>
      <c r="J180" s="94">
        <v>56</v>
      </c>
      <c r="K180" s="80">
        <f t="shared" si="21"/>
        <v>60.480000000000004</v>
      </c>
      <c r="L180" s="80"/>
      <c r="M180" s="80">
        <f t="shared" si="20"/>
        <v>4354.5600000000004</v>
      </c>
      <c r="N180" s="79"/>
      <c r="O180" s="79"/>
      <c r="P180" s="80">
        <f t="shared" si="17"/>
        <v>0</v>
      </c>
      <c r="Q180" s="80">
        <f t="shared" si="18"/>
        <v>0</v>
      </c>
      <c r="R180" s="80">
        <f t="shared" si="19"/>
        <v>0</v>
      </c>
    </row>
    <row r="181" spans="2:19" x14ac:dyDescent="0.4">
      <c r="B181" s="77">
        <v>44498</v>
      </c>
      <c r="C181" s="64"/>
      <c r="D181" s="64"/>
      <c r="E181" s="64" t="s">
        <v>471</v>
      </c>
      <c r="F181" s="64" t="s">
        <v>749</v>
      </c>
      <c r="G181" s="71" t="s">
        <v>754</v>
      </c>
      <c r="H181" s="78">
        <v>0.08</v>
      </c>
      <c r="I181" s="79">
        <f>24*2</f>
        <v>48</v>
      </c>
      <c r="J181" s="94">
        <v>72</v>
      </c>
      <c r="K181" s="80">
        <f t="shared" si="21"/>
        <v>77.760000000000005</v>
      </c>
      <c r="L181" s="80"/>
      <c r="M181" s="80">
        <f t="shared" si="20"/>
        <v>3732.4800000000005</v>
      </c>
      <c r="N181" s="79"/>
      <c r="O181" s="79"/>
      <c r="P181" s="80">
        <f t="shared" si="17"/>
        <v>0</v>
      </c>
      <c r="Q181" s="80">
        <f t="shared" si="18"/>
        <v>0</v>
      </c>
      <c r="R181" s="80">
        <f t="shared" si="19"/>
        <v>0</v>
      </c>
    </row>
    <row r="182" spans="2:19" x14ac:dyDescent="0.4">
      <c r="B182" s="77">
        <v>44498</v>
      </c>
      <c r="C182" s="64"/>
      <c r="D182" s="64"/>
      <c r="E182" s="64" t="s">
        <v>471</v>
      </c>
      <c r="F182" s="64" t="s">
        <v>750</v>
      </c>
      <c r="G182" s="71" t="s">
        <v>755</v>
      </c>
      <c r="H182" s="78">
        <v>0.08</v>
      </c>
      <c r="I182" s="79">
        <f>30*3</f>
        <v>90</v>
      </c>
      <c r="J182" s="94">
        <v>58</v>
      </c>
      <c r="K182" s="80">
        <f t="shared" si="21"/>
        <v>62.64</v>
      </c>
      <c r="L182" s="80"/>
      <c r="M182" s="80">
        <f t="shared" si="20"/>
        <v>5637.6</v>
      </c>
      <c r="N182" s="79"/>
      <c r="O182" s="79"/>
      <c r="P182" s="80">
        <f t="shared" si="17"/>
        <v>0</v>
      </c>
      <c r="Q182" s="80">
        <f t="shared" si="18"/>
        <v>0</v>
      </c>
      <c r="R182" s="80">
        <f t="shared" si="19"/>
        <v>0</v>
      </c>
      <c r="S182" s="89">
        <f>SUM(M178:M182)</f>
        <v>20930.400000000001</v>
      </c>
    </row>
    <row r="183" spans="2:19" x14ac:dyDescent="0.4">
      <c r="B183" s="77">
        <v>44498</v>
      </c>
      <c r="C183" s="64"/>
      <c r="D183" s="64"/>
      <c r="E183" s="64" t="s">
        <v>471</v>
      </c>
      <c r="F183" s="64" t="s">
        <v>756</v>
      </c>
      <c r="G183" s="71" t="s">
        <v>768</v>
      </c>
      <c r="H183" s="78">
        <v>0.08</v>
      </c>
      <c r="I183" s="79">
        <f>1*8</f>
        <v>8</v>
      </c>
      <c r="J183" s="94">
        <v>738</v>
      </c>
      <c r="K183" s="80">
        <f t="shared" si="21"/>
        <v>797.04000000000008</v>
      </c>
      <c r="L183" s="80"/>
      <c r="M183" s="80">
        <f t="shared" si="20"/>
        <v>6376.3200000000006</v>
      </c>
      <c r="N183" s="79"/>
      <c r="O183" s="79"/>
      <c r="P183" s="80">
        <f t="shared" si="17"/>
        <v>0</v>
      </c>
      <c r="Q183" s="80">
        <f t="shared" si="18"/>
        <v>0</v>
      </c>
      <c r="R183" s="80">
        <f t="shared" si="19"/>
        <v>0</v>
      </c>
    </row>
    <row r="184" spans="2:19" x14ac:dyDescent="0.4">
      <c r="B184" s="77">
        <v>44498</v>
      </c>
      <c r="C184" s="64"/>
      <c r="D184" s="64"/>
      <c r="E184" s="64" t="s">
        <v>471</v>
      </c>
      <c r="F184" s="64" t="s">
        <v>757</v>
      </c>
      <c r="G184" s="71" t="s">
        <v>769</v>
      </c>
      <c r="H184" s="78">
        <v>0.08</v>
      </c>
      <c r="I184" s="79">
        <f>1*9</f>
        <v>9</v>
      </c>
      <c r="J184" s="94">
        <v>778</v>
      </c>
      <c r="K184" s="80">
        <f>J184*110%</f>
        <v>855.80000000000007</v>
      </c>
      <c r="L184" s="80"/>
      <c r="M184" s="80">
        <f t="shared" si="20"/>
        <v>7702.2000000000007</v>
      </c>
      <c r="N184" s="79"/>
      <c r="O184" s="79"/>
      <c r="P184" s="80">
        <f t="shared" si="17"/>
        <v>0</v>
      </c>
      <c r="Q184" s="80">
        <f t="shared" si="18"/>
        <v>0</v>
      </c>
      <c r="R184" s="80">
        <f t="shared" si="19"/>
        <v>0</v>
      </c>
    </row>
    <row r="185" spans="2:19" x14ac:dyDescent="0.4">
      <c r="B185" s="77">
        <v>44498</v>
      </c>
      <c r="C185" s="64"/>
      <c r="D185" s="64"/>
      <c r="E185" s="64" t="s">
        <v>471</v>
      </c>
      <c r="F185" s="64" t="s">
        <v>758</v>
      </c>
      <c r="G185" s="71" t="s">
        <v>770</v>
      </c>
      <c r="H185" s="78">
        <v>0.1</v>
      </c>
      <c r="I185" s="79">
        <f>50*4</f>
        <v>200</v>
      </c>
      <c r="J185" s="94">
        <v>24</v>
      </c>
      <c r="K185" s="80">
        <f>J185*110%</f>
        <v>26.400000000000002</v>
      </c>
      <c r="L185" s="80"/>
      <c r="M185" s="80">
        <f t="shared" si="20"/>
        <v>5280</v>
      </c>
      <c r="N185" s="79"/>
      <c r="O185" s="79"/>
      <c r="P185" s="80">
        <f t="shared" si="17"/>
        <v>0</v>
      </c>
      <c r="Q185" s="80">
        <f t="shared" si="18"/>
        <v>0</v>
      </c>
      <c r="R185" s="80">
        <f t="shared" si="19"/>
        <v>0</v>
      </c>
    </row>
    <row r="186" spans="2:19" x14ac:dyDescent="0.4">
      <c r="B186" s="77">
        <v>44498</v>
      </c>
      <c r="C186" s="64"/>
      <c r="D186" s="64"/>
      <c r="E186" s="64" t="s">
        <v>471</v>
      </c>
      <c r="F186" s="64" t="s">
        <v>759</v>
      </c>
      <c r="G186" s="71" t="s">
        <v>771</v>
      </c>
      <c r="H186" s="78">
        <v>0.1</v>
      </c>
      <c r="I186" s="79">
        <f>20*4</f>
        <v>80</v>
      </c>
      <c r="J186" s="94">
        <v>55</v>
      </c>
      <c r="K186" s="80">
        <f>J186*110%</f>
        <v>60.500000000000007</v>
      </c>
      <c r="L186" s="80"/>
      <c r="M186" s="80">
        <f t="shared" si="20"/>
        <v>4840.0000000000009</v>
      </c>
      <c r="N186" s="79"/>
      <c r="O186" s="79"/>
      <c r="P186" s="80">
        <f t="shared" si="17"/>
        <v>0</v>
      </c>
      <c r="Q186" s="80">
        <f t="shared" si="18"/>
        <v>0</v>
      </c>
      <c r="R186" s="80">
        <f t="shared" si="19"/>
        <v>0</v>
      </c>
    </row>
    <row r="187" spans="2:19" x14ac:dyDescent="0.4">
      <c r="B187" s="77">
        <v>44498</v>
      </c>
      <c r="C187" s="64"/>
      <c r="D187" s="64"/>
      <c r="E187" s="64" t="s">
        <v>471</v>
      </c>
      <c r="F187" s="64" t="s">
        <v>760</v>
      </c>
      <c r="G187" s="71" t="s">
        <v>772</v>
      </c>
      <c r="H187" s="78">
        <v>0.08</v>
      </c>
      <c r="I187" s="79">
        <f>6*1</f>
        <v>6</v>
      </c>
      <c r="J187" s="94">
        <v>508</v>
      </c>
      <c r="K187" s="80">
        <f t="shared" si="21"/>
        <v>548.64</v>
      </c>
      <c r="L187" s="80"/>
      <c r="M187" s="80">
        <f t="shared" si="20"/>
        <v>3291.84</v>
      </c>
      <c r="N187" s="79"/>
      <c r="O187" s="79"/>
      <c r="P187" s="80">
        <f t="shared" si="17"/>
        <v>0</v>
      </c>
      <c r="Q187" s="80">
        <f t="shared" si="18"/>
        <v>0</v>
      </c>
      <c r="R187" s="80">
        <f t="shared" si="19"/>
        <v>0</v>
      </c>
    </row>
    <row r="188" spans="2:19" x14ac:dyDescent="0.4">
      <c r="B188" s="77">
        <v>44498</v>
      </c>
      <c r="C188" s="64"/>
      <c r="D188" s="64"/>
      <c r="E188" s="64" t="s">
        <v>471</v>
      </c>
      <c r="F188" s="64" t="s">
        <v>761</v>
      </c>
      <c r="G188" s="71" t="s">
        <v>773</v>
      </c>
      <c r="H188" s="78">
        <v>0.08</v>
      </c>
      <c r="I188" s="79">
        <f>6*1</f>
        <v>6</v>
      </c>
      <c r="J188" s="94">
        <v>532</v>
      </c>
      <c r="K188" s="80">
        <f t="shared" si="21"/>
        <v>574.56000000000006</v>
      </c>
      <c r="L188" s="80"/>
      <c r="M188" s="80">
        <f t="shared" si="20"/>
        <v>3447.3600000000006</v>
      </c>
      <c r="N188" s="79"/>
      <c r="O188" s="79"/>
      <c r="P188" s="80">
        <f t="shared" si="17"/>
        <v>0</v>
      </c>
      <c r="Q188" s="80">
        <f t="shared" si="18"/>
        <v>0</v>
      </c>
      <c r="R188" s="80">
        <f t="shared" si="19"/>
        <v>0</v>
      </c>
    </row>
    <row r="189" spans="2:19" x14ac:dyDescent="0.4">
      <c r="B189" s="77">
        <v>44498</v>
      </c>
      <c r="C189" s="64"/>
      <c r="D189" s="64"/>
      <c r="E189" s="64" t="s">
        <v>471</v>
      </c>
      <c r="F189" s="64" t="s">
        <v>762</v>
      </c>
      <c r="G189" s="71" t="s">
        <v>774</v>
      </c>
      <c r="H189" s="78">
        <v>0.08</v>
      </c>
      <c r="I189" s="79">
        <f>6*1</f>
        <v>6</v>
      </c>
      <c r="J189" s="94">
        <v>539</v>
      </c>
      <c r="K189" s="80">
        <f t="shared" si="21"/>
        <v>582.12</v>
      </c>
      <c r="L189" s="80"/>
      <c r="M189" s="80">
        <f t="shared" si="20"/>
        <v>3492.7200000000003</v>
      </c>
      <c r="N189" s="79"/>
      <c r="O189" s="79"/>
      <c r="P189" s="80">
        <f t="shared" si="17"/>
        <v>0</v>
      </c>
      <c r="Q189" s="80">
        <f t="shared" si="18"/>
        <v>0</v>
      </c>
      <c r="R189" s="80">
        <f t="shared" si="19"/>
        <v>0</v>
      </c>
    </row>
    <row r="190" spans="2:19" x14ac:dyDescent="0.4">
      <c r="B190" s="77">
        <v>44498</v>
      </c>
      <c r="C190" s="64"/>
      <c r="D190" s="64"/>
      <c r="E190" s="64" t="s">
        <v>471</v>
      </c>
      <c r="F190" s="64" t="s">
        <v>763</v>
      </c>
      <c r="G190" s="71" t="s">
        <v>775</v>
      </c>
      <c r="H190" s="78">
        <v>0.08</v>
      </c>
      <c r="I190" s="79">
        <f>6*3</f>
        <v>18</v>
      </c>
      <c r="J190" s="94">
        <v>135</v>
      </c>
      <c r="K190" s="80">
        <f t="shared" si="21"/>
        <v>145.80000000000001</v>
      </c>
      <c r="L190" s="80"/>
      <c r="M190" s="80">
        <f t="shared" si="20"/>
        <v>2624.4</v>
      </c>
      <c r="N190" s="79"/>
      <c r="O190" s="79"/>
      <c r="P190" s="80">
        <f t="shared" si="17"/>
        <v>0</v>
      </c>
      <c r="Q190" s="80">
        <f t="shared" si="18"/>
        <v>0</v>
      </c>
      <c r="R190" s="80">
        <f t="shared" si="19"/>
        <v>0</v>
      </c>
    </row>
    <row r="191" spans="2:19" x14ac:dyDescent="0.4">
      <c r="B191" s="77">
        <v>44498</v>
      </c>
      <c r="C191" s="64"/>
      <c r="D191" s="64"/>
      <c r="E191" s="64" t="s">
        <v>471</v>
      </c>
      <c r="F191" s="64" t="s">
        <v>764</v>
      </c>
      <c r="G191" s="71" t="s">
        <v>776</v>
      </c>
      <c r="H191" s="78">
        <v>0.1</v>
      </c>
      <c r="I191" s="79">
        <f>20*4</f>
        <v>80</v>
      </c>
      <c r="J191" s="94">
        <v>69</v>
      </c>
      <c r="K191" s="80">
        <f>J191*110%</f>
        <v>75.900000000000006</v>
      </c>
      <c r="L191" s="80"/>
      <c r="M191" s="80">
        <f t="shared" si="20"/>
        <v>6072</v>
      </c>
      <c r="N191" s="79"/>
      <c r="O191" s="79"/>
      <c r="P191" s="80">
        <f t="shared" si="17"/>
        <v>0</v>
      </c>
      <c r="Q191" s="80">
        <f t="shared" si="18"/>
        <v>0</v>
      </c>
      <c r="R191" s="80">
        <f t="shared" si="19"/>
        <v>0</v>
      </c>
    </row>
    <row r="192" spans="2:19" x14ac:dyDescent="0.4">
      <c r="B192" s="77">
        <v>44498</v>
      </c>
      <c r="C192" s="64"/>
      <c r="D192" s="64"/>
      <c r="E192" s="64" t="s">
        <v>471</v>
      </c>
      <c r="F192" s="64" t="s">
        <v>765</v>
      </c>
      <c r="G192" s="71" t="s">
        <v>777</v>
      </c>
      <c r="H192" s="78">
        <v>0.08</v>
      </c>
      <c r="I192" s="79">
        <f>10*6</f>
        <v>60</v>
      </c>
      <c r="J192" s="94">
        <v>68</v>
      </c>
      <c r="K192" s="80">
        <f t="shared" si="21"/>
        <v>73.44</v>
      </c>
      <c r="L192" s="80"/>
      <c r="M192" s="80">
        <f t="shared" si="20"/>
        <v>4406.3999999999996</v>
      </c>
      <c r="N192" s="79"/>
      <c r="O192" s="79"/>
      <c r="P192" s="80">
        <f t="shared" si="17"/>
        <v>0</v>
      </c>
      <c r="Q192" s="80">
        <f t="shared" si="18"/>
        <v>0</v>
      </c>
      <c r="R192" s="80">
        <f t="shared" si="19"/>
        <v>0</v>
      </c>
    </row>
    <row r="193" spans="2:19" x14ac:dyDescent="0.4">
      <c r="B193" s="77">
        <v>44498</v>
      </c>
      <c r="C193" s="64"/>
      <c r="D193" s="64"/>
      <c r="E193" s="64" t="s">
        <v>471</v>
      </c>
      <c r="F193" s="64" t="s">
        <v>766</v>
      </c>
      <c r="G193" s="71" t="s">
        <v>778</v>
      </c>
      <c r="H193" s="78">
        <v>0.08</v>
      </c>
      <c r="I193" s="79">
        <f>6*3</f>
        <v>18</v>
      </c>
      <c r="J193" s="94">
        <v>84</v>
      </c>
      <c r="K193" s="80">
        <f t="shared" si="21"/>
        <v>90.72</v>
      </c>
      <c r="L193" s="80"/>
      <c r="M193" s="80">
        <f t="shared" si="20"/>
        <v>1632.96</v>
      </c>
      <c r="N193" s="79"/>
      <c r="O193" s="79"/>
      <c r="P193" s="80">
        <f t="shared" si="17"/>
        <v>0</v>
      </c>
      <c r="Q193" s="80">
        <f t="shared" si="18"/>
        <v>0</v>
      </c>
      <c r="R193" s="80">
        <f t="shared" si="19"/>
        <v>0</v>
      </c>
    </row>
    <row r="194" spans="2:19" x14ac:dyDescent="0.4">
      <c r="B194" s="77">
        <v>44498</v>
      </c>
      <c r="C194" s="64"/>
      <c r="D194" s="64"/>
      <c r="E194" s="64" t="s">
        <v>471</v>
      </c>
      <c r="F194" s="64" t="s">
        <v>797</v>
      </c>
      <c r="G194" s="71" t="s">
        <v>779</v>
      </c>
      <c r="H194" s="78">
        <v>0.1</v>
      </c>
      <c r="I194" s="79">
        <f>20*4</f>
        <v>80</v>
      </c>
      <c r="J194" s="94">
        <v>66</v>
      </c>
      <c r="K194" s="80">
        <f>J194*110%</f>
        <v>72.600000000000009</v>
      </c>
      <c r="L194" s="80"/>
      <c r="M194" s="80">
        <f t="shared" si="20"/>
        <v>5808.0000000000009</v>
      </c>
      <c r="N194" s="79"/>
      <c r="O194" s="79"/>
      <c r="P194" s="80">
        <f t="shared" si="17"/>
        <v>0</v>
      </c>
      <c r="Q194" s="80">
        <f t="shared" si="18"/>
        <v>0</v>
      </c>
      <c r="R194" s="80">
        <f t="shared" si="19"/>
        <v>0</v>
      </c>
      <c r="S194" s="98"/>
    </row>
    <row r="195" spans="2:19" x14ac:dyDescent="0.4">
      <c r="B195" s="77">
        <v>44498</v>
      </c>
      <c r="C195" s="64"/>
      <c r="D195" s="64"/>
      <c r="E195" s="64" t="s">
        <v>471</v>
      </c>
      <c r="F195" s="64" t="s">
        <v>767</v>
      </c>
      <c r="G195" s="71" t="s">
        <v>780</v>
      </c>
      <c r="H195" s="78">
        <v>0.08</v>
      </c>
      <c r="I195" s="79">
        <f>80*1</f>
        <v>80</v>
      </c>
      <c r="J195" s="94">
        <v>68</v>
      </c>
      <c r="K195" s="80">
        <f t="shared" si="21"/>
        <v>73.44</v>
      </c>
      <c r="L195" s="80"/>
      <c r="M195" s="80">
        <f t="shared" si="20"/>
        <v>5875.2</v>
      </c>
      <c r="N195" s="79"/>
      <c r="O195" s="79"/>
      <c r="P195" s="80">
        <f t="shared" si="17"/>
        <v>0</v>
      </c>
      <c r="Q195" s="80">
        <f t="shared" si="18"/>
        <v>0</v>
      </c>
      <c r="R195" s="80">
        <f t="shared" si="19"/>
        <v>0</v>
      </c>
      <c r="S195" s="97">
        <f>SUM(M183:M195)</f>
        <v>60849.4</v>
      </c>
    </row>
    <row r="196" spans="2:19" x14ac:dyDescent="0.4">
      <c r="B196" s="77">
        <v>44498</v>
      </c>
      <c r="C196" s="64"/>
      <c r="D196" s="64"/>
      <c r="E196" s="64" t="s">
        <v>471</v>
      </c>
      <c r="F196" s="64" t="s">
        <v>781</v>
      </c>
      <c r="G196" s="71" t="s">
        <v>789</v>
      </c>
      <c r="H196" s="78">
        <v>0.08</v>
      </c>
      <c r="I196" s="79">
        <f>24*2</f>
        <v>48</v>
      </c>
      <c r="J196" s="94">
        <v>72</v>
      </c>
      <c r="K196" s="80">
        <f t="shared" si="21"/>
        <v>77.760000000000005</v>
      </c>
      <c r="L196" s="80"/>
      <c r="M196" s="80">
        <f t="shared" si="20"/>
        <v>3732.4800000000005</v>
      </c>
      <c r="N196" s="79"/>
      <c r="O196" s="79"/>
      <c r="P196" s="80">
        <f t="shared" si="17"/>
        <v>0</v>
      </c>
      <c r="Q196" s="80">
        <f t="shared" si="18"/>
        <v>0</v>
      </c>
      <c r="R196" s="80">
        <f t="shared" si="19"/>
        <v>0</v>
      </c>
    </row>
    <row r="197" spans="2:19" x14ac:dyDescent="0.4">
      <c r="B197" s="77">
        <v>44498</v>
      </c>
      <c r="C197" s="64"/>
      <c r="D197" s="64"/>
      <c r="E197" s="64" t="s">
        <v>471</v>
      </c>
      <c r="F197" s="64" t="s">
        <v>782</v>
      </c>
      <c r="G197" s="71" t="s">
        <v>790</v>
      </c>
      <c r="H197" s="78">
        <v>0.08</v>
      </c>
      <c r="I197" s="79">
        <f>24*1</f>
        <v>24</v>
      </c>
      <c r="J197" s="94">
        <v>49</v>
      </c>
      <c r="K197" s="80">
        <f t="shared" si="21"/>
        <v>52.92</v>
      </c>
      <c r="L197" s="80"/>
      <c r="M197" s="80">
        <f t="shared" si="20"/>
        <v>1270.08</v>
      </c>
      <c r="N197" s="79"/>
      <c r="O197" s="79"/>
      <c r="P197" s="80">
        <f t="shared" si="17"/>
        <v>0</v>
      </c>
      <c r="Q197" s="80">
        <f t="shared" si="18"/>
        <v>0</v>
      </c>
      <c r="R197" s="80">
        <f t="shared" si="19"/>
        <v>0</v>
      </c>
    </row>
    <row r="198" spans="2:19" x14ac:dyDescent="0.4">
      <c r="B198" s="77">
        <v>44498</v>
      </c>
      <c r="C198" s="64"/>
      <c r="D198" s="64"/>
      <c r="E198" s="64" t="s">
        <v>471</v>
      </c>
      <c r="F198" s="64" t="s">
        <v>783</v>
      </c>
      <c r="G198" s="71" t="s">
        <v>791</v>
      </c>
      <c r="H198" s="78">
        <v>0.08</v>
      </c>
      <c r="I198" s="79">
        <f>24*1</f>
        <v>24</v>
      </c>
      <c r="J198" s="94">
        <v>72</v>
      </c>
      <c r="K198" s="80">
        <f t="shared" si="21"/>
        <v>77.760000000000005</v>
      </c>
      <c r="L198" s="80"/>
      <c r="M198" s="80">
        <f t="shared" si="20"/>
        <v>1866.2400000000002</v>
      </c>
      <c r="N198" s="79"/>
      <c r="O198" s="79"/>
      <c r="P198" s="80">
        <f t="shared" ref="P198:P390" si="23">IFERROR(O198*J198,"")</f>
        <v>0</v>
      </c>
      <c r="Q198" s="80">
        <f t="shared" ref="Q198:Q390" si="24">IFERROR(P198*O198,"")</f>
        <v>0</v>
      </c>
      <c r="R198" s="80">
        <f t="shared" ref="R198:R390" si="25">IFERROR(Q198-P198,"")</f>
        <v>0</v>
      </c>
    </row>
    <row r="199" spans="2:19" x14ac:dyDescent="0.4">
      <c r="B199" s="77">
        <v>44498</v>
      </c>
      <c r="C199" s="64"/>
      <c r="D199" s="64"/>
      <c r="E199" s="64" t="s">
        <v>471</v>
      </c>
      <c r="F199" s="64" t="s">
        <v>784</v>
      </c>
      <c r="G199" s="71" t="s">
        <v>792</v>
      </c>
      <c r="H199" s="78">
        <v>0.08</v>
      </c>
      <c r="I199" s="79">
        <f>30*2</f>
        <v>60</v>
      </c>
      <c r="J199" s="94">
        <v>72</v>
      </c>
      <c r="K199" s="80">
        <f t="shared" si="21"/>
        <v>77.760000000000005</v>
      </c>
      <c r="L199" s="80"/>
      <c r="M199" s="80">
        <f t="shared" si="20"/>
        <v>4665.6000000000004</v>
      </c>
      <c r="N199" s="79"/>
      <c r="O199" s="79"/>
      <c r="P199" s="80">
        <f t="shared" si="23"/>
        <v>0</v>
      </c>
      <c r="Q199" s="80">
        <f t="shared" si="24"/>
        <v>0</v>
      </c>
      <c r="R199" s="80">
        <f t="shared" si="25"/>
        <v>0</v>
      </c>
    </row>
    <row r="200" spans="2:19" x14ac:dyDescent="0.4">
      <c r="B200" s="77">
        <v>44498</v>
      </c>
      <c r="C200" s="64"/>
      <c r="D200" s="64"/>
      <c r="E200" s="64" t="s">
        <v>471</v>
      </c>
      <c r="F200" s="64" t="s">
        <v>785</v>
      </c>
      <c r="G200" s="71" t="s">
        <v>793</v>
      </c>
      <c r="H200" s="78">
        <v>0.08</v>
      </c>
      <c r="I200" s="79">
        <f>24*2</f>
        <v>48</v>
      </c>
      <c r="J200" s="94">
        <v>82</v>
      </c>
      <c r="K200" s="80">
        <f t="shared" si="21"/>
        <v>88.56</v>
      </c>
      <c r="L200" s="80"/>
      <c r="M200" s="80">
        <f t="shared" si="20"/>
        <v>4250.88</v>
      </c>
      <c r="N200" s="79"/>
      <c r="O200" s="79"/>
      <c r="P200" s="80">
        <f t="shared" si="23"/>
        <v>0</v>
      </c>
      <c r="Q200" s="80">
        <f t="shared" si="24"/>
        <v>0</v>
      </c>
      <c r="R200" s="80">
        <f t="shared" si="25"/>
        <v>0</v>
      </c>
    </row>
    <row r="201" spans="2:19" x14ac:dyDescent="0.4">
      <c r="B201" s="77">
        <v>44498</v>
      </c>
      <c r="C201" s="64"/>
      <c r="D201" s="64"/>
      <c r="E201" s="64" t="s">
        <v>471</v>
      </c>
      <c r="F201" s="64" t="s">
        <v>786</v>
      </c>
      <c r="G201" s="71" t="s">
        <v>794</v>
      </c>
      <c r="H201" s="78">
        <v>0.08</v>
      </c>
      <c r="I201" s="79">
        <f>24*2</f>
        <v>48</v>
      </c>
      <c r="J201" s="94">
        <v>59</v>
      </c>
      <c r="K201" s="80">
        <f t="shared" si="21"/>
        <v>63.720000000000006</v>
      </c>
      <c r="L201" s="80"/>
      <c r="M201" s="80">
        <f t="shared" si="20"/>
        <v>3058.5600000000004</v>
      </c>
      <c r="N201" s="79"/>
      <c r="O201" s="79"/>
      <c r="P201" s="80">
        <f t="shared" si="23"/>
        <v>0</v>
      </c>
      <c r="Q201" s="80">
        <f t="shared" si="24"/>
        <v>0</v>
      </c>
      <c r="R201" s="80">
        <f t="shared" si="25"/>
        <v>0</v>
      </c>
    </row>
    <row r="202" spans="2:19" x14ac:dyDescent="0.4">
      <c r="B202" s="77">
        <v>44498</v>
      </c>
      <c r="C202" s="64"/>
      <c r="D202" s="64"/>
      <c r="E202" s="64" t="s">
        <v>471</v>
      </c>
      <c r="F202" s="64" t="s">
        <v>787</v>
      </c>
      <c r="G202" s="71" t="s">
        <v>795</v>
      </c>
      <c r="H202" s="78">
        <v>0.08</v>
      </c>
      <c r="I202" s="79">
        <f>15*1</f>
        <v>15</v>
      </c>
      <c r="J202" s="94">
        <v>159</v>
      </c>
      <c r="K202" s="80">
        <f t="shared" si="21"/>
        <v>171.72</v>
      </c>
      <c r="L202" s="80"/>
      <c r="M202" s="80">
        <f t="shared" si="20"/>
        <v>2575.8000000000002</v>
      </c>
      <c r="N202" s="79"/>
      <c r="O202" s="79"/>
      <c r="P202" s="80">
        <f t="shared" si="23"/>
        <v>0</v>
      </c>
      <c r="Q202" s="80">
        <f t="shared" si="24"/>
        <v>0</v>
      </c>
      <c r="R202" s="80">
        <f t="shared" si="25"/>
        <v>0</v>
      </c>
    </row>
    <row r="203" spans="2:19" x14ac:dyDescent="0.4">
      <c r="B203" s="77">
        <v>44498</v>
      </c>
      <c r="C203" s="64"/>
      <c r="D203" s="64"/>
      <c r="E203" s="64" t="s">
        <v>471</v>
      </c>
      <c r="F203" s="64" t="s">
        <v>788</v>
      </c>
      <c r="G203" s="71" t="s">
        <v>796</v>
      </c>
      <c r="H203" s="78">
        <v>0.08</v>
      </c>
      <c r="I203" s="79">
        <f>15*1</f>
        <v>15</v>
      </c>
      <c r="J203" s="94">
        <v>159</v>
      </c>
      <c r="K203" s="80">
        <f t="shared" si="21"/>
        <v>171.72</v>
      </c>
      <c r="L203" s="80"/>
      <c r="M203" s="80">
        <f t="shared" ref="M203:M337" si="26">K203*I203</f>
        <v>2575.8000000000002</v>
      </c>
      <c r="N203" s="79"/>
      <c r="O203" s="79"/>
      <c r="P203" s="80">
        <f t="shared" si="23"/>
        <v>0</v>
      </c>
      <c r="Q203" s="80">
        <f t="shared" si="24"/>
        <v>0</v>
      </c>
      <c r="R203" s="80">
        <f t="shared" si="25"/>
        <v>0</v>
      </c>
      <c r="S203" s="89">
        <f>SUM(M196:M203)</f>
        <v>23995.440000000002</v>
      </c>
    </row>
    <row r="204" spans="2:19" x14ac:dyDescent="0.4">
      <c r="B204" s="77">
        <v>44498</v>
      </c>
      <c r="C204" s="64"/>
      <c r="D204" s="64"/>
      <c r="E204" s="64" t="s">
        <v>471</v>
      </c>
      <c r="F204" s="64" t="s">
        <v>798</v>
      </c>
      <c r="G204" s="71" t="s">
        <v>802</v>
      </c>
      <c r="H204" s="78">
        <v>0.1</v>
      </c>
      <c r="I204" s="79">
        <f>1*7</f>
        <v>7</v>
      </c>
      <c r="J204" s="94">
        <v>224</v>
      </c>
      <c r="K204" s="80">
        <f>J204*110%</f>
        <v>246.40000000000003</v>
      </c>
      <c r="L204" s="80"/>
      <c r="M204" s="80">
        <f t="shared" si="26"/>
        <v>1724.8000000000002</v>
      </c>
      <c r="N204" s="79"/>
      <c r="O204" s="79"/>
      <c r="P204" s="80">
        <f t="shared" si="23"/>
        <v>0</v>
      </c>
      <c r="Q204" s="80">
        <f t="shared" si="24"/>
        <v>0</v>
      </c>
      <c r="R204" s="80">
        <f t="shared" si="25"/>
        <v>0</v>
      </c>
    </row>
    <row r="205" spans="2:19" x14ac:dyDescent="0.4">
      <c r="B205" s="77">
        <v>44498</v>
      </c>
      <c r="C205" s="64"/>
      <c r="D205" s="64"/>
      <c r="E205" s="64" t="s">
        <v>471</v>
      </c>
      <c r="F205" s="64" t="s">
        <v>799</v>
      </c>
      <c r="G205" s="71" t="s">
        <v>803</v>
      </c>
      <c r="H205" s="78">
        <v>0.1</v>
      </c>
      <c r="I205" s="79">
        <f>1*18</f>
        <v>18</v>
      </c>
      <c r="J205" s="94">
        <v>224</v>
      </c>
      <c r="K205" s="80">
        <f t="shared" ref="K205:K248" si="27">J205*110%</f>
        <v>246.40000000000003</v>
      </c>
      <c r="L205" s="80"/>
      <c r="M205" s="80">
        <f t="shared" si="26"/>
        <v>4435.2000000000007</v>
      </c>
      <c r="N205" s="79"/>
      <c r="O205" s="79"/>
      <c r="P205" s="80">
        <f t="shared" si="23"/>
        <v>0</v>
      </c>
      <c r="Q205" s="80">
        <f t="shared" si="24"/>
        <v>0</v>
      </c>
      <c r="R205" s="80">
        <f t="shared" si="25"/>
        <v>0</v>
      </c>
    </row>
    <row r="206" spans="2:19" x14ac:dyDescent="0.4">
      <c r="B206" s="77">
        <v>44498</v>
      </c>
      <c r="C206" s="64"/>
      <c r="D206" s="64"/>
      <c r="E206" s="64" t="s">
        <v>471</v>
      </c>
      <c r="F206" s="64" t="s">
        <v>800</v>
      </c>
      <c r="G206" s="71" t="s">
        <v>804</v>
      </c>
      <c r="H206" s="78">
        <v>0.1</v>
      </c>
      <c r="I206" s="79">
        <f>1*11</f>
        <v>11</v>
      </c>
      <c r="J206" s="94">
        <v>240</v>
      </c>
      <c r="K206" s="80">
        <f t="shared" si="27"/>
        <v>264</v>
      </c>
      <c r="L206" s="80"/>
      <c r="M206" s="80">
        <f t="shared" si="26"/>
        <v>2904</v>
      </c>
      <c r="N206" s="79"/>
      <c r="O206" s="79"/>
      <c r="P206" s="80">
        <f t="shared" si="23"/>
        <v>0</v>
      </c>
      <c r="Q206" s="80">
        <f t="shared" si="24"/>
        <v>0</v>
      </c>
      <c r="R206" s="80">
        <f t="shared" si="25"/>
        <v>0</v>
      </c>
    </row>
    <row r="207" spans="2:19" ht="15.6" customHeight="1" x14ac:dyDescent="0.4">
      <c r="B207" s="77">
        <v>44498</v>
      </c>
      <c r="C207" s="64"/>
      <c r="D207" s="64"/>
      <c r="E207" s="64" t="s">
        <v>471</v>
      </c>
      <c r="F207" s="64" t="s">
        <v>801</v>
      </c>
      <c r="G207" s="71" t="s">
        <v>805</v>
      </c>
      <c r="H207" s="78">
        <v>0.1</v>
      </c>
      <c r="I207" s="79">
        <f>12*1</f>
        <v>12</v>
      </c>
      <c r="J207" s="94">
        <v>376</v>
      </c>
      <c r="K207" s="80">
        <f t="shared" si="27"/>
        <v>413.6</v>
      </c>
      <c r="L207" s="80"/>
      <c r="M207" s="80">
        <f t="shared" si="26"/>
        <v>4963.2000000000007</v>
      </c>
      <c r="N207" s="79"/>
      <c r="O207" s="79"/>
      <c r="P207" s="80">
        <f t="shared" si="23"/>
        <v>0</v>
      </c>
      <c r="Q207" s="80">
        <f t="shared" si="24"/>
        <v>0</v>
      </c>
      <c r="R207" s="80">
        <f t="shared" si="25"/>
        <v>0</v>
      </c>
      <c r="S207" s="89">
        <f>SUM(M204:M207)</f>
        <v>14027.2</v>
      </c>
    </row>
    <row r="208" spans="2:19" ht="15.6" customHeight="1" x14ac:dyDescent="0.4">
      <c r="B208" s="77"/>
      <c r="C208" s="64"/>
      <c r="D208" s="64"/>
      <c r="E208" s="64"/>
      <c r="F208" s="64"/>
      <c r="G208" s="71"/>
      <c r="H208" s="78"/>
      <c r="I208" s="79"/>
      <c r="J208" s="94"/>
      <c r="K208" s="80"/>
      <c r="L208" s="80"/>
      <c r="M208" s="80"/>
      <c r="N208" s="79"/>
      <c r="O208" s="79"/>
      <c r="P208" s="80"/>
      <c r="Q208" s="80"/>
      <c r="R208" s="80"/>
      <c r="S208" s="89"/>
    </row>
    <row r="209" spans="2:19" ht="15.6" customHeight="1" x14ac:dyDescent="0.4">
      <c r="B209" s="77">
        <v>44498</v>
      </c>
      <c r="C209" s="64"/>
      <c r="D209" s="64"/>
      <c r="E209" s="64" t="s">
        <v>1164</v>
      </c>
      <c r="F209" s="64" t="s">
        <v>1156</v>
      </c>
      <c r="G209" s="71" t="s">
        <v>1163</v>
      </c>
      <c r="H209" s="78">
        <v>0.1</v>
      </c>
      <c r="I209" s="79">
        <v>15</v>
      </c>
      <c r="J209" s="94">
        <v>700</v>
      </c>
      <c r="K209" s="80">
        <f t="shared" si="27"/>
        <v>770.00000000000011</v>
      </c>
      <c r="L209" s="80"/>
      <c r="M209" s="80">
        <f t="shared" si="26"/>
        <v>11550.000000000002</v>
      </c>
      <c r="N209" s="79"/>
      <c r="O209" s="79"/>
      <c r="P209" s="80"/>
      <c r="Q209" s="80"/>
      <c r="R209" s="80"/>
      <c r="S209" s="89"/>
    </row>
    <row r="210" spans="2:19" ht="15.6" customHeight="1" x14ac:dyDescent="0.4">
      <c r="B210" s="77">
        <v>44498</v>
      </c>
      <c r="C210" s="64"/>
      <c r="D210" s="64"/>
      <c r="E210" s="64" t="s">
        <v>1164</v>
      </c>
      <c r="F210" s="64" t="s">
        <v>1157</v>
      </c>
      <c r="G210" s="71" t="s">
        <v>1168</v>
      </c>
      <c r="H210" s="78">
        <v>0.1</v>
      </c>
      <c r="I210" s="79">
        <v>12</v>
      </c>
      <c r="J210" s="94">
        <v>390</v>
      </c>
      <c r="K210" s="80">
        <f t="shared" si="27"/>
        <v>429.00000000000006</v>
      </c>
      <c r="L210" s="80"/>
      <c r="M210" s="80">
        <f t="shared" si="26"/>
        <v>5148.0000000000009</v>
      </c>
      <c r="N210" s="79"/>
      <c r="O210" s="79"/>
      <c r="P210" s="80"/>
      <c r="Q210" s="80"/>
      <c r="R210" s="80"/>
      <c r="S210" s="89"/>
    </row>
    <row r="211" spans="2:19" ht="15.6" customHeight="1" x14ac:dyDescent="0.4">
      <c r="B211" s="77">
        <v>44498</v>
      </c>
      <c r="C211" s="64"/>
      <c r="D211" s="64"/>
      <c r="E211" s="64" t="s">
        <v>1164</v>
      </c>
      <c r="F211" s="64" t="s">
        <v>1158</v>
      </c>
      <c r="G211" s="71" t="s">
        <v>1169</v>
      </c>
      <c r="H211" s="78">
        <v>0.1</v>
      </c>
      <c r="I211" s="79">
        <v>19</v>
      </c>
      <c r="J211" s="94">
        <v>390</v>
      </c>
      <c r="K211" s="80">
        <f t="shared" si="27"/>
        <v>429.00000000000006</v>
      </c>
      <c r="L211" s="80"/>
      <c r="M211" s="80">
        <f t="shared" si="26"/>
        <v>8151.0000000000009</v>
      </c>
      <c r="N211" s="79"/>
      <c r="O211" s="79"/>
      <c r="P211" s="80"/>
      <c r="Q211" s="80"/>
      <c r="R211" s="80"/>
      <c r="S211" s="89"/>
    </row>
    <row r="212" spans="2:19" ht="15.6" customHeight="1" x14ac:dyDescent="0.4">
      <c r="B212" s="77">
        <v>44498</v>
      </c>
      <c r="C212" s="64"/>
      <c r="D212" s="64"/>
      <c r="E212" s="64" t="s">
        <v>1164</v>
      </c>
      <c r="F212" s="64" t="s">
        <v>1159</v>
      </c>
      <c r="G212" s="71" t="s">
        <v>1170</v>
      </c>
      <c r="H212" s="78">
        <v>0.1</v>
      </c>
      <c r="I212" s="79">
        <v>23</v>
      </c>
      <c r="J212" s="94">
        <v>390</v>
      </c>
      <c r="K212" s="80">
        <f t="shared" si="27"/>
        <v>429.00000000000006</v>
      </c>
      <c r="L212" s="80"/>
      <c r="M212" s="80">
        <f t="shared" si="26"/>
        <v>9867.0000000000018</v>
      </c>
      <c r="N212" s="79"/>
      <c r="O212" s="79"/>
      <c r="P212" s="80"/>
      <c r="Q212" s="80"/>
      <c r="R212" s="80"/>
      <c r="S212" s="89"/>
    </row>
    <row r="213" spans="2:19" ht="15.6" customHeight="1" x14ac:dyDescent="0.4">
      <c r="B213" s="77">
        <v>44498</v>
      </c>
      <c r="C213" s="64"/>
      <c r="D213" s="64"/>
      <c r="E213" s="64" t="s">
        <v>1164</v>
      </c>
      <c r="F213" s="64" t="s">
        <v>1160</v>
      </c>
      <c r="G213" s="71" t="s">
        <v>1171</v>
      </c>
      <c r="H213" s="78">
        <v>0.1</v>
      </c>
      <c r="I213" s="79">
        <v>11</v>
      </c>
      <c r="J213" s="94">
        <v>390</v>
      </c>
      <c r="K213" s="80">
        <f t="shared" si="27"/>
        <v>429.00000000000006</v>
      </c>
      <c r="L213" s="80"/>
      <c r="M213" s="80">
        <f t="shared" si="26"/>
        <v>4719.0000000000009</v>
      </c>
      <c r="N213" s="79"/>
      <c r="O213" s="79"/>
      <c r="P213" s="80"/>
      <c r="Q213" s="80"/>
      <c r="R213" s="80"/>
      <c r="S213" s="89"/>
    </row>
    <row r="214" spans="2:19" ht="15.6" customHeight="1" x14ac:dyDescent="0.4">
      <c r="B214" s="77">
        <v>44498</v>
      </c>
      <c r="C214" s="64"/>
      <c r="D214" s="64"/>
      <c r="E214" s="64" t="s">
        <v>1164</v>
      </c>
      <c r="F214" s="64" t="s">
        <v>1161</v>
      </c>
      <c r="G214" s="71" t="s">
        <v>1172</v>
      </c>
      <c r="H214" s="78">
        <v>0.1</v>
      </c>
      <c r="I214" s="79">
        <v>5</v>
      </c>
      <c r="J214" s="94">
        <v>390</v>
      </c>
      <c r="K214" s="80">
        <f t="shared" si="27"/>
        <v>429.00000000000006</v>
      </c>
      <c r="L214" s="80"/>
      <c r="M214" s="80">
        <f t="shared" si="26"/>
        <v>2145.0000000000005</v>
      </c>
      <c r="N214" s="79"/>
      <c r="O214" s="79"/>
      <c r="P214" s="80"/>
      <c r="Q214" s="80"/>
      <c r="R214" s="80"/>
      <c r="S214" s="89"/>
    </row>
    <row r="215" spans="2:19" ht="15.6" customHeight="1" x14ac:dyDescent="0.4">
      <c r="B215" s="77">
        <v>44498</v>
      </c>
      <c r="C215" s="64"/>
      <c r="D215" s="64"/>
      <c r="E215" s="64" t="s">
        <v>1164</v>
      </c>
      <c r="F215" s="64" t="s">
        <v>1162</v>
      </c>
      <c r="G215" s="71" t="s">
        <v>1173</v>
      </c>
      <c r="H215" s="78">
        <v>0.1</v>
      </c>
      <c r="I215" s="79">
        <v>3</v>
      </c>
      <c r="J215" s="94">
        <v>780</v>
      </c>
      <c r="K215" s="80">
        <f t="shared" si="27"/>
        <v>858.00000000000011</v>
      </c>
      <c r="L215" s="80"/>
      <c r="M215" s="80">
        <f t="shared" si="26"/>
        <v>2574.0000000000005</v>
      </c>
      <c r="N215" s="79"/>
      <c r="O215" s="79"/>
      <c r="P215" s="80"/>
      <c r="Q215" s="80"/>
      <c r="R215" s="80"/>
      <c r="S215" s="89"/>
    </row>
    <row r="216" spans="2:19" ht="15.6" customHeight="1" x14ac:dyDescent="0.4">
      <c r="B216" s="77">
        <v>44498</v>
      </c>
      <c r="C216" s="64"/>
      <c r="D216" s="64"/>
      <c r="E216" s="64" t="s">
        <v>1164</v>
      </c>
      <c r="F216" s="64" t="s">
        <v>1165</v>
      </c>
      <c r="G216" s="71" t="s">
        <v>1174</v>
      </c>
      <c r="H216" s="78">
        <v>0.1</v>
      </c>
      <c r="I216" s="79">
        <v>3</v>
      </c>
      <c r="J216" s="94">
        <v>700</v>
      </c>
      <c r="K216" s="80">
        <f t="shared" si="27"/>
        <v>770.00000000000011</v>
      </c>
      <c r="L216" s="80"/>
      <c r="M216" s="80">
        <f t="shared" si="26"/>
        <v>2310.0000000000005</v>
      </c>
      <c r="N216" s="79"/>
      <c r="O216" s="79"/>
      <c r="P216" s="80"/>
      <c r="Q216" s="80"/>
      <c r="R216" s="80"/>
      <c r="S216" s="89"/>
    </row>
    <row r="217" spans="2:19" ht="15.6" customHeight="1" x14ac:dyDescent="0.4">
      <c r="B217" s="77">
        <v>44498</v>
      </c>
      <c r="C217" s="64"/>
      <c r="D217" s="64"/>
      <c r="E217" s="64" t="s">
        <v>1164</v>
      </c>
      <c r="F217" s="64" t="s">
        <v>1166</v>
      </c>
      <c r="G217" s="71" t="s">
        <v>1175</v>
      </c>
      <c r="H217" s="78">
        <v>0.1</v>
      </c>
      <c r="I217" s="79">
        <v>3</v>
      </c>
      <c r="J217" s="94">
        <v>700</v>
      </c>
      <c r="K217" s="80">
        <f t="shared" si="27"/>
        <v>770.00000000000011</v>
      </c>
      <c r="L217" s="80"/>
      <c r="M217" s="80">
        <f t="shared" si="26"/>
        <v>2310.0000000000005</v>
      </c>
      <c r="N217" s="79"/>
      <c r="O217" s="79"/>
      <c r="P217" s="80"/>
      <c r="Q217" s="80"/>
      <c r="R217" s="80"/>
      <c r="S217" s="89"/>
    </row>
    <row r="218" spans="2:19" ht="15.6" customHeight="1" x14ac:dyDescent="0.4">
      <c r="B218" s="77">
        <v>44498</v>
      </c>
      <c r="C218" s="64"/>
      <c r="D218" s="64"/>
      <c r="E218" s="64" t="s">
        <v>1164</v>
      </c>
      <c r="F218" s="64" t="s">
        <v>1167</v>
      </c>
      <c r="G218" s="71" t="s">
        <v>1176</v>
      </c>
      <c r="H218" s="78">
        <v>0.1</v>
      </c>
      <c r="I218" s="79">
        <v>24</v>
      </c>
      <c r="J218" s="94">
        <v>150</v>
      </c>
      <c r="K218" s="80">
        <f t="shared" si="27"/>
        <v>165</v>
      </c>
      <c r="L218" s="80"/>
      <c r="M218" s="80">
        <f t="shared" si="26"/>
        <v>3960</v>
      </c>
      <c r="N218" s="79"/>
      <c r="O218" s="79"/>
      <c r="P218" s="80"/>
      <c r="Q218" s="80"/>
      <c r="R218" s="80"/>
      <c r="S218" s="89"/>
    </row>
    <row r="219" spans="2:19" ht="15.6" customHeight="1" x14ac:dyDescent="0.4">
      <c r="B219" s="77">
        <v>44498</v>
      </c>
      <c r="C219" s="64"/>
      <c r="D219" s="64"/>
      <c r="E219" s="64" t="s">
        <v>1164</v>
      </c>
      <c r="F219" s="64" t="s">
        <v>1177</v>
      </c>
      <c r="G219" s="71" t="s">
        <v>1179</v>
      </c>
      <c r="H219" s="78">
        <v>0.1</v>
      </c>
      <c r="I219" s="79">
        <v>20</v>
      </c>
      <c r="J219" s="94">
        <v>150</v>
      </c>
      <c r="K219" s="80">
        <f t="shared" si="27"/>
        <v>165</v>
      </c>
      <c r="L219" s="80"/>
      <c r="M219" s="80">
        <f t="shared" si="26"/>
        <v>3300</v>
      </c>
      <c r="N219" s="79"/>
      <c r="O219" s="79"/>
      <c r="P219" s="80"/>
      <c r="Q219" s="80"/>
      <c r="R219" s="80"/>
      <c r="S219" s="89"/>
    </row>
    <row r="220" spans="2:19" ht="15.6" customHeight="1" x14ac:dyDescent="0.4">
      <c r="B220" s="77">
        <v>44498</v>
      </c>
      <c r="C220" s="64"/>
      <c r="D220" s="64"/>
      <c r="E220" s="64" t="s">
        <v>1164</v>
      </c>
      <c r="F220" s="64" t="s">
        <v>1178</v>
      </c>
      <c r="G220" s="71" t="s">
        <v>1180</v>
      </c>
      <c r="H220" s="78">
        <v>0.1</v>
      </c>
      <c r="I220" s="79">
        <v>20</v>
      </c>
      <c r="J220" s="94">
        <v>150</v>
      </c>
      <c r="K220" s="80">
        <f t="shared" si="27"/>
        <v>165</v>
      </c>
      <c r="L220" s="80"/>
      <c r="M220" s="80">
        <f t="shared" si="26"/>
        <v>3300</v>
      </c>
      <c r="N220" s="79"/>
      <c r="O220" s="79"/>
      <c r="P220" s="80"/>
      <c r="Q220" s="80"/>
      <c r="R220" s="80"/>
      <c r="S220" s="89">
        <f>SUM(M209:M220)</f>
        <v>59334.000000000007</v>
      </c>
    </row>
    <row r="221" spans="2:19" ht="15.6" customHeight="1" x14ac:dyDescent="0.4">
      <c r="B221" s="77">
        <v>44498</v>
      </c>
      <c r="C221" s="64"/>
      <c r="D221" s="64"/>
      <c r="E221" s="64" t="s">
        <v>1164</v>
      </c>
      <c r="F221" s="64" t="s">
        <v>1181</v>
      </c>
      <c r="G221" s="71" t="s">
        <v>1189</v>
      </c>
      <c r="H221" s="78">
        <v>0.1</v>
      </c>
      <c r="I221" s="79">
        <v>2</v>
      </c>
      <c r="J221" s="94">
        <v>420</v>
      </c>
      <c r="K221" s="80">
        <f t="shared" si="27"/>
        <v>462.00000000000006</v>
      </c>
      <c r="L221" s="80"/>
      <c r="M221" s="80">
        <f t="shared" si="26"/>
        <v>924.00000000000011</v>
      </c>
      <c r="N221" s="79"/>
      <c r="O221" s="79"/>
      <c r="P221" s="80"/>
      <c r="Q221" s="80"/>
      <c r="R221" s="80"/>
      <c r="S221" s="89"/>
    </row>
    <row r="222" spans="2:19" ht="15.6" customHeight="1" x14ac:dyDescent="0.4">
      <c r="B222" s="77">
        <v>44498</v>
      </c>
      <c r="C222" s="64"/>
      <c r="D222" s="64"/>
      <c r="E222" s="64" t="s">
        <v>1164</v>
      </c>
      <c r="F222" s="64" t="s">
        <v>1192</v>
      </c>
      <c r="G222" s="71" t="s">
        <v>1190</v>
      </c>
      <c r="H222" s="78">
        <v>0.1</v>
      </c>
      <c r="I222" s="79">
        <v>10</v>
      </c>
      <c r="J222" s="94">
        <v>420</v>
      </c>
      <c r="K222" s="80">
        <f t="shared" si="27"/>
        <v>462.00000000000006</v>
      </c>
      <c r="L222" s="80"/>
      <c r="M222" s="80">
        <f t="shared" si="26"/>
        <v>4620.0000000000009</v>
      </c>
      <c r="N222" s="79"/>
      <c r="O222" s="79"/>
      <c r="P222" s="80"/>
      <c r="Q222" s="80"/>
      <c r="R222" s="80"/>
      <c r="S222" s="89"/>
    </row>
    <row r="223" spans="2:19" ht="15.6" customHeight="1" x14ac:dyDescent="0.4">
      <c r="B223" s="77">
        <v>44498</v>
      </c>
      <c r="C223" s="64"/>
      <c r="D223" s="64"/>
      <c r="E223" s="64" t="s">
        <v>1164</v>
      </c>
      <c r="F223" s="64" t="s">
        <v>1182</v>
      </c>
      <c r="G223" s="71" t="s">
        <v>1191</v>
      </c>
      <c r="H223" s="78">
        <v>0.1</v>
      </c>
      <c r="I223" s="79">
        <v>10</v>
      </c>
      <c r="J223" s="94">
        <v>420</v>
      </c>
      <c r="K223" s="80">
        <f t="shared" si="27"/>
        <v>462.00000000000006</v>
      </c>
      <c r="L223" s="80"/>
      <c r="M223" s="80">
        <f t="shared" si="26"/>
        <v>4620.0000000000009</v>
      </c>
      <c r="N223" s="79"/>
      <c r="O223" s="79"/>
      <c r="P223" s="80"/>
      <c r="Q223" s="80"/>
      <c r="R223" s="80"/>
      <c r="S223" s="89"/>
    </row>
    <row r="224" spans="2:19" ht="15.6" customHeight="1" x14ac:dyDescent="0.4">
      <c r="B224" s="77">
        <v>44498</v>
      </c>
      <c r="C224" s="64"/>
      <c r="D224" s="64"/>
      <c r="E224" s="64" t="s">
        <v>1164</v>
      </c>
      <c r="F224" s="64" t="s">
        <v>1193</v>
      </c>
      <c r="G224" s="71" t="s">
        <v>1194</v>
      </c>
      <c r="H224" s="78">
        <v>0.1</v>
      </c>
      <c r="I224" s="79">
        <v>1</v>
      </c>
      <c r="J224" s="94">
        <v>420</v>
      </c>
      <c r="K224" s="80">
        <f t="shared" si="27"/>
        <v>462.00000000000006</v>
      </c>
      <c r="L224" s="80"/>
      <c r="M224" s="80">
        <f t="shared" si="26"/>
        <v>462.00000000000006</v>
      </c>
      <c r="N224" s="79"/>
      <c r="O224" s="79"/>
      <c r="P224" s="80"/>
      <c r="Q224" s="80"/>
      <c r="R224" s="80"/>
      <c r="S224" s="89"/>
    </row>
    <row r="225" spans="2:19" ht="15.6" customHeight="1" x14ac:dyDescent="0.4">
      <c r="B225" s="77">
        <v>44498</v>
      </c>
      <c r="C225" s="64"/>
      <c r="D225" s="64"/>
      <c r="E225" s="64" t="s">
        <v>1164</v>
      </c>
      <c r="F225" s="64" t="s">
        <v>1183</v>
      </c>
      <c r="G225" s="71" t="s">
        <v>1195</v>
      </c>
      <c r="H225" s="78">
        <v>0.1</v>
      </c>
      <c r="I225" s="79">
        <v>10</v>
      </c>
      <c r="J225" s="94">
        <v>420</v>
      </c>
      <c r="K225" s="80">
        <f t="shared" si="27"/>
        <v>462.00000000000006</v>
      </c>
      <c r="L225" s="80"/>
      <c r="M225" s="80">
        <f t="shared" si="26"/>
        <v>4620.0000000000009</v>
      </c>
      <c r="N225" s="79"/>
      <c r="O225" s="79"/>
      <c r="P225" s="80"/>
      <c r="Q225" s="80"/>
      <c r="R225" s="80"/>
      <c r="S225" s="89"/>
    </row>
    <row r="226" spans="2:19" ht="15.6" customHeight="1" x14ac:dyDescent="0.4">
      <c r="B226" s="77">
        <v>44498</v>
      </c>
      <c r="C226" s="64"/>
      <c r="D226" s="64"/>
      <c r="E226" s="64" t="s">
        <v>1164</v>
      </c>
      <c r="F226" s="64" t="s">
        <v>1184</v>
      </c>
      <c r="G226" s="71" t="s">
        <v>1196</v>
      </c>
      <c r="H226" s="78">
        <v>0.1</v>
      </c>
      <c r="I226" s="79">
        <v>12</v>
      </c>
      <c r="J226" s="94">
        <v>420</v>
      </c>
      <c r="K226" s="80">
        <f t="shared" si="27"/>
        <v>462.00000000000006</v>
      </c>
      <c r="L226" s="80"/>
      <c r="M226" s="80">
        <f t="shared" si="26"/>
        <v>5544.0000000000009</v>
      </c>
      <c r="N226" s="79"/>
      <c r="O226" s="79"/>
      <c r="P226" s="80"/>
      <c r="Q226" s="80"/>
      <c r="R226" s="80"/>
      <c r="S226" s="89"/>
    </row>
    <row r="227" spans="2:19" ht="15.6" customHeight="1" x14ac:dyDescent="0.4">
      <c r="B227" s="77">
        <v>44498</v>
      </c>
      <c r="C227" s="64"/>
      <c r="D227" s="64"/>
      <c r="E227" s="64" t="s">
        <v>1164</v>
      </c>
      <c r="F227" s="64" t="s">
        <v>1185</v>
      </c>
      <c r="G227" s="71" t="s">
        <v>1197</v>
      </c>
      <c r="H227" s="78">
        <v>0.1</v>
      </c>
      <c r="I227" s="79">
        <v>12</v>
      </c>
      <c r="J227" s="94">
        <v>420</v>
      </c>
      <c r="K227" s="80">
        <f t="shared" si="27"/>
        <v>462.00000000000006</v>
      </c>
      <c r="L227" s="80"/>
      <c r="M227" s="80">
        <f t="shared" si="26"/>
        <v>5544.0000000000009</v>
      </c>
      <c r="N227" s="79"/>
      <c r="O227" s="79"/>
      <c r="P227" s="80"/>
      <c r="Q227" s="80"/>
      <c r="R227" s="80"/>
      <c r="S227" s="89"/>
    </row>
    <row r="228" spans="2:19" ht="15.6" customHeight="1" x14ac:dyDescent="0.4">
      <c r="B228" s="77">
        <v>44498</v>
      </c>
      <c r="C228" s="64"/>
      <c r="D228" s="64"/>
      <c r="E228" s="64" t="s">
        <v>1164</v>
      </c>
      <c r="F228" s="64" t="s">
        <v>1186</v>
      </c>
      <c r="G228" s="71" t="s">
        <v>1198</v>
      </c>
      <c r="H228" s="78">
        <v>0.1</v>
      </c>
      <c r="I228" s="79">
        <v>30</v>
      </c>
      <c r="J228" s="94">
        <v>230</v>
      </c>
      <c r="K228" s="80">
        <f t="shared" si="27"/>
        <v>253.00000000000003</v>
      </c>
      <c r="L228" s="80"/>
      <c r="M228" s="80">
        <f t="shared" si="26"/>
        <v>7590.0000000000009</v>
      </c>
      <c r="N228" s="79"/>
      <c r="O228" s="79"/>
      <c r="P228" s="80"/>
      <c r="Q228" s="80"/>
      <c r="R228" s="80"/>
      <c r="S228" s="89"/>
    </row>
    <row r="229" spans="2:19" ht="15.6" customHeight="1" x14ac:dyDescent="0.4">
      <c r="B229" s="77">
        <v>44498</v>
      </c>
      <c r="C229" s="64"/>
      <c r="D229" s="64"/>
      <c r="E229" s="64" t="s">
        <v>1164</v>
      </c>
      <c r="F229" s="64" t="s">
        <v>1187</v>
      </c>
      <c r="G229" s="71" t="s">
        <v>1199</v>
      </c>
      <c r="H229" s="78">
        <v>0.1</v>
      </c>
      <c r="I229" s="79">
        <v>17</v>
      </c>
      <c r="J229" s="94">
        <v>240</v>
      </c>
      <c r="K229" s="80">
        <f t="shared" si="27"/>
        <v>264</v>
      </c>
      <c r="L229" s="80"/>
      <c r="M229" s="80">
        <f t="shared" si="26"/>
        <v>4488</v>
      </c>
      <c r="N229" s="79"/>
      <c r="O229" s="79"/>
      <c r="P229" s="80"/>
      <c r="Q229" s="80"/>
      <c r="R229" s="80"/>
      <c r="S229" s="89"/>
    </row>
    <row r="230" spans="2:19" ht="15.6" customHeight="1" x14ac:dyDescent="0.4">
      <c r="B230" s="77">
        <v>44498</v>
      </c>
      <c r="C230" s="64"/>
      <c r="D230" s="64"/>
      <c r="E230" s="64" t="s">
        <v>1164</v>
      </c>
      <c r="F230" s="64" t="s">
        <v>1188</v>
      </c>
      <c r="G230" s="71" t="s">
        <v>1200</v>
      </c>
      <c r="H230" s="78">
        <v>0.1</v>
      </c>
      <c r="I230" s="79">
        <v>30</v>
      </c>
      <c r="J230" s="94">
        <v>260</v>
      </c>
      <c r="K230" s="80">
        <f t="shared" si="27"/>
        <v>286</v>
      </c>
      <c r="L230" s="80"/>
      <c r="M230" s="80">
        <f t="shared" si="26"/>
        <v>8580</v>
      </c>
      <c r="N230" s="79"/>
      <c r="O230" s="79"/>
      <c r="P230" s="80"/>
      <c r="Q230" s="80"/>
      <c r="R230" s="80"/>
      <c r="S230" s="89"/>
    </row>
    <row r="231" spans="2:19" ht="15.6" customHeight="1" x14ac:dyDescent="0.4">
      <c r="B231" s="77">
        <v>44498</v>
      </c>
      <c r="C231" s="64"/>
      <c r="D231" s="64"/>
      <c r="E231" s="64" t="s">
        <v>1164</v>
      </c>
      <c r="F231" s="64" t="s">
        <v>1201</v>
      </c>
      <c r="G231" s="71" t="s">
        <v>1202</v>
      </c>
      <c r="H231" s="78">
        <v>0.1</v>
      </c>
      <c r="I231" s="79">
        <v>35</v>
      </c>
      <c r="J231" s="94">
        <v>260</v>
      </c>
      <c r="K231" s="80">
        <f t="shared" si="27"/>
        <v>286</v>
      </c>
      <c r="L231" s="80"/>
      <c r="M231" s="80">
        <f t="shared" si="26"/>
        <v>10010</v>
      </c>
      <c r="N231" s="79"/>
      <c r="O231" s="79"/>
      <c r="P231" s="80"/>
      <c r="Q231" s="80"/>
      <c r="R231" s="80"/>
      <c r="S231" s="89">
        <f>SUM(M221:M231)</f>
        <v>57002.000000000007</v>
      </c>
    </row>
    <row r="232" spans="2:19" ht="15.6" customHeight="1" x14ac:dyDescent="0.4">
      <c r="B232" s="77">
        <v>44498</v>
      </c>
      <c r="C232" s="64"/>
      <c r="D232" s="64"/>
      <c r="E232" s="64" t="s">
        <v>1203</v>
      </c>
      <c r="F232" s="64" t="s">
        <v>1204</v>
      </c>
      <c r="G232" s="71"/>
      <c r="H232" s="78">
        <v>0.1</v>
      </c>
      <c r="I232" s="79">
        <v>21</v>
      </c>
      <c r="J232" s="94">
        <v>1370</v>
      </c>
      <c r="K232" s="80">
        <f t="shared" si="27"/>
        <v>1507.0000000000002</v>
      </c>
      <c r="L232" s="80"/>
      <c r="M232" s="80">
        <f t="shared" si="26"/>
        <v>31647.000000000004</v>
      </c>
      <c r="N232" s="79"/>
      <c r="O232" s="79"/>
      <c r="P232" s="80"/>
      <c r="Q232" s="80"/>
      <c r="R232" s="80"/>
      <c r="S232" s="89"/>
    </row>
    <row r="233" spans="2:19" ht="15.6" customHeight="1" x14ac:dyDescent="0.4">
      <c r="B233" s="77">
        <v>44498</v>
      </c>
      <c r="C233" s="64"/>
      <c r="D233" s="64"/>
      <c r="E233" s="64" t="s">
        <v>1203</v>
      </c>
      <c r="F233" s="64" t="s">
        <v>1205</v>
      </c>
      <c r="G233" s="71"/>
      <c r="H233" s="78">
        <v>0.1</v>
      </c>
      <c r="I233" s="79">
        <v>12</v>
      </c>
      <c r="J233" s="94">
        <v>1500</v>
      </c>
      <c r="K233" s="80">
        <f t="shared" si="27"/>
        <v>1650.0000000000002</v>
      </c>
      <c r="L233" s="80"/>
      <c r="M233" s="80">
        <f t="shared" si="26"/>
        <v>19800.000000000004</v>
      </c>
      <c r="N233" s="79"/>
      <c r="O233" s="79"/>
      <c r="P233" s="80"/>
      <c r="Q233" s="80"/>
      <c r="R233" s="80"/>
      <c r="S233" s="89"/>
    </row>
    <row r="234" spans="2:19" ht="15.6" customHeight="1" x14ac:dyDescent="0.4">
      <c r="B234" s="77">
        <v>44498</v>
      </c>
      <c r="C234" s="64"/>
      <c r="D234" s="64"/>
      <c r="E234" s="64" t="s">
        <v>1203</v>
      </c>
      <c r="F234" s="64" t="s">
        <v>1206</v>
      </c>
      <c r="G234" s="71"/>
      <c r="H234" s="78">
        <v>0.1</v>
      </c>
      <c r="I234" s="79">
        <v>5</v>
      </c>
      <c r="J234" s="94">
        <v>960</v>
      </c>
      <c r="K234" s="80">
        <f t="shared" si="27"/>
        <v>1056</v>
      </c>
      <c r="L234" s="80"/>
      <c r="M234" s="80">
        <f t="shared" si="26"/>
        <v>5280</v>
      </c>
      <c r="N234" s="79"/>
      <c r="O234" s="79"/>
      <c r="P234" s="80"/>
      <c r="Q234" s="80"/>
      <c r="R234" s="80"/>
      <c r="S234" s="89"/>
    </row>
    <row r="235" spans="2:19" ht="15.6" customHeight="1" x14ac:dyDescent="0.4">
      <c r="B235" s="77">
        <v>44498</v>
      </c>
      <c r="C235" s="64"/>
      <c r="D235" s="64"/>
      <c r="E235" s="64" t="s">
        <v>1203</v>
      </c>
      <c r="F235" s="64" t="s">
        <v>1207</v>
      </c>
      <c r="G235" s="71"/>
      <c r="H235" s="78">
        <v>0.1</v>
      </c>
      <c r="I235" s="79">
        <v>20</v>
      </c>
      <c r="J235" s="94">
        <v>780</v>
      </c>
      <c r="K235" s="80">
        <f t="shared" si="27"/>
        <v>858.00000000000011</v>
      </c>
      <c r="L235" s="80"/>
      <c r="M235" s="80">
        <f t="shared" si="26"/>
        <v>17160.000000000004</v>
      </c>
      <c r="N235" s="79"/>
      <c r="O235" s="79"/>
      <c r="P235" s="80"/>
      <c r="Q235" s="80"/>
      <c r="R235" s="80"/>
      <c r="S235" s="89"/>
    </row>
    <row r="236" spans="2:19" ht="15.6" customHeight="1" x14ac:dyDescent="0.4">
      <c r="B236" s="77">
        <v>44498</v>
      </c>
      <c r="C236" s="64"/>
      <c r="D236" s="64"/>
      <c r="E236" s="64" t="s">
        <v>1203</v>
      </c>
      <c r="F236" s="64" t="s">
        <v>1208</v>
      </c>
      <c r="G236" s="71"/>
      <c r="H236" s="78">
        <v>0.1</v>
      </c>
      <c r="I236" s="79">
        <v>30</v>
      </c>
      <c r="J236" s="94">
        <v>780</v>
      </c>
      <c r="K236" s="80">
        <f t="shared" si="27"/>
        <v>858.00000000000011</v>
      </c>
      <c r="L236" s="80"/>
      <c r="M236" s="80">
        <f t="shared" si="26"/>
        <v>25740.000000000004</v>
      </c>
      <c r="N236" s="79"/>
      <c r="O236" s="79"/>
      <c r="P236" s="80"/>
      <c r="Q236" s="80"/>
      <c r="R236" s="80"/>
      <c r="S236" s="89">
        <f>SUM(M232:M236)</f>
        <v>99627.000000000015</v>
      </c>
    </row>
    <row r="237" spans="2:19" ht="15.6" customHeight="1" x14ac:dyDescent="0.4">
      <c r="B237" s="77">
        <v>44498</v>
      </c>
      <c r="C237" s="64"/>
      <c r="D237" s="64"/>
      <c r="E237" s="64" t="s">
        <v>1209</v>
      </c>
      <c r="F237" s="64" t="s">
        <v>1210</v>
      </c>
      <c r="G237" s="71"/>
      <c r="H237" s="78">
        <v>0.1</v>
      </c>
      <c r="I237" s="79">
        <v>5</v>
      </c>
      <c r="J237" s="94">
        <v>940</v>
      </c>
      <c r="K237" s="80">
        <f t="shared" si="27"/>
        <v>1034</v>
      </c>
      <c r="L237" s="80"/>
      <c r="M237" s="80">
        <f t="shared" si="26"/>
        <v>5170</v>
      </c>
      <c r="N237" s="79"/>
      <c r="O237" s="79"/>
      <c r="P237" s="80"/>
      <c r="Q237" s="80"/>
      <c r="R237" s="80"/>
      <c r="S237" s="89"/>
    </row>
    <row r="238" spans="2:19" ht="15.6" customHeight="1" x14ac:dyDescent="0.4">
      <c r="B238" s="77">
        <v>44498</v>
      </c>
      <c r="C238" s="64"/>
      <c r="D238" s="64"/>
      <c r="E238" s="64" t="s">
        <v>1209</v>
      </c>
      <c r="F238" s="64" t="s">
        <v>1210</v>
      </c>
      <c r="G238" s="71"/>
      <c r="H238" s="78">
        <v>0.1</v>
      </c>
      <c r="I238" s="79">
        <v>20</v>
      </c>
      <c r="J238" s="94">
        <v>820</v>
      </c>
      <c r="K238" s="80">
        <f t="shared" si="27"/>
        <v>902.00000000000011</v>
      </c>
      <c r="L238" s="80"/>
      <c r="M238" s="80">
        <f t="shared" si="26"/>
        <v>18040.000000000004</v>
      </c>
      <c r="N238" s="79"/>
      <c r="O238" s="79"/>
      <c r="P238" s="80"/>
      <c r="Q238" s="80"/>
      <c r="R238" s="80"/>
      <c r="S238" s="89"/>
    </row>
    <row r="239" spans="2:19" ht="15.6" customHeight="1" x14ac:dyDescent="0.4">
      <c r="B239" s="77">
        <v>44498</v>
      </c>
      <c r="C239" s="64"/>
      <c r="D239" s="64"/>
      <c r="E239" s="64" t="s">
        <v>1209</v>
      </c>
      <c r="F239" s="64" t="s">
        <v>1211</v>
      </c>
      <c r="G239" s="71"/>
      <c r="H239" s="78">
        <v>0.1</v>
      </c>
      <c r="I239" s="79">
        <v>9</v>
      </c>
      <c r="J239" s="94">
        <v>900</v>
      </c>
      <c r="K239" s="80">
        <f t="shared" si="27"/>
        <v>990.00000000000011</v>
      </c>
      <c r="L239" s="80"/>
      <c r="M239" s="80">
        <f t="shared" si="26"/>
        <v>8910.0000000000018</v>
      </c>
      <c r="N239" s="79"/>
      <c r="O239" s="79"/>
      <c r="P239" s="80"/>
      <c r="Q239" s="80"/>
      <c r="R239" s="80"/>
      <c r="S239" s="89"/>
    </row>
    <row r="240" spans="2:19" ht="15.6" customHeight="1" x14ac:dyDescent="0.4">
      <c r="B240" s="77">
        <v>44498</v>
      </c>
      <c r="C240" s="64"/>
      <c r="D240" s="64"/>
      <c r="E240" s="64" t="s">
        <v>1209</v>
      </c>
      <c r="F240" s="64" t="s">
        <v>1211</v>
      </c>
      <c r="G240" s="71"/>
      <c r="H240" s="78">
        <v>0.1</v>
      </c>
      <c r="I240" s="79">
        <v>4</v>
      </c>
      <c r="J240" s="94">
        <v>900</v>
      </c>
      <c r="K240" s="80">
        <f t="shared" si="27"/>
        <v>990.00000000000011</v>
      </c>
      <c r="L240" s="80"/>
      <c r="M240" s="80">
        <f t="shared" si="26"/>
        <v>3960.0000000000005</v>
      </c>
      <c r="N240" s="79"/>
      <c r="O240" s="79"/>
      <c r="P240" s="80"/>
      <c r="Q240" s="80"/>
      <c r="R240" s="80"/>
      <c r="S240" s="89">
        <f>SUM(M237:M240)</f>
        <v>36080.000000000007</v>
      </c>
    </row>
    <row r="241" spans="2:19" ht="15.6" customHeight="1" x14ac:dyDescent="0.4">
      <c r="B241" s="77">
        <v>44498</v>
      </c>
      <c r="C241" s="64"/>
      <c r="D241" s="64"/>
      <c r="E241" s="64" t="s">
        <v>1209</v>
      </c>
      <c r="F241" s="64" t="s">
        <v>1212</v>
      </c>
      <c r="G241" s="71"/>
      <c r="H241" s="78">
        <v>0.1</v>
      </c>
      <c r="I241" s="79">
        <v>9</v>
      </c>
      <c r="J241" s="94">
        <v>1920</v>
      </c>
      <c r="K241" s="80">
        <f t="shared" si="27"/>
        <v>2112</v>
      </c>
      <c r="L241" s="80"/>
      <c r="M241" s="80">
        <f t="shared" si="26"/>
        <v>19008</v>
      </c>
      <c r="N241" s="79"/>
      <c r="O241" s="79"/>
      <c r="P241" s="80"/>
      <c r="Q241" s="80"/>
      <c r="R241" s="80"/>
      <c r="S241" s="89"/>
    </row>
    <row r="242" spans="2:19" ht="15.6" customHeight="1" x14ac:dyDescent="0.4">
      <c r="B242" s="77">
        <v>44498</v>
      </c>
      <c r="C242" s="64"/>
      <c r="D242" s="64"/>
      <c r="E242" s="64" t="s">
        <v>1209</v>
      </c>
      <c r="F242" s="64" t="s">
        <v>1213</v>
      </c>
      <c r="G242" s="71"/>
      <c r="H242" s="78">
        <v>0.1</v>
      </c>
      <c r="I242" s="79">
        <v>8</v>
      </c>
      <c r="J242" s="94">
        <v>1640</v>
      </c>
      <c r="K242" s="80">
        <f t="shared" si="27"/>
        <v>1804.0000000000002</v>
      </c>
      <c r="L242" s="80"/>
      <c r="M242" s="80">
        <f t="shared" si="26"/>
        <v>14432.000000000002</v>
      </c>
      <c r="N242" s="79"/>
      <c r="O242" s="79"/>
      <c r="P242" s="80"/>
      <c r="Q242" s="80"/>
      <c r="R242" s="80"/>
      <c r="S242" s="89"/>
    </row>
    <row r="243" spans="2:19" ht="15.6" customHeight="1" x14ac:dyDescent="0.4">
      <c r="B243" s="77">
        <v>44498</v>
      </c>
      <c r="C243" s="64"/>
      <c r="D243" s="64"/>
      <c r="E243" s="64" t="s">
        <v>1209</v>
      </c>
      <c r="F243" s="64" t="s">
        <v>1214</v>
      </c>
      <c r="G243" s="71"/>
      <c r="H243" s="78">
        <v>0.1</v>
      </c>
      <c r="I243" s="79">
        <v>6</v>
      </c>
      <c r="J243" s="94">
        <v>1590</v>
      </c>
      <c r="K243" s="80">
        <f t="shared" si="27"/>
        <v>1749.0000000000002</v>
      </c>
      <c r="L243" s="80"/>
      <c r="M243" s="80">
        <f t="shared" si="26"/>
        <v>10494.000000000002</v>
      </c>
      <c r="N243" s="79"/>
      <c r="O243" s="79"/>
      <c r="P243" s="80"/>
      <c r="Q243" s="80"/>
      <c r="R243" s="80"/>
      <c r="S243" s="89"/>
    </row>
    <row r="244" spans="2:19" ht="15.6" customHeight="1" x14ac:dyDescent="0.4">
      <c r="B244" s="77">
        <v>44498</v>
      </c>
      <c r="C244" s="64"/>
      <c r="D244" s="64"/>
      <c r="E244" s="64" t="s">
        <v>1209</v>
      </c>
      <c r="F244" s="64" t="s">
        <v>1217</v>
      </c>
      <c r="G244" s="71"/>
      <c r="H244" s="78">
        <v>0.1</v>
      </c>
      <c r="I244" s="79">
        <v>8</v>
      </c>
      <c r="J244" s="94">
        <v>1590</v>
      </c>
      <c r="K244" s="80">
        <f t="shared" si="27"/>
        <v>1749.0000000000002</v>
      </c>
      <c r="L244" s="80"/>
      <c r="M244" s="80">
        <f t="shared" si="26"/>
        <v>13992.000000000002</v>
      </c>
      <c r="N244" s="79"/>
      <c r="O244" s="79"/>
      <c r="P244" s="80"/>
      <c r="Q244" s="80"/>
      <c r="R244" s="80"/>
      <c r="S244" s="89"/>
    </row>
    <row r="245" spans="2:19" ht="15.6" customHeight="1" x14ac:dyDescent="0.4">
      <c r="B245" s="77">
        <v>44498</v>
      </c>
      <c r="C245" s="64"/>
      <c r="D245" s="64"/>
      <c r="E245" s="64" t="s">
        <v>1209</v>
      </c>
      <c r="F245" s="64" t="s">
        <v>1215</v>
      </c>
      <c r="G245" s="71"/>
      <c r="H245" s="78">
        <v>0.1</v>
      </c>
      <c r="I245" s="79">
        <v>4</v>
      </c>
      <c r="J245" s="94">
        <v>1950</v>
      </c>
      <c r="K245" s="80">
        <f t="shared" si="27"/>
        <v>2145</v>
      </c>
      <c r="L245" s="80"/>
      <c r="M245" s="80">
        <f t="shared" si="26"/>
        <v>8580</v>
      </c>
      <c r="N245" s="79"/>
      <c r="O245" s="79"/>
      <c r="P245" s="80"/>
      <c r="Q245" s="80"/>
      <c r="R245" s="80"/>
      <c r="S245" s="89"/>
    </row>
    <row r="246" spans="2:19" ht="15.6" customHeight="1" x14ac:dyDescent="0.4">
      <c r="B246" s="77">
        <v>44498</v>
      </c>
      <c r="C246" s="64"/>
      <c r="D246" s="64"/>
      <c r="E246" s="64" t="s">
        <v>1209</v>
      </c>
      <c r="F246" s="64" t="s">
        <v>1216</v>
      </c>
      <c r="G246" s="71"/>
      <c r="H246" s="78">
        <v>0.1</v>
      </c>
      <c r="I246" s="79">
        <v>2</v>
      </c>
      <c r="J246" s="94">
        <v>3000</v>
      </c>
      <c r="K246" s="80">
        <f t="shared" si="27"/>
        <v>3300.0000000000005</v>
      </c>
      <c r="L246" s="80"/>
      <c r="M246" s="80">
        <f t="shared" si="26"/>
        <v>6600.0000000000009</v>
      </c>
      <c r="N246" s="79"/>
      <c r="O246" s="79"/>
      <c r="P246" s="80"/>
      <c r="Q246" s="80"/>
      <c r="R246" s="80"/>
      <c r="S246" s="89">
        <f>SUM(M241:M246)</f>
        <v>73106</v>
      </c>
    </row>
    <row r="247" spans="2:19" ht="15.6" customHeight="1" x14ac:dyDescent="0.4">
      <c r="B247" s="77">
        <v>44498</v>
      </c>
      <c r="C247" s="64"/>
      <c r="D247" s="64"/>
      <c r="E247" s="64" t="s">
        <v>1218</v>
      </c>
      <c r="F247" s="64" t="s">
        <v>1219</v>
      </c>
      <c r="G247" s="71"/>
      <c r="H247" s="78">
        <v>0.1</v>
      </c>
      <c r="I247" s="79">
        <v>8</v>
      </c>
      <c r="J247" s="94">
        <v>2900</v>
      </c>
      <c r="K247" s="80">
        <f>J247*110%</f>
        <v>3190.0000000000005</v>
      </c>
      <c r="L247" s="80"/>
      <c r="M247" s="80">
        <f>K247*I247</f>
        <v>25520.000000000004</v>
      </c>
      <c r="N247" s="79"/>
      <c r="O247" s="79"/>
      <c r="P247" s="80"/>
      <c r="Q247" s="80"/>
      <c r="R247" s="80"/>
      <c r="S247" s="89"/>
    </row>
    <row r="248" spans="2:19" ht="15.6" customHeight="1" x14ac:dyDescent="0.4">
      <c r="B248" s="77">
        <v>44498</v>
      </c>
      <c r="C248" s="64"/>
      <c r="D248" s="64"/>
      <c r="E248" s="64" t="s">
        <v>1218</v>
      </c>
      <c r="F248" s="64" t="s">
        <v>1220</v>
      </c>
      <c r="G248" s="71"/>
      <c r="H248" s="78">
        <v>0.1</v>
      </c>
      <c r="I248" s="79">
        <v>60</v>
      </c>
      <c r="J248" s="94">
        <v>250</v>
      </c>
      <c r="K248" s="80">
        <f>J248*110%</f>
        <v>275</v>
      </c>
      <c r="L248" s="80"/>
      <c r="M248" s="80">
        <v>16500</v>
      </c>
      <c r="N248" s="79"/>
      <c r="O248" s="79"/>
      <c r="P248" s="80"/>
      <c r="Q248" s="80"/>
      <c r="R248" s="80"/>
      <c r="S248" s="89"/>
    </row>
    <row r="249" spans="2:19" ht="15.6" customHeight="1" x14ac:dyDescent="0.4">
      <c r="B249" s="77">
        <v>44498</v>
      </c>
      <c r="C249" s="64"/>
      <c r="D249" s="64"/>
      <c r="E249" s="64" t="s">
        <v>1218</v>
      </c>
      <c r="F249" s="64" t="s">
        <v>1220</v>
      </c>
      <c r="G249" s="71"/>
      <c r="H249" s="78">
        <v>0.1</v>
      </c>
      <c r="I249" s="79">
        <v>60</v>
      </c>
      <c r="J249" s="94">
        <v>489.09090909090907</v>
      </c>
      <c r="K249" s="80">
        <f>J249*110%</f>
        <v>538</v>
      </c>
      <c r="L249" s="80"/>
      <c r="M249" s="80">
        <f>K249*I249</f>
        <v>32280</v>
      </c>
      <c r="N249" s="79"/>
      <c r="O249" s="79"/>
      <c r="P249" s="80"/>
      <c r="Q249" s="80"/>
      <c r="R249" s="80"/>
      <c r="S249" s="89"/>
    </row>
    <row r="250" spans="2:19" ht="15.6" customHeight="1" x14ac:dyDescent="0.4">
      <c r="B250" s="77">
        <v>44498</v>
      </c>
      <c r="C250" s="64"/>
      <c r="D250" s="64"/>
      <c r="E250" s="64" t="s">
        <v>1218</v>
      </c>
      <c r="F250" s="64" t="s">
        <v>1220</v>
      </c>
      <c r="G250" s="71"/>
      <c r="H250" s="78">
        <v>0.1</v>
      </c>
      <c r="I250" s="79">
        <v>60</v>
      </c>
      <c r="J250" s="94">
        <v>489.09090909090907</v>
      </c>
      <c r="K250" s="80">
        <f>J250*110%</f>
        <v>538</v>
      </c>
      <c r="L250" s="80"/>
      <c r="M250" s="80">
        <f>K250*I250</f>
        <v>32280</v>
      </c>
      <c r="N250" s="79"/>
      <c r="O250" s="79"/>
      <c r="P250" s="80"/>
      <c r="Q250" s="80"/>
      <c r="R250" s="80"/>
      <c r="S250" s="89"/>
    </row>
    <row r="251" spans="2:19" ht="15.6" customHeight="1" x14ac:dyDescent="0.4">
      <c r="B251" s="77">
        <v>44498</v>
      </c>
      <c r="C251" s="64"/>
      <c r="D251" s="64"/>
      <c r="E251" s="64" t="s">
        <v>1218</v>
      </c>
      <c r="F251" s="64" t="s">
        <v>1219</v>
      </c>
      <c r="G251" s="71"/>
      <c r="H251" s="78">
        <v>0.1</v>
      </c>
      <c r="I251" s="79">
        <v>6</v>
      </c>
      <c r="J251" s="94">
        <v>1950</v>
      </c>
      <c r="K251" s="80">
        <f>J251*110%</f>
        <v>2145</v>
      </c>
      <c r="L251" s="80"/>
      <c r="M251" s="80">
        <f>K251*I251</f>
        <v>12870</v>
      </c>
      <c r="N251" s="79"/>
      <c r="O251" s="79"/>
      <c r="P251" s="80"/>
      <c r="Q251" s="80"/>
      <c r="R251" s="80"/>
      <c r="S251" s="89"/>
    </row>
    <row r="252" spans="2:19" ht="15.6" customHeight="1" x14ac:dyDescent="0.4">
      <c r="B252" s="77">
        <v>44498</v>
      </c>
      <c r="C252" s="64"/>
      <c r="D252" s="64"/>
      <c r="E252" s="64" t="s">
        <v>1221</v>
      </c>
      <c r="F252" s="64" t="s">
        <v>1222</v>
      </c>
      <c r="G252" s="71"/>
      <c r="H252" s="78">
        <v>0.1</v>
      </c>
      <c r="I252" s="79">
        <v>5</v>
      </c>
      <c r="J252" s="94">
        <v>1980</v>
      </c>
      <c r="K252" s="80">
        <f t="shared" ref="K249:K258" si="28">J252*110%</f>
        <v>2178</v>
      </c>
      <c r="L252" s="80"/>
      <c r="M252" s="80">
        <f t="shared" si="26"/>
        <v>10890</v>
      </c>
      <c r="N252" s="79"/>
      <c r="O252" s="79"/>
      <c r="P252" s="80"/>
      <c r="Q252" s="80"/>
      <c r="R252" s="80"/>
      <c r="S252" s="89"/>
    </row>
    <row r="253" spans="2:19" ht="15.6" customHeight="1" x14ac:dyDescent="0.4">
      <c r="B253" s="77">
        <v>44498</v>
      </c>
      <c r="C253" s="64"/>
      <c r="D253" s="64"/>
      <c r="E253" s="64" t="s">
        <v>1221</v>
      </c>
      <c r="F253" s="64" t="s">
        <v>1223</v>
      </c>
      <c r="G253" s="71"/>
      <c r="H253" s="78">
        <v>0.1</v>
      </c>
      <c r="I253" s="79">
        <v>5</v>
      </c>
      <c r="J253" s="94">
        <v>2380</v>
      </c>
      <c r="K253" s="80">
        <f t="shared" si="28"/>
        <v>2618</v>
      </c>
      <c r="L253" s="80"/>
      <c r="M253" s="80">
        <f t="shared" si="26"/>
        <v>13090</v>
      </c>
      <c r="N253" s="79"/>
      <c r="O253" s="79"/>
      <c r="P253" s="80"/>
      <c r="Q253" s="80"/>
      <c r="R253" s="80"/>
      <c r="S253" s="89"/>
    </row>
    <row r="254" spans="2:19" ht="15.6" customHeight="1" x14ac:dyDescent="0.4">
      <c r="B254" s="77">
        <v>44498</v>
      </c>
      <c r="C254" s="64"/>
      <c r="D254" s="64"/>
      <c r="E254" s="64" t="s">
        <v>1221</v>
      </c>
      <c r="F254" s="64" t="s">
        <v>1224</v>
      </c>
      <c r="G254" s="71"/>
      <c r="H254" s="78">
        <v>0.1</v>
      </c>
      <c r="I254" s="79">
        <v>8</v>
      </c>
      <c r="J254" s="94">
        <v>1680</v>
      </c>
      <c r="K254" s="80">
        <f t="shared" si="28"/>
        <v>1848.0000000000002</v>
      </c>
      <c r="L254" s="80"/>
      <c r="M254" s="80">
        <f t="shared" si="26"/>
        <v>14784.000000000002</v>
      </c>
      <c r="N254" s="79"/>
      <c r="O254" s="79"/>
      <c r="P254" s="80"/>
      <c r="Q254" s="80"/>
      <c r="R254" s="80"/>
      <c r="S254" s="89"/>
    </row>
    <row r="255" spans="2:19" ht="15.6" customHeight="1" x14ac:dyDescent="0.4">
      <c r="B255" s="77">
        <v>44498</v>
      </c>
      <c r="C255" s="64"/>
      <c r="D255" s="64"/>
      <c r="E255" s="64" t="s">
        <v>1221</v>
      </c>
      <c r="F255" s="64" t="s">
        <v>1225</v>
      </c>
      <c r="G255" s="71"/>
      <c r="H255" s="78">
        <v>0.1</v>
      </c>
      <c r="I255" s="79">
        <v>4</v>
      </c>
      <c r="J255" s="94">
        <v>1580</v>
      </c>
      <c r="K255" s="80">
        <f t="shared" si="28"/>
        <v>1738.0000000000002</v>
      </c>
      <c r="L255" s="80"/>
      <c r="M255" s="80">
        <f t="shared" si="26"/>
        <v>6952.0000000000009</v>
      </c>
      <c r="N255" s="79"/>
      <c r="O255" s="79"/>
      <c r="P255" s="80"/>
      <c r="Q255" s="80"/>
      <c r="R255" s="80"/>
      <c r="S255" s="89">
        <f>SUM(M252:M255)</f>
        <v>45716</v>
      </c>
    </row>
    <row r="256" spans="2:19" ht="15.6" customHeight="1" x14ac:dyDescent="0.4">
      <c r="B256" s="77">
        <v>44498</v>
      </c>
      <c r="C256" s="64"/>
      <c r="D256" s="64"/>
      <c r="E256" s="64" t="s">
        <v>1226</v>
      </c>
      <c r="F256" s="64" t="s">
        <v>1227</v>
      </c>
      <c r="G256" s="71"/>
      <c r="H256" s="78">
        <v>0.1</v>
      </c>
      <c r="I256" s="79">
        <v>13</v>
      </c>
      <c r="J256" s="94">
        <v>1740</v>
      </c>
      <c r="K256" s="80">
        <f t="shared" si="28"/>
        <v>1914.0000000000002</v>
      </c>
      <c r="L256" s="80"/>
      <c r="M256" s="80">
        <f t="shared" si="26"/>
        <v>24882.000000000004</v>
      </c>
      <c r="N256" s="79"/>
      <c r="O256" s="79"/>
      <c r="P256" s="80"/>
      <c r="Q256" s="80"/>
      <c r="R256" s="80"/>
      <c r="S256" s="89"/>
    </row>
    <row r="257" spans="2:19" ht="15.6" customHeight="1" x14ac:dyDescent="0.4">
      <c r="B257" s="77">
        <v>44498</v>
      </c>
      <c r="C257" s="64"/>
      <c r="D257" s="64"/>
      <c r="E257" s="64" t="s">
        <v>1226</v>
      </c>
      <c r="F257" s="64" t="s">
        <v>1228</v>
      </c>
      <c r="G257" s="71"/>
      <c r="H257" s="78">
        <v>0.1</v>
      </c>
      <c r="I257" s="79">
        <v>47</v>
      </c>
      <c r="J257" s="94">
        <v>980</v>
      </c>
      <c r="K257" s="80">
        <f t="shared" si="28"/>
        <v>1078</v>
      </c>
      <c r="L257" s="80"/>
      <c r="M257" s="80">
        <f t="shared" si="26"/>
        <v>50666</v>
      </c>
      <c r="N257" s="79"/>
      <c r="O257" s="79"/>
      <c r="P257" s="80"/>
      <c r="Q257" s="80"/>
      <c r="R257" s="80"/>
      <c r="S257" s="89">
        <f>SUM(M256:M257)</f>
        <v>75548</v>
      </c>
    </row>
    <row r="258" spans="2:19" ht="15.6" customHeight="1" x14ac:dyDescent="0.4">
      <c r="B258" s="77">
        <v>44498</v>
      </c>
      <c r="C258" s="64"/>
      <c r="D258" s="64"/>
      <c r="E258" s="64" t="s">
        <v>1229</v>
      </c>
      <c r="F258" s="64" t="s">
        <v>1234</v>
      </c>
      <c r="G258" s="71" t="s">
        <v>1231</v>
      </c>
      <c r="H258" s="78">
        <v>0.1</v>
      </c>
      <c r="I258" s="79">
        <v>6</v>
      </c>
      <c r="J258" s="94">
        <v>280</v>
      </c>
      <c r="K258" s="80">
        <f t="shared" si="28"/>
        <v>308</v>
      </c>
      <c r="L258" s="80"/>
      <c r="M258" s="80">
        <f t="shared" si="26"/>
        <v>1848</v>
      </c>
      <c r="N258" s="79"/>
      <c r="O258" s="79"/>
      <c r="P258" s="80"/>
      <c r="Q258" s="80"/>
      <c r="R258" s="80"/>
      <c r="S258" s="89"/>
    </row>
    <row r="259" spans="2:19" ht="15.6" customHeight="1" x14ac:dyDescent="0.4">
      <c r="B259" s="77">
        <v>44498</v>
      </c>
      <c r="C259" s="64"/>
      <c r="D259" s="64"/>
      <c r="E259" s="64" t="s">
        <v>1229</v>
      </c>
      <c r="F259" s="64" t="s">
        <v>1233</v>
      </c>
      <c r="G259" s="71" t="s">
        <v>1236</v>
      </c>
      <c r="H259" s="78">
        <v>0.1</v>
      </c>
      <c r="I259" s="79">
        <v>6</v>
      </c>
      <c r="J259" s="94">
        <v>280</v>
      </c>
      <c r="K259" s="80">
        <f t="shared" ref="K259:K276" si="29">J259*110%</f>
        <v>308</v>
      </c>
      <c r="L259" s="80"/>
      <c r="M259" s="80">
        <f t="shared" ref="M259:M276" si="30">K259*I259</f>
        <v>1848</v>
      </c>
      <c r="N259" s="79"/>
      <c r="O259" s="79"/>
      <c r="P259" s="80"/>
      <c r="Q259" s="80"/>
      <c r="R259" s="80"/>
      <c r="S259" s="89"/>
    </row>
    <row r="260" spans="2:19" ht="15.6" customHeight="1" x14ac:dyDescent="0.4">
      <c r="B260" s="77">
        <v>44498</v>
      </c>
      <c r="C260" s="64"/>
      <c r="D260" s="64"/>
      <c r="E260" s="64" t="s">
        <v>1229</v>
      </c>
      <c r="F260" s="64" t="s">
        <v>1235</v>
      </c>
      <c r="G260" s="71" t="s">
        <v>1237</v>
      </c>
      <c r="H260" s="78">
        <v>0.1</v>
      </c>
      <c r="I260" s="79">
        <v>6</v>
      </c>
      <c r="J260" s="94">
        <v>320</v>
      </c>
      <c r="K260" s="80">
        <f t="shared" si="29"/>
        <v>352</v>
      </c>
      <c r="L260" s="80"/>
      <c r="M260" s="80">
        <f t="shared" si="30"/>
        <v>2112</v>
      </c>
      <c r="N260" s="79"/>
      <c r="O260" s="79"/>
      <c r="P260" s="80"/>
      <c r="Q260" s="80"/>
      <c r="R260" s="80"/>
      <c r="S260" s="89"/>
    </row>
    <row r="261" spans="2:19" ht="15.6" customHeight="1" x14ac:dyDescent="0.4">
      <c r="B261" s="77">
        <v>44498</v>
      </c>
      <c r="C261" s="64"/>
      <c r="D261" s="64"/>
      <c r="E261" s="64" t="s">
        <v>1229</v>
      </c>
      <c r="F261" s="64" t="s">
        <v>1245</v>
      </c>
      <c r="G261" s="71" t="s">
        <v>1238</v>
      </c>
      <c r="H261" s="78">
        <v>0.1</v>
      </c>
      <c r="I261" s="79">
        <v>2</v>
      </c>
      <c r="J261" s="94">
        <v>280</v>
      </c>
      <c r="K261" s="80">
        <f t="shared" si="29"/>
        <v>308</v>
      </c>
      <c r="L261" s="80"/>
      <c r="M261" s="80">
        <f t="shared" si="30"/>
        <v>616</v>
      </c>
      <c r="N261" s="79"/>
      <c r="O261" s="79"/>
      <c r="P261" s="80"/>
      <c r="Q261" s="80"/>
      <c r="R261" s="80"/>
      <c r="S261" s="89"/>
    </row>
    <row r="262" spans="2:19" ht="15.6" customHeight="1" x14ac:dyDescent="0.4">
      <c r="B262" s="77">
        <v>44498</v>
      </c>
      <c r="C262" s="64"/>
      <c r="D262" s="64"/>
      <c r="E262" s="64" t="s">
        <v>1229</v>
      </c>
      <c r="F262" s="64" t="s">
        <v>1246</v>
      </c>
      <c r="G262" s="71" t="s">
        <v>1239</v>
      </c>
      <c r="H262" s="78">
        <v>0.1</v>
      </c>
      <c r="I262" s="79">
        <v>2</v>
      </c>
      <c r="J262" s="94">
        <v>280</v>
      </c>
      <c r="K262" s="80">
        <f t="shared" si="29"/>
        <v>308</v>
      </c>
      <c r="L262" s="80"/>
      <c r="M262" s="80">
        <f t="shared" si="30"/>
        <v>616</v>
      </c>
      <c r="N262" s="79"/>
      <c r="O262" s="79"/>
      <c r="P262" s="80"/>
      <c r="Q262" s="80"/>
      <c r="R262" s="80"/>
      <c r="S262" s="89"/>
    </row>
    <row r="263" spans="2:19" ht="15.6" customHeight="1" x14ac:dyDescent="0.4">
      <c r="B263" s="77">
        <v>44498</v>
      </c>
      <c r="C263" s="64"/>
      <c r="D263" s="64"/>
      <c r="E263" s="64" t="s">
        <v>1229</v>
      </c>
      <c r="F263" s="64" t="s">
        <v>1247</v>
      </c>
      <c r="G263" s="71" t="s">
        <v>1240</v>
      </c>
      <c r="H263" s="78">
        <v>0.1</v>
      </c>
      <c r="I263" s="79">
        <v>2</v>
      </c>
      <c r="J263" s="94">
        <v>280</v>
      </c>
      <c r="K263" s="80">
        <f t="shared" si="29"/>
        <v>308</v>
      </c>
      <c r="L263" s="80"/>
      <c r="M263" s="80">
        <f t="shared" si="30"/>
        <v>616</v>
      </c>
      <c r="N263" s="79"/>
      <c r="O263" s="79"/>
      <c r="P263" s="80"/>
      <c r="Q263" s="80"/>
      <c r="R263" s="80"/>
      <c r="S263" s="89"/>
    </row>
    <row r="264" spans="2:19" ht="15.6" customHeight="1" x14ac:dyDescent="0.4">
      <c r="B264" s="77">
        <v>44498</v>
      </c>
      <c r="C264" s="64"/>
      <c r="D264" s="64"/>
      <c r="E264" s="64" t="s">
        <v>1229</v>
      </c>
      <c r="F264" s="64" t="s">
        <v>1248</v>
      </c>
      <c r="G264" s="71" t="s">
        <v>1241</v>
      </c>
      <c r="H264" s="78">
        <v>0.1</v>
      </c>
      <c r="I264" s="79">
        <v>2</v>
      </c>
      <c r="J264" s="94">
        <v>280</v>
      </c>
      <c r="K264" s="80">
        <f t="shared" si="29"/>
        <v>308</v>
      </c>
      <c r="L264" s="80"/>
      <c r="M264" s="80">
        <f t="shared" si="30"/>
        <v>616</v>
      </c>
      <c r="N264" s="79"/>
      <c r="O264" s="79"/>
      <c r="P264" s="80"/>
      <c r="Q264" s="80"/>
      <c r="R264" s="80"/>
      <c r="S264" s="89"/>
    </row>
    <row r="265" spans="2:19" ht="15.6" customHeight="1" x14ac:dyDescent="0.4">
      <c r="B265" s="77">
        <v>44498</v>
      </c>
      <c r="C265" s="64"/>
      <c r="D265" s="64"/>
      <c r="E265" s="64" t="s">
        <v>1229</v>
      </c>
      <c r="F265" s="64" t="s">
        <v>1249</v>
      </c>
      <c r="G265" s="71" t="s">
        <v>1242</v>
      </c>
      <c r="H265" s="78">
        <v>0.1</v>
      </c>
      <c r="I265" s="79">
        <v>2</v>
      </c>
      <c r="J265" s="94">
        <v>280</v>
      </c>
      <c r="K265" s="80">
        <f t="shared" si="29"/>
        <v>308</v>
      </c>
      <c r="L265" s="80"/>
      <c r="M265" s="80">
        <f t="shared" si="30"/>
        <v>616</v>
      </c>
      <c r="N265" s="79"/>
      <c r="O265" s="79"/>
      <c r="P265" s="80"/>
      <c r="Q265" s="80"/>
      <c r="R265" s="80"/>
      <c r="S265" s="89"/>
    </row>
    <row r="266" spans="2:19" ht="15.6" customHeight="1" x14ac:dyDescent="0.4">
      <c r="B266" s="77">
        <v>44498</v>
      </c>
      <c r="C266" s="64"/>
      <c r="D266" s="64"/>
      <c r="E266" s="64" t="s">
        <v>1229</v>
      </c>
      <c r="F266" s="64" t="s">
        <v>1250</v>
      </c>
      <c r="G266" s="71" t="s">
        <v>1243</v>
      </c>
      <c r="H266" s="78">
        <v>0.1</v>
      </c>
      <c r="I266" s="79">
        <v>6</v>
      </c>
      <c r="J266" s="94">
        <v>370</v>
      </c>
      <c r="K266" s="80">
        <f t="shared" si="29"/>
        <v>407.00000000000006</v>
      </c>
      <c r="L266" s="80"/>
      <c r="M266" s="80">
        <f t="shared" si="30"/>
        <v>2442.0000000000005</v>
      </c>
      <c r="N266" s="79"/>
      <c r="O266" s="79"/>
      <c r="P266" s="80"/>
      <c r="Q266" s="80"/>
      <c r="R266" s="80"/>
      <c r="S266" s="89"/>
    </row>
    <row r="267" spans="2:19" ht="15.6" customHeight="1" x14ac:dyDescent="0.4">
      <c r="B267" s="77">
        <v>44498</v>
      </c>
      <c r="C267" s="64"/>
      <c r="D267" s="64"/>
      <c r="E267" s="64" t="s">
        <v>1229</v>
      </c>
      <c r="F267" s="64" t="s">
        <v>1251</v>
      </c>
      <c r="G267" s="71" t="s">
        <v>1244</v>
      </c>
      <c r="H267" s="78">
        <v>0.1</v>
      </c>
      <c r="I267" s="79">
        <v>30</v>
      </c>
      <c r="J267" s="94">
        <v>299</v>
      </c>
      <c r="K267" s="80">
        <f t="shared" si="29"/>
        <v>328.90000000000003</v>
      </c>
      <c r="L267" s="80"/>
      <c r="M267" s="80">
        <f t="shared" si="30"/>
        <v>9867.0000000000018</v>
      </c>
      <c r="N267" s="79"/>
      <c r="O267" s="79"/>
      <c r="P267" s="80"/>
      <c r="Q267" s="80"/>
      <c r="R267" s="80"/>
      <c r="S267" s="89"/>
    </row>
    <row r="268" spans="2:19" ht="15.6" customHeight="1" x14ac:dyDescent="0.4">
      <c r="B268" s="77">
        <v>44498</v>
      </c>
      <c r="C268" s="64"/>
      <c r="D268" s="64"/>
      <c r="E268" s="64" t="s">
        <v>1229</v>
      </c>
      <c r="F268" s="64" t="s">
        <v>1232</v>
      </c>
      <c r="G268" s="71" t="s">
        <v>1230</v>
      </c>
      <c r="H268" s="78">
        <v>0.1</v>
      </c>
      <c r="I268" s="79">
        <v>6</v>
      </c>
      <c r="J268" s="94">
        <v>390</v>
      </c>
      <c r="K268" s="80">
        <f t="shared" si="29"/>
        <v>429.00000000000006</v>
      </c>
      <c r="L268" s="80"/>
      <c r="M268" s="80">
        <f t="shared" si="30"/>
        <v>2574.0000000000005</v>
      </c>
      <c r="N268" s="79"/>
      <c r="O268" s="79"/>
      <c r="P268" s="80"/>
      <c r="Q268" s="80"/>
      <c r="R268" s="80"/>
      <c r="S268" s="89">
        <f>SUM(M258:M268)</f>
        <v>23771</v>
      </c>
    </row>
    <row r="269" spans="2:19" ht="15.6" customHeight="1" x14ac:dyDescent="0.4">
      <c r="B269" s="77">
        <v>44498</v>
      </c>
      <c r="C269" s="64"/>
      <c r="D269" s="64"/>
      <c r="E269" s="64" t="s">
        <v>1252</v>
      </c>
      <c r="F269" s="64" t="s">
        <v>1253</v>
      </c>
      <c r="G269" s="71"/>
      <c r="H269" s="78">
        <v>0.1</v>
      </c>
      <c r="I269" s="79">
        <v>10</v>
      </c>
      <c r="J269" s="94">
        <v>1980</v>
      </c>
      <c r="K269" s="80">
        <f t="shared" si="29"/>
        <v>2178</v>
      </c>
      <c r="L269" s="80"/>
      <c r="M269" s="80">
        <f t="shared" si="30"/>
        <v>21780</v>
      </c>
      <c r="N269" s="79"/>
      <c r="O269" s="79"/>
      <c r="P269" s="80"/>
      <c r="Q269" s="80"/>
      <c r="R269" s="80"/>
      <c r="S269" s="89"/>
    </row>
    <row r="270" spans="2:19" ht="15.6" customHeight="1" x14ac:dyDescent="0.4">
      <c r="B270" s="77">
        <v>44498</v>
      </c>
      <c r="C270" s="64"/>
      <c r="D270" s="64"/>
      <c r="E270" s="64" t="s">
        <v>1252</v>
      </c>
      <c r="F270" s="64" t="s">
        <v>1254</v>
      </c>
      <c r="G270" s="71"/>
      <c r="H270" s="78">
        <v>0.1</v>
      </c>
      <c r="I270" s="79">
        <v>10</v>
      </c>
      <c r="J270" s="94">
        <v>2980</v>
      </c>
      <c r="K270" s="80">
        <f t="shared" si="29"/>
        <v>3278.0000000000005</v>
      </c>
      <c r="L270" s="80"/>
      <c r="M270" s="80">
        <f t="shared" si="30"/>
        <v>32780.000000000007</v>
      </c>
      <c r="N270" s="79"/>
      <c r="O270" s="79"/>
      <c r="P270" s="80"/>
      <c r="Q270" s="80"/>
      <c r="R270" s="80"/>
      <c r="S270" s="89"/>
    </row>
    <row r="271" spans="2:19" ht="15.6" customHeight="1" x14ac:dyDescent="0.4">
      <c r="B271" s="77">
        <v>44498</v>
      </c>
      <c r="C271" s="64"/>
      <c r="D271" s="64"/>
      <c r="E271" s="64" t="s">
        <v>1252</v>
      </c>
      <c r="F271" s="64" t="s">
        <v>1255</v>
      </c>
      <c r="G271" s="71"/>
      <c r="H271" s="78">
        <v>0.1</v>
      </c>
      <c r="I271" s="79">
        <v>4</v>
      </c>
      <c r="J271" s="94">
        <v>2980</v>
      </c>
      <c r="K271" s="80">
        <f t="shared" si="29"/>
        <v>3278.0000000000005</v>
      </c>
      <c r="L271" s="80"/>
      <c r="M271" s="80">
        <f t="shared" si="30"/>
        <v>13112.000000000002</v>
      </c>
      <c r="N271" s="79"/>
      <c r="O271" s="79"/>
      <c r="P271" s="80"/>
      <c r="Q271" s="80"/>
      <c r="R271" s="80"/>
      <c r="S271" s="89"/>
    </row>
    <row r="272" spans="2:19" ht="15.6" customHeight="1" x14ac:dyDescent="0.4">
      <c r="B272" s="77">
        <v>44498</v>
      </c>
      <c r="C272" s="64"/>
      <c r="D272" s="64"/>
      <c r="E272" s="64" t="s">
        <v>1252</v>
      </c>
      <c r="F272" s="64" t="s">
        <v>1256</v>
      </c>
      <c r="G272" s="71"/>
      <c r="H272" s="78">
        <v>0.1</v>
      </c>
      <c r="I272" s="79">
        <v>7</v>
      </c>
      <c r="J272" s="94">
        <v>2980</v>
      </c>
      <c r="K272" s="80">
        <f t="shared" si="29"/>
        <v>3278.0000000000005</v>
      </c>
      <c r="L272" s="80"/>
      <c r="M272" s="80">
        <f t="shared" si="30"/>
        <v>22946.000000000004</v>
      </c>
      <c r="N272" s="79"/>
      <c r="O272" s="79"/>
      <c r="P272" s="80"/>
      <c r="Q272" s="80"/>
      <c r="R272" s="80"/>
      <c r="S272" s="89"/>
    </row>
    <row r="273" spans="2:19" ht="15.6" customHeight="1" x14ac:dyDescent="0.4">
      <c r="B273" s="77">
        <v>44498</v>
      </c>
      <c r="C273" s="64"/>
      <c r="D273" s="64"/>
      <c r="E273" s="64" t="s">
        <v>1252</v>
      </c>
      <c r="F273" s="64" t="s">
        <v>1257</v>
      </c>
      <c r="G273" s="71"/>
      <c r="H273" s="78">
        <v>0.1</v>
      </c>
      <c r="I273" s="79">
        <v>2</v>
      </c>
      <c r="J273" s="94">
        <v>2980</v>
      </c>
      <c r="K273" s="80">
        <f t="shared" si="29"/>
        <v>3278.0000000000005</v>
      </c>
      <c r="L273" s="80"/>
      <c r="M273" s="80">
        <f t="shared" si="30"/>
        <v>6556.0000000000009</v>
      </c>
      <c r="N273" s="79"/>
      <c r="O273" s="79"/>
      <c r="P273" s="80"/>
      <c r="Q273" s="80"/>
      <c r="R273" s="80"/>
      <c r="S273" s="89"/>
    </row>
    <row r="274" spans="2:19" ht="15.6" customHeight="1" x14ac:dyDescent="0.4">
      <c r="B274" s="77">
        <v>44498</v>
      </c>
      <c r="C274" s="64"/>
      <c r="D274" s="64"/>
      <c r="E274" s="64" t="s">
        <v>1252</v>
      </c>
      <c r="F274" s="64" t="s">
        <v>1258</v>
      </c>
      <c r="G274" s="71"/>
      <c r="H274" s="78">
        <v>0.1</v>
      </c>
      <c r="I274" s="79">
        <v>42</v>
      </c>
      <c r="J274" s="94">
        <v>2980</v>
      </c>
      <c r="K274" s="80">
        <f t="shared" si="29"/>
        <v>3278.0000000000005</v>
      </c>
      <c r="L274" s="80"/>
      <c r="M274" s="80">
        <f t="shared" si="30"/>
        <v>137676.00000000003</v>
      </c>
      <c r="N274" s="79"/>
      <c r="O274" s="79"/>
      <c r="P274" s="80"/>
      <c r="Q274" s="80"/>
      <c r="R274" s="80"/>
      <c r="S274" s="89"/>
    </row>
    <row r="275" spans="2:19" ht="15.6" customHeight="1" x14ac:dyDescent="0.4">
      <c r="B275" s="77">
        <v>44498</v>
      </c>
      <c r="C275" s="64"/>
      <c r="D275" s="64"/>
      <c r="E275" s="64" t="s">
        <v>1252</v>
      </c>
      <c r="F275" s="64" t="s">
        <v>1259</v>
      </c>
      <c r="G275" s="71"/>
      <c r="H275" s="78">
        <v>0.1</v>
      </c>
      <c r="I275" s="79">
        <v>9</v>
      </c>
      <c r="J275" s="94">
        <v>3980</v>
      </c>
      <c r="K275" s="80">
        <f t="shared" si="29"/>
        <v>4378</v>
      </c>
      <c r="L275" s="80"/>
      <c r="M275" s="80">
        <f t="shared" si="30"/>
        <v>39402</v>
      </c>
      <c r="N275" s="79"/>
      <c r="O275" s="79"/>
      <c r="P275" s="80"/>
      <c r="Q275" s="80"/>
      <c r="R275" s="80"/>
      <c r="S275" s="65"/>
    </row>
    <row r="276" spans="2:19" ht="15.6" customHeight="1" x14ac:dyDescent="0.4">
      <c r="B276" s="77">
        <v>44498</v>
      </c>
      <c r="C276" s="64"/>
      <c r="D276" s="64"/>
      <c r="E276" s="102" t="s">
        <v>1252</v>
      </c>
      <c r="F276" s="102" t="s">
        <v>1262</v>
      </c>
      <c r="G276" s="103"/>
      <c r="H276" s="104">
        <v>0.1</v>
      </c>
      <c r="I276" s="105">
        <v>1</v>
      </c>
      <c r="J276" s="106">
        <v>-12466</v>
      </c>
      <c r="K276" s="107">
        <f t="shared" si="29"/>
        <v>-13712.6</v>
      </c>
      <c r="L276" s="107"/>
      <c r="M276" s="107">
        <f t="shared" si="30"/>
        <v>-13712.6</v>
      </c>
      <c r="N276" s="79"/>
      <c r="O276" s="79"/>
      <c r="P276" s="80"/>
      <c r="Q276" s="80"/>
      <c r="R276" s="80"/>
      <c r="S276" s="89">
        <f>SUM(M269:M276)</f>
        <v>260539.40000000005</v>
      </c>
    </row>
    <row r="277" spans="2:19" ht="15.6" customHeight="1" x14ac:dyDescent="0.4">
      <c r="B277" s="77">
        <v>44498</v>
      </c>
      <c r="C277" s="64"/>
      <c r="D277" s="64"/>
      <c r="E277" s="64" t="s">
        <v>1260</v>
      </c>
      <c r="F277" s="64" t="s">
        <v>1261</v>
      </c>
      <c r="G277" s="71" t="s">
        <v>675</v>
      </c>
      <c r="H277" s="78">
        <v>0.1</v>
      </c>
      <c r="I277" s="79">
        <v>25</v>
      </c>
      <c r="J277" s="94">
        <v>259</v>
      </c>
      <c r="K277" s="80">
        <f t="shared" ref="K277:K291" si="31">J277*110%</f>
        <v>284.90000000000003</v>
      </c>
      <c r="L277" s="80"/>
      <c r="M277" s="80">
        <f t="shared" ref="M277:M294" si="32">K277*I277</f>
        <v>7122.5000000000009</v>
      </c>
      <c r="N277" s="79"/>
      <c r="O277" s="79"/>
      <c r="P277" s="80"/>
      <c r="Q277" s="80"/>
      <c r="R277" s="80"/>
      <c r="S277" s="65"/>
    </row>
    <row r="278" spans="2:19" ht="15.6" customHeight="1" x14ac:dyDescent="0.4">
      <c r="B278" s="77">
        <v>44498</v>
      </c>
      <c r="C278" s="64"/>
      <c r="D278" s="64"/>
      <c r="E278" s="64" t="s">
        <v>1260</v>
      </c>
      <c r="F278" s="64" t="s">
        <v>1263</v>
      </c>
      <c r="G278" s="71" t="s">
        <v>1264</v>
      </c>
      <c r="H278" s="78">
        <v>0.1</v>
      </c>
      <c r="I278" s="79">
        <v>12</v>
      </c>
      <c r="J278" s="94">
        <v>599</v>
      </c>
      <c r="K278" s="80">
        <f t="shared" si="31"/>
        <v>658.90000000000009</v>
      </c>
      <c r="L278" s="80"/>
      <c r="M278" s="80">
        <f t="shared" si="32"/>
        <v>7906.8000000000011</v>
      </c>
      <c r="N278" s="79"/>
      <c r="O278" s="79"/>
      <c r="P278" s="80"/>
      <c r="Q278" s="80"/>
      <c r="R278" s="80"/>
      <c r="S278" s="89"/>
    </row>
    <row r="279" spans="2:19" ht="15.6" customHeight="1" x14ac:dyDescent="0.4">
      <c r="B279" s="77">
        <v>44498</v>
      </c>
      <c r="C279" s="64"/>
      <c r="D279" s="64"/>
      <c r="E279" s="64" t="s">
        <v>1260</v>
      </c>
      <c r="F279" s="64" t="s">
        <v>1265</v>
      </c>
      <c r="G279" s="71" t="s">
        <v>1266</v>
      </c>
      <c r="H279" s="78">
        <v>0.08</v>
      </c>
      <c r="I279" s="79">
        <v>24</v>
      </c>
      <c r="J279" s="94">
        <v>79</v>
      </c>
      <c r="K279" s="80">
        <f>J279*108%</f>
        <v>85.320000000000007</v>
      </c>
      <c r="L279" s="80"/>
      <c r="M279" s="80">
        <f t="shared" si="32"/>
        <v>2047.6800000000003</v>
      </c>
      <c r="N279" s="79"/>
      <c r="O279" s="79"/>
      <c r="P279" s="80"/>
      <c r="Q279" s="80"/>
      <c r="R279" s="80"/>
      <c r="S279" s="89"/>
    </row>
    <row r="280" spans="2:19" ht="15.6" customHeight="1" x14ac:dyDescent="0.4">
      <c r="B280" s="77">
        <v>44498</v>
      </c>
      <c r="C280" s="64"/>
      <c r="D280" s="64"/>
      <c r="E280" s="64" t="s">
        <v>1260</v>
      </c>
      <c r="F280" s="64" t="s">
        <v>1267</v>
      </c>
      <c r="G280" s="71" t="s">
        <v>1275</v>
      </c>
      <c r="H280" s="78">
        <v>0.1</v>
      </c>
      <c r="I280" s="79">
        <v>4</v>
      </c>
      <c r="J280" s="94">
        <v>379</v>
      </c>
      <c r="K280" s="80">
        <f t="shared" si="31"/>
        <v>416.90000000000003</v>
      </c>
      <c r="L280" s="80"/>
      <c r="M280" s="80">
        <f t="shared" si="32"/>
        <v>1667.6000000000001</v>
      </c>
      <c r="N280" s="79"/>
      <c r="O280" s="79"/>
      <c r="P280" s="80"/>
      <c r="Q280" s="80"/>
      <c r="R280" s="80"/>
      <c r="S280" s="89"/>
    </row>
    <row r="281" spans="2:19" ht="15.6" customHeight="1" x14ac:dyDescent="0.4">
      <c r="B281" s="77">
        <v>44498</v>
      </c>
      <c r="C281" s="64"/>
      <c r="D281" s="64"/>
      <c r="E281" s="64" t="s">
        <v>1260</v>
      </c>
      <c r="F281" s="64" t="s">
        <v>1268</v>
      </c>
      <c r="G281" s="71" t="s">
        <v>1276</v>
      </c>
      <c r="H281" s="78">
        <v>0.1</v>
      </c>
      <c r="I281" s="79">
        <v>2</v>
      </c>
      <c r="J281" s="94">
        <v>379</v>
      </c>
      <c r="K281" s="80">
        <f t="shared" si="31"/>
        <v>416.90000000000003</v>
      </c>
      <c r="L281" s="80"/>
      <c r="M281" s="80">
        <f t="shared" si="32"/>
        <v>833.80000000000007</v>
      </c>
      <c r="N281" s="79"/>
      <c r="O281" s="79"/>
      <c r="P281" s="80"/>
      <c r="Q281" s="80"/>
      <c r="R281" s="80"/>
      <c r="S281" s="89"/>
    </row>
    <row r="282" spans="2:19" ht="15.6" customHeight="1" x14ac:dyDescent="0.4">
      <c r="B282" s="77">
        <v>44498</v>
      </c>
      <c r="C282" s="64"/>
      <c r="D282" s="64"/>
      <c r="E282" s="64" t="s">
        <v>1260</v>
      </c>
      <c r="F282" s="64" t="s">
        <v>1269</v>
      </c>
      <c r="G282" s="71" t="s">
        <v>1277</v>
      </c>
      <c r="H282" s="78">
        <v>0.1</v>
      </c>
      <c r="I282" s="79">
        <v>4</v>
      </c>
      <c r="J282" s="94">
        <v>399</v>
      </c>
      <c r="K282" s="80">
        <f t="shared" si="31"/>
        <v>438.90000000000003</v>
      </c>
      <c r="L282" s="80"/>
      <c r="M282" s="80">
        <f t="shared" si="32"/>
        <v>1755.6000000000001</v>
      </c>
      <c r="N282" s="79"/>
      <c r="O282" s="79"/>
      <c r="P282" s="80"/>
      <c r="Q282" s="80"/>
      <c r="R282" s="80"/>
      <c r="S282" s="89"/>
    </row>
    <row r="283" spans="2:19" ht="15.6" customHeight="1" x14ac:dyDescent="0.4">
      <c r="B283" s="77">
        <v>44498</v>
      </c>
      <c r="C283" s="64"/>
      <c r="D283" s="64"/>
      <c r="E283" s="64" t="s">
        <v>1260</v>
      </c>
      <c r="F283" s="64" t="s">
        <v>1270</v>
      </c>
      <c r="G283" s="71" t="s">
        <v>1278</v>
      </c>
      <c r="H283" s="78">
        <v>0.1</v>
      </c>
      <c r="I283" s="79">
        <v>4</v>
      </c>
      <c r="J283" s="94">
        <v>279</v>
      </c>
      <c r="K283" s="80">
        <f t="shared" si="31"/>
        <v>306.90000000000003</v>
      </c>
      <c r="L283" s="80"/>
      <c r="M283" s="80">
        <f t="shared" si="32"/>
        <v>1227.6000000000001</v>
      </c>
      <c r="N283" s="79"/>
      <c r="O283" s="79"/>
      <c r="P283" s="80"/>
      <c r="Q283" s="80"/>
      <c r="R283" s="80"/>
      <c r="S283" s="89"/>
    </row>
    <row r="284" spans="2:19" ht="15.6" customHeight="1" x14ac:dyDescent="0.4">
      <c r="B284" s="77">
        <v>44498</v>
      </c>
      <c r="C284" s="64"/>
      <c r="D284" s="64"/>
      <c r="E284" s="64" t="s">
        <v>1260</v>
      </c>
      <c r="F284" s="64" t="s">
        <v>1271</v>
      </c>
      <c r="G284" s="71" t="s">
        <v>1279</v>
      </c>
      <c r="H284" s="78">
        <v>0.1</v>
      </c>
      <c r="I284" s="79">
        <v>4</v>
      </c>
      <c r="J284" s="94">
        <v>279</v>
      </c>
      <c r="K284" s="80">
        <f t="shared" si="31"/>
        <v>306.90000000000003</v>
      </c>
      <c r="L284" s="80"/>
      <c r="M284" s="80">
        <f t="shared" si="32"/>
        <v>1227.6000000000001</v>
      </c>
      <c r="N284" s="79"/>
      <c r="O284" s="79"/>
      <c r="P284" s="80"/>
      <c r="Q284" s="80"/>
      <c r="R284" s="80"/>
      <c r="S284" s="89"/>
    </row>
    <row r="285" spans="2:19" ht="15.6" customHeight="1" x14ac:dyDescent="0.4">
      <c r="B285" s="77">
        <v>44498</v>
      </c>
      <c r="C285" s="64"/>
      <c r="D285" s="64"/>
      <c r="E285" s="64" t="s">
        <v>1260</v>
      </c>
      <c r="F285" s="64" t="s">
        <v>1272</v>
      </c>
      <c r="G285" s="71" t="s">
        <v>1280</v>
      </c>
      <c r="H285" s="78">
        <v>0.1</v>
      </c>
      <c r="I285" s="79">
        <v>4</v>
      </c>
      <c r="J285" s="94">
        <v>299</v>
      </c>
      <c r="K285" s="80">
        <f t="shared" si="31"/>
        <v>328.90000000000003</v>
      </c>
      <c r="L285" s="80"/>
      <c r="M285" s="80">
        <f t="shared" si="32"/>
        <v>1315.6000000000001</v>
      </c>
      <c r="N285" s="79"/>
      <c r="O285" s="79"/>
      <c r="P285" s="80"/>
      <c r="Q285" s="80"/>
      <c r="R285" s="80"/>
      <c r="S285" s="89"/>
    </row>
    <row r="286" spans="2:19" ht="15.6" customHeight="1" x14ac:dyDescent="0.4">
      <c r="B286" s="77">
        <v>44498</v>
      </c>
      <c r="C286" s="64"/>
      <c r="D286" s="64"/>
      <c r="E286" s="64" t="s">
        <v>1260</v>
      </c>
      <c r="F286" s="64" t="s">
        <v>1273</v>
      </c>
      <c r="G286" s="71" t="s">
        <v>1281</v>
      </c>
      <c r="H286" s="78">
        <v>0.1</v>
      </c>
      <c r="I286" s="79">
        <v>30</v>
      </c>
      <c r="J286" s="94">
        <v>198</v>
      </c>
      <c r="K286" s="80">
        <f t="shared" si="31"/>
        <v>217.8</v>
      </c>
      <c r="L286" s="80"/>
      <c r="M286" s="80">
        <f t="shared" si="32"/>
        <v>6534</v>
      </c>
      <c r="N286" s="79"/>
      <c r="O286" s="79"/>
      <c r="P286" s="80"/>
      <c r="Q286" s="80"/>
      <c r="R286" s="80"/>
      <c r="S286" s="89"/>
    </row>
    <row r="287" spans="2:19" ht="15.6" customHeight="1" x14ac:dyDescent="0.4">
      <c r="B287" s="77">
        <v>44498</v>
      </c>
      <c r="C287" s="64"/>
      <c r="D287" s="64"/>
      <c r="E287" s="64" t="s">
        <v>1260</v>
      </c>
      <c r="F287" s="64" t="s">
        <v>1274</v>
      </c>
      <c r="G287" s="71" t="s">
        <v>1282</v>
      </c>
      <c r="H287" s="78">
        <v>0.1</v>
      </c>
      <c r="I287" s="79">
        <v>20</v>
      </c>
      <c r="J287" s="94">
        <v>198</v>
      </c>
      <c r="K287" s="80">
        <f t="shared" si="31"/>
        <v>217.8</v>
      </c>
      <c r="L287" s="80"/>
      <c r="M287" s="80">
        <f t="shared" si="32"/>
        <v>4356</v>
      </c>
      <c r="N287" s="79"/>
      <c r="O287" s="79"/>
      <c r="P287" s="80"/>
      <c r="Q287" s="80"/>
      <c r="R287" s="80"/>
      <c r="S287" s="89">
        <f>SUM(M277:M287)</f>
        <v>35994.78</v>
      </c>
    </row>
    <row r="288" spans="2:19" ht="15.6" customHeight="1" x14ac:dyDescent="0.4">
      <c r="B288" s="77">
        <v>44498</v>
      </c>
      <c r="C288" s="64"/>
      <c r="D288" s="64"/>
      <c r="E288" s="64" t="s">
        <v>1260</v>
      </c>
      <c r="F288" s="64" t="s">
        <v>1283</v>
      </c>
      <c r="G288" s="71"/>
      <c r="H288" s="78">
        <v>0.08</v>
      </c>
      <c r="I288" s="79">
        <v>6</v>
      </c>
      <c r="J288" s="94">
        <f>63/1.08</f>
        <v>58.333333333333329</v>
      </c>
      <c r="K288" s="80">
        <f>J288*108%</f>
        <v>63</v>
      </c>
      <c r="L288" s="80"/>
      <c r="M288" s="80">
        <f t="shared" si="32"/>
        <v>378</v>
      </c>
      <c r="N288" s="79"/>
      <c r="O288" s="79"/>
      <c r="P288" s="80"/>
      <c r="Q288" s="80"/>
      <c r="R288" s="80"/>
      <c r="S288" s="89"/>
    </row>
    <row r="289" spans="2:19" ht="15.6" customHeight="1" x14ac:dyDescent="0.4">
      <c r="B289" s="77">
        <v>44498</v>
      </c>
      <c r="C289" s="64"/>
      <c r="D289" s="64"/>
      <c r="E289" s="64" t="s">
        <v>1260</v>
      </c>
      <c r="F289" s="64" t="s">
        <v>1284</v>
      </c>
      <c r="G289" s="71"/>
      <c r="H289" s="78">
        <v>0.1</v>
      </c>
      <c r="I289" s="79">
        <v>1</v>
      </c>
      <c r="J289" s="94">
        <v>3</v>
      </c>
      <c r="K289" s="80">
        <f>J289*110%</f>
        <v>3.3000000000000003</v>
      </c>
      <c r="L289" s="80"/>
      <c r="M289" s="80">
        <f t="shared" si="32"/>
        <v>3.3000000000000003</v>
      </c>
      <c r="N289" s="79"/>
      <c r="O289" s="79"/>
      <c r="P289" s="80"/>
      <c r="Q289" s="80"/>
      <c r="R289" s="80"/>
      <c r="S289" s="89">
        <f>SUM(M288:M289)</f>
        <v>381.3</v>
      </c>
    </row>
    <row r="290" spans="2:19" ht="15.6" customHeight="1" x14ac:dyDescent="0.4">
      <c r="B290" s="77">
        <v>44498</v>
      </c>
      <c r="C290" s="64"/>
      <c r="D290" s="64"/>
      <c r="E290" s="64" t="s">
        <v>1260</v>
      </c>
      <c r="F290" s="64" t="s">
        <v>1283</v>
      </c>
      <c r="G290" s="71"/>
      <c r="H290" s="78">
        <v>0.08</v>
      </c>
      <c r="I290" s="79">
        <v>9</v>
      </c>
      <c r="J290" s="94">
        <f>63/1.08</f>
        <v>58.333333333333329</v>
      </c>
      <c r="K290" s="80">
        <f>J290*108%</f>
        <v>63</v>
      </c>
      <c r="L290" s="80"/>
      <c r="M290" s="80">
        <f t="shared" si="32"/>
        <v>567</v>
      </c>
      <c r="N290" s="79"/>
      <c r="O290" s="79"/>
      <c r="P290" s="80"/>
      <c r="Q290" s="80"/>
      <c r="R290" s="80"/>
      <c r="S290" s="89"/>
    </row>
    <row r="291" spans="2:19" ht="15.6" customHeight="1" x14ac:dyDescent="0.4">
      <c r="B291" s="77">
        <v>44498</v>
      </c>
      <c r="C291" s="64"/>
      <c r="D291" s="64"/>
      <c r="E291" s="64" t="s">
        <v>1260</v>
      </c>
      <c r="F291" s="64" t="s">
        <v>1285</v>
      </c>
      <c r="G291" s="71"/>
      <c r="H291" s="78">
        <v>0.1</v>
      </c>
      <c r="I291" s="79">
        <v>1</v>
      </c>
      <c r="J291" s="94">
        <v>5</v>
      </c>
      <c r="K291" s="80">
        <f t="shared" si="31"/>
        <v>5.5</v>
      </c>
      <c r="L291" s="80"/>
      <c r="M291" s="80">
        <f t="shared" si="32"/>
        <v>5.5</v>
      </c>
      <c r="N291" s="79"/>
      <c r="O291" s="79"/>
      <c r="P291" s="80"/>
      <c r="Q291" s="80"/>
      <c r="R291" s="80"/>
      <c r="S291" s="89">
        <f>SUM(M290:M291)</f>
        <v>572.5</v>
      </c>
    </row>
    <row r="292" spans="2:19" ht="15.6" customHeight="1" x14ac:dyDescent="0.4">
      <c r="B292" s="77"/>
      <c r="C292" s="64"/>
      <c r="D292" s="64"/>
      <c r="E292" s="64"/>
      <c r="F292" s="64"/>
      <c r="G292" s="71"/>
      <c r="H292" s="78"/>
      <c r="I292" s="79"/>
      <c r="J292" s="94"/>
      <c r="K292" s="80"/>
      <c r="L292" s="80"/>
      <c r="M292" s="80"/>
      <c r="N292" s="79"/>
      <c r="O292" s="79"/>
      <c r="P292" s="80"/>
      <c r="Q292" s="80"/>
      <c r="R292" s="80"/>
      <c r="S292" s="89"/>
    </row>
    <row r="293" spans="2:19" ht="15.6" customHeight="1" x14ac:dyDescent="0.4">
      <c r="B293" s="77">
        <v>44499</v>
      </c>
      <c r="C293" s="64"/>
      <c r="D293" s="64"/>
      <c r="E293" s="64" t="s">
        <v>1286</v>
      </c>
      <c r="F293" s="64" t="s">
        <v>1287</v>
      </c>
      <c r="G293" s="71" t="s">
        <v>1288</v>
      </c>
      <c r="H293" s="78">
        <v>0.1</v>
      </c>
      <c r="I293" s="79">
        <v>18</v>
      </c>
      <c r="J293" s="94">
        <f>251/1.1</f>
        <v>228.18181818181816</v>
      </c>
      <c r="K293" s="80">
        <f>J293*110%</f>
        <v>251</v>
      </c>
      <c r="L293" s="80"/>
      <c r="M293" s="80">
        <f t="shared" si="32"/>
        <v>4518</v>
      </c>
      <c r="N293" s="79"/>
      <c r="O293" s="79"/>
      <c r="P293" s="80"/>
      <c r="Q293" s="80"/>
      <c r="R293" s="80"/>
      <c r="S293" s="89">
        <f>SUM(M293)</f>
        <v>4518</v>
      </c>
    </row>
    <row r="294" spans="2:19" ht="15.6" customHeight="1" x14ac:dyDescent="0.4">
      <c r="B294" s="77">
        <v>44499</v>
      </c>
      <c r="C294" s="64"/>
      <c r="D294" s="64"/>
      <c r="E294" s="64" t="s">
        <v>1286</v>
      </c>
      <c r="F294" s="64" t="s">
        <v>1289</v>
      </c>
      <c r="G294" s="71" t="s">
        <v>1290</v>
      </c>
      <c r="H294" s="78">
        <v>0.08</v>
      </c>
      <c r="I294" s="79">
        <v>72</v>
      </c>
      <c r="J294" s="94">
        <f>63/1.08</f>
        <v>58.333333333333329</v>
      </c>
      <c r="K294" s="80">
        <f>J294*108%</f>
        <v>63</v>
      </c>
      <c r="L294" s="80"/>
      <c r="M294" s="80">
        <f t="shared" si="32"/>
        <v>4536</v>
      </c>
      <c r="N294" s="79"/>
      <c r="O294" s="79"/>
      <c r="P294" s="80"/>
      <c r="Q294" s="80"/>
      <c r="R294" s="80"/>
      <c r="S294" s="89"/>
    </row>
    <row r="295" spans="2:19" ht="15.6" customHeight="1" x14ac:dyDescent="0.4">
      <c r="B295" s="77">
        <v>44499</v>
      </c>
      <c r="C295" s="64"/>
      <c r="D295" s="64"/>
      <c r="E295" s="64" t="s">
        <v>1286</v>
      </c>
      <c r="F295" s="64" t="s">
        <v>1291</v>
      </c>
      <c r="G295" s="71" t="s">
        <v>1292</v>
      </c>
      <c r="H295" s="78">
        <v>0.08</v>
      </c>
      <c r="I295" s="79">
        <v>120</v>
      </c>
      <c r="J295" s="94">
        <f>59/1.08</f>
        <v>54.629629629629626</v>
      </c>
      <c r="K295" s="80">
        <f t="shared" ref="K295" si="33">J295*108%</f>
        <v>59</v>
      </c>
      <c r="L295" s="80"/>
      <c r="M295" s="80">
        <f t="shared" ref="M295:M297" si="34">K295*I295</f>
        <v>7080</v>
      </c>
      <c r="N295" s="79"/>
      <c r="O295" s="79"/>
      <c r="P295" s="80"/>
      <c r="Q295" s="80"/>
      <c r="R295" s="80"/>
      <c r="S295" s="89">
        <f>SUM(M294:M295)</f>
        <v>11616</v>
      </c>
    </row>
    <row r="296" spans="2:19" ht="15.6" customHeight="1" x14ac:dyDescent="0.4">
      <c r="B296" s="77"/>
      <c r="C296" s="64"/>
      <c r="D296" s="64"/>
      <c r="E296" s="64"/>
      <c r="F296" s="64"/>
      <c r="G296" s="71"/>
      <c r="H296" s="78"/>
      <c r="I296" s="79"/>
      <c r="J296" s="94"/>
      <c r="K296" s="80"/>
      <c r="L296" s="80"/>
      <c r="M296" s="80"/>
      <c r="N296" s="79"/>
      <c r="O296" s="79"/>
      <c r="P296" s="80"/>
      <c r="Q296" s="80"/>
      <c r="R296" s="80"/>
      <c r="S296" s="89"/>
    </row>
    <row r="297" spans="2:19" ht="15.6" customHeight="1" x14ac:dyDescent="0.4">
      <c r="B297" s="108">
        <v>44498</v>
      </c>
      <c r="C297" s="109"/>
      <c r="D297" s="109"/>
      <c r="E297" s="109" t="s">
        <v>1293</v>
      </c>
      <c r="F297" s="109" t="s">
        <v>1294</v>
      </c>
      <c r="G297" s="110" t="s">
        <v>1295</v>
      </c>
      <c r="H297" s="111">
        <v>0.1</v>
      </c>
      <c r="I297" s="112">
        <v>50</v>
      </c>
      <c r="J297" s="113">
        <f>1500/2</f>
        <v>750</v>
      </c>
      <c r="K297" s="114">
        <f>J297*110%</f>
        <v>825.00000000000011</v>
      </c>
      <c r="L297" s="114"/>
      <c r="M297" s="114">
        <f t="shared" si="34"/>
        <v>41250.000000000007</v>
      </c>
      <c r="N297" s="112"/>
      <c r="O297" s="112"/>
      <c r="P297" s="114"/>
      <c r="Q297" s="114"/>
      <c r="R297" s="114"/>
      <c r="S297" s="89"/>
    </row>
    <row r="298" spans="2:19" ht="15.6" customHeight="1" x14ac:dyDescent="0.4">
      <c r="B298" s="108">
        <v>44498</v>
      </c>
      <c r="C298" s="109"/>
      <c r="D298" s="109"/>
      <c r="E298" s="109" t="s">
        <v>1293</v>
      </c>
      <c r="F298" s="109" t="s">
        <v>1296</v>
      </c>
      <c r="G298" s="110" t="s">
        <v>1297</v>
      </c>
      <c r="H298" s="111">
        <v>0.1</v>
      </c>
      <c r="I298" s="112">
        <v>80</v>
      </c>
      <c r="J298" s="113">
        <f>1200/2</f>
        <v>600</v>
      </c>
      <c r="K298" s="114">
        <f>J298*110%</f>
        <v>660</v>
      </c>
      <c r="L298" s="114"/>
      <c r="M298" s="114">
        <f t="shared" ref="M298:M299" si="35">K298*I298</f>
        <v>52800</v>
      </c>
      <c r="N298" s="112"/>
      <c r="O298" s="112"/>
      <c r="P298" s="114"/>
      <c r="Q298" s="114"/>
      <c r="R298" s="114"/>
      <c r="S298" s="89"/>
    </row>
    <row r="299" spans="2:19" ht="15.6" customHeight="1" x14ac:dyDescent="0.4">
      <c r="B299" s="108">
        <v>44498</v>
      </c>
      <c r="C299" s="109"/>
      <c r="D299" s="109"/>
      <c r="E299" s="109" t="s">
        <v>1293</v>
      </c>
      <c r="F299" s="109"/>
      <c r="G299" s="115" t="s">
        <v>1298</v>
      </c>
      <c r="H299" s="116">
        <v>0.1</v>
      </c>
      <c r="I299" s="117">
        <v>1</v>
      </c>
      <c r="J299" s="118">
        <v>-3400</v>
      </c>
      <c r="K299" s="119">
        <f>J299*110%</f>
        <v>-3740.0000000000005</v>
      </c>
      <c r="L299" s="119"/>
      <c r="M299" s="119">
        <f t="shared" si="35"/>
        <v>-3740.0000000000005</v>
      </c>
      <c r="N299" s="112"/>
      <c r="O299" s="112"/>
      <c r="P299" s="114"/>
      <c r="Q299" s="114"/>
      <c r="R299" s="114"/>
      <c r="S299" s="97">
        <f>SUM(M297:M299)</f>
        <v>90310</v>
      </c>
    </row>
    <row r="300" spans="2:19" ht="15.6" customHeight="1" x14ac:dyDescent="0.4">
      <c r="B300" s="77"/>
      <c r="C300" s="64"/>
      <c r="D300" s="64"/>
      <c r="E300" s="64"/>
      <c r="F300" s="64"/>
      <c r="G300" s="71"/>
      <c r="H300" s="78"/>
      <c r="I300" s="79"/>
      <c r="J300" s="94"/>
      <c r="K300" s="80"/>
      <c r="L300" s="80"/>
      <c r="M300" s="80"/>
      <c r="N300" s="79"/>
      <c r="O300" s="79"/>
      <c r="P300" s="80"/>
      <c r="Q300" s="80"/>
      <c r="R300" s="80"/>
      <c r="S300" s="89"/>
    </row>
    <row r="301" spans="2:19" ht="15.6" customHeight="1" x14ac:dyDescent="0.4">
      <c r="B301" s="77"/>
      <c r="C301" s="64"/>
      <c r="D301" s="64"/>
      <c r="E301" s="64"/>
      <c r="F301" s="64"/>
      <c r="G301" s="71"/>
      <c r="H301" s="78"/>
      <c r="I301" s="79"/>
      <c r="J301" s="94"/>
      <c r="K301" s="80"/>
      <c r="L301" s="80"/>
      <c r="M301" s="80"/>
      <c r="N301" s="79"/>
      <c r="O301" s="79"/>
      <c r="P301" s="80"/>
      <c r="Q301" s="80"/>
      <c r="R301" s="80"/>
      <c r="S301" s="89"/>
    </row>
    <row r="302" spans="2:19" ht="15.6" customHeight="1" x14ac:dyDescent="0.4">
      <c r="B302" s="77"/>
      <c r="C302" s="64"/>
      <c r="D302" s="64"/>
      <c r="E302" s="64"/>
      <c r="F302" s="64"/>
      <c r="G302" s="71"/>
      <c r="H302" s="78"/>
      <c r="I302" s="79"/>
      <c r="J302" s="94"/>
      <c r="K302" s="80"/>
      <c r="L302" s="80"/>
      <c r="M302" s="80"/>
      <c r="N302" s="79"/>
      <c r="O302" s="79"/>
      <c r="P302" s="80"/>
      <c r="Q302" s="80"/>
      <c r="R302" s="80"/>
      <c r="S302" s="89"/>
    </row>
    <row r="303" spans="2:19" ht="15.6" customHeight="1" x14ac:dyDescent="0.4">
      <c r="B303" s="108">
        <v>44500</v>
      </c>
      <c r="C303" s="109"/>
      <c r="D303" s="109"/>
      <c r="E303" s="109" t="s">
        <v>1299</v>
      </c>
      <c r="F303" s="109" t="s">
        <v>1300</v>
      </c>
      <c r="G303" s="110"/>
      <c r="H303" s="111">
        <v>0.08</v>
      </c>
      <c r="I303" s="112">
        <v>11</v>
      </c>
      <c r="J303" s="113">
        <f>1074/1.08</f>
        <v>994.44444444444434</v>
      </c>
      <c r="K303" s="114">
        <f>J303*108%</f>
        <v>1074</v>
      </c>
      <c r="L303" s="114"/>
      <c r="M303" s="114">
        <f t="shared" ref="M303:M326" si="36">K303*I303</f>
        <v>11814</v>
      </c>
      <c r="N303" s="112"/>
      <c r="O303" s="112"/>
      <c r="P303" s="114"/>
      <c r="Q303" s="114"/>
      <c r="R303" s="114"/>
      <c r="S303" s="89"/>
    </row>
    <row r="304" spans="2:19" ht="15.6" customHeight="1" x14ac:dyDescent="0.4">
      <c r="B304" s="108">
        <v>44500</v>
      </c>
      <c r="C304" s="109"/>
      <c r="D304" s="109"/>
      <c r="E304" s="109" t="s">
        <v>1299</v>
      </c>
      <c r="F304" s="109" t="s">
        <v>1301</v>
      </c>
      <c r="G304" s="110"/>
      <c r="H304" s="111">
        <v>0.08</v>
      </c>
      <c r="I304" s="112">
        <v>8</v>
      </c>
      <c r="J304" s="113">
        <f>1600/1.08</f>
        <v>1481.4814814814813</v>
      </c>
      <c r="K304" s="114">
        <f t="shared" ref="K304:K326" si="37">J304*108%</f>
        <v>1600</v>
      </c>
      <c r="L304" s="114"/>
      <c r="M304" s="114">
        <f t="shared" si="36"/>
        <v>12800</v>
      </c>
      <c r="N304" s="112"/>
      <c r="O304" s="112"/>
      <c r="P304" s="114"/>
      <c r="Q304" s="114"/>
      <c r="R304" s="114"/>
      <c r="S304" s="89"/>
    </row>
    <row r="305" spans="2:19" ht="15.6" customHeight="1" x14ac:dyDescent="0.4">
      <c r="B305" s="108">
        <v>44500</v>
      </c>
      <c r="C305" s="109"/>
      <c r="D305" s="109"/>
      <c r="E305" s="109" t="s">
        <v>1299</v>
      </c>
      <c r="F305" s="109" t="s">
        <v>1302</v>
      </c>
      <c r="G305" s="110"/>
      <c r="H305" s="111">
        <v>0.08</v>
      </c>
      <c r="I305" s="112">
        <v>1</v>
      </c>
      <c r="J305" s="113">
        <f>3180/1.08</f>
        <v>2944.4444444444443</v>
      </c>
      <c r="K305" s="114">
        <f t="shared" si="37"/>
        <v>3180</v>
      </c>
      <c r="L305" s="114"/>
      <c r="M305" s="114">
        <f t="shared" si="36"/>
        <v>3180</v>
      </c>
      <c r="N305" s="112"/>
      <c r="O305" s="112"/>
      <c r="P305" s="114"/>
      <c r="Q305" s="114"/>
      <c r="R305" s="114"/>
      <c r="S305" s="89"/>
    </row>
    <row r="306" spans="2:19" ht="15.6" customHeight="1" x14ac:dyDescent="0.4">
      <c r="B306" s="108">
        <v>44500</v>
      </c>
      <c r="C306" s="109"/>
      <c r="D306" s="109"/>
      <c r="E306" s="109" t="s">
        <v>1299</v>
      </c>
      <c r="F306" s="109" t="s">
        <v>1303</v>
      </c>
      <c r="G306" s="110"/>
      <c r="H306" s="111">
        <v>0.08</v>
      </c>
      <c r="I306" s="112">
        <v>1</v>
      </c>
      <c r="J306" s="113">
        <f>3180/1.08</f>
        <v>2944.4444444444443</v>
      </c>
      <c r="K306" s="114">
        <f t="shared" si="37"/>
        <v>3180</v>
      </c>
      <c r="L306" s="114"/>
      <c r="M306" s="114">
        <f t="shared" si="36"/>
        <v>3180</v>
      </c>
      <c r="N306" s="112"/>
      <c r="O306" s="112"/>
      <c r="P306" s="114"/>
      <c r="Q306" s="114"/>
      <c r="R306" s="114"/>
      <c r="S306" s="89"/>
    </row>
    <row r="307" spans="2:19" ht="15.6" customHeight="1" x14ac:dyDescent="0.4">
      <c r="B307" s="108">
        <v>44500</v>
      </c>
      <c r="C307" s="109"/>
      <c r="D307" s="109"/>
      <c r="E307" s="109" t="s">
        <v>1299</v>
      </c>
      <c r="F307" s="109" t="s">
        <v>1304</v>
      </c>
      <c r="G307" s="110"/>
      <c r="H307" s="111">
        <v>0.08</v>
      </c>
      <c r="I307" s="112">
        <v>24</v>
      </c>
      <c r="J307" s="113">
        <f>299/1.08</f>
        <v>276.85185185185185</v>
      </c>
      <c r="K307" s="114">
        <f t="shared" si="37"/>
        <v>299</v>
      </c>
      <c r="L307" s="114"/>
      <c r="M307" s="114">
        <f t="shared" si="36"/>
        <v>7176</v>
      </c>
      <c r="N307" s="112"/>
      <c r="O307" s="112"/>
      <c r="P307" s="114"/>
      <c r="Q307" s="114"/>
      <c r="R307" s="114"/>
      <c r="S307" s="89"/>
    </row>
    <row r="308" spans="2:19" ht="15.6" customHeight="1" x14ac:dyDescent="0.4">
      <c r="B308" s="108">
        <v>44500</v>
      </c>
      <c r="C308" s="109"/>
      <c r="D308" s="109"/>
      <c r="E308" s="109" t="s">
        <v>1299</v>
      </c>
      <c r="F308" s="109" t="s">
        <v>1305</v>
      </c>
      <c r="G308" s="110"/>
      <c r="H308" s="111">
        <v>0.08</v>
      </c>
      <c r="I308" s="112">
        <v>4</v>
      </c>
      <c r="J308" s="113">
        <f>1068/1.08</f>
        <v>988.8888888888888</v>
      </c>
      <c r="K308" s="114">
        <f t="shared" si="37"/>
        <v>1068</v>
      </c>
      <c r="L308" s="114"/>
      <c r="M308" s="114">
        <f t="shared" si="36"/>
        <v>4272</v>
      </c>
      <c r="N308" s="112"/>
      <c r="O308" s="112"/>
      <c r="P308" s="114"/>
      <c r="Q308" s="114"/>
      <c r="R308" s="114"/>
      <c r="S308" s="89"/>
    </row>
    <row r="309" spans="2:19" ht="15.6" customHeight="1" x14ac:dyDescent="0.4">
      <c r="B309" s="108">
        <v>44500</v>
      </c>
      <c r="C309" s="109"/>
      <c r="D309" s="109"/>
      <c r="E309" s="109" t="s">
        <v>1299</v>
      </c>
      <c r="F309" s="109" t="s">
        <v>1306</v>
      </c>
      <c r="G309" s="110"/>
      <c r="H309" s="111">
        <v>0.08</v>
      </c>
      <c r="I309" s="112">
        <v>6</v>
      </c>
      <c r="J309" s="113">
        <f>1068/1.08</f>
        <v>988.8888888888888</v>
      </c>
      <c r="K309" s="114">
        <f t="shared" si="37"/>
        <v>1068</v>
      </c>
      <c r="L309" s="114"/>
      <c r="M309" s="114">
        <f t="shared" si="36"/>
        <v>6408</v>
      </c>
      <c r="N309" s="112"/>
      <c r="O309" s="112"/>
      <c r="P309" s="114"/>
      <c r="Q309" s="114"/>
      <c r="R309" s="114"/>
      <c r="S309" s="89"/>
    </row>
    <row r="310" spans="2:19" ht="15.6" customHeight="1" x14ac:dyDescent="0.4">
      <c r="B310" s="108">
        <v>44500</v>
      </c>
      <c r="C310" s="109"/>
      <c r="D310" s="109"/>
      <c r="E310" s="109" t="s">
        <v>1299</v>
      </c>
      <c r="F310" s="109" t="s">
        <v>1307</v>
      </c>
      <c r="G310" s="110"/>
      <c r="H310" s="111">
        <v>0.08</v>
      </c>
      <c r="I310" s="112">
        <v>3</v>
      </c>
      <c r="J310" s="113">
        <f>1780/1.08</f>
        <v>1648.148148148148</v>
      </c>
      <c r="K310" s="114">
        <f t="shared" si="37"/>
        <v>1780</v>
      </c>
      <c r="L310" s="114"/>
      <c r="M310" s="114">
        <f t="shared" si="36"/>
        <v>5340</v>
      </c>
      <c r="N310" s="112"/>
      <c r="O310" s="112"/>
      <c r="P310" s="114"/>
      <c r="Q310" s="114"/>
      <c r="R310" s="114"/>
      <c r="S310" s="89"/>
    </row>
    <row r="311" spans="2:19" ht="15.6" customHeight="1" x14ac:dyDescent="0.4">
      <c r="B311" s="108">
        <v>44500</v>
      </c>
      <c r="C311" s="109"/>
      <c r="D311" s="109"/>
      <c r="E311" s="109" t="s">
        <v>1299</v>
      </c>
      <c r="F311" s="109" t="s">
        <v>1308</v>
      </c>
      <c r="G311" s="110"/>
      <c r="H311" s="111">
        <v>0.08</v>
      </c>
      <c r="I311" s="112">
        <v>2</v>
      </c>
      <c r="J311" s="113">
        <f>1020/1.08</f>
        <v>944.44444444444434</v>
      </c>
      <c r="K311" s="114">
        <f t="shared" si="37"/>
        <v>1020</v>
      </c>
      <c r="L311" s="114"/>
      <c r="M311" s="114">
        <f t="shared" si="36"/>
        <v>2040</v>
      </c>
      <c r="N311" s="112"/>
      <c r="O311" s="112"/>
      <c r="P311" s="114"/>
      <c r="Q311" s="114"/>
      <c r="R311" s="114"/>
      <c r="S311" s="89"/>
    </row>
    <row r="312" spans="2:19" ht="15.6" customHeight="1" x14ac:dyDescent="0.4">
      <c r="B312" s="108">
        <v>44500</v>
      </c>
      <c r="C312" s="109"/>
      <c r="D312" s="109"/>
      <c r="E312" s="109" t="s">
        <v>1299</v>
      </c>
      <c r="F312" s="109" t="s">
        <v>1309</v>
      </c>
      <c r="G312" s="110"/>
      <c r="H312" s="111">
        <v>0.08</v>
      </c>
      <c r="I312" s="112">
        <v>2</v>
      </c>
      <c r="J312" s="113">
        <f>1020/1.08</f>
        <v>944.44444444444434</v>
      </c>
      <c r="K312" s="114">
        <f t="shared" si="37"/>
        <v>1020</v>
      </c>
      <c r="L312" s="114"/>
      <c r="M312" s="114">
        <f t="shared" si="36"/>
        <v>2040</v>
      </c>
      <c r="N312" s="112"/>
      <c r="O312" s="112"/>
      <c r="P312" s="114"/>
      <c r="Q312" s="114"/>
      <c r="R312" s="114"/>
      <c r="S312" s="89"/>
    </row>
    <row r="313" spans="2:19" ht="15.6" customHeight="1" x14ac:dyDescent="0.4">
      <c r="B313" s="108">
        <v>44500</v>
      </c>
      <c r="C313" s="109"/>
      <c r="D313" s="109"/>
      <c r="E313" s="109" t="s">
        <v>1299</v>
      </c>
      <c r="F313" s="109" t="s">
        <v>1310</v>
      </c>
      <c r="G313" s="110"/>
      <c r="H313" s="111">
        <v>0.08</v>
      </c>
      <c r="I313" s="112">
        <v>5</v>
      </c>
      <c r="J313" s="113">
        <f>1896/1.08</f>
        <v>1755.5555555555554</v>
      </c>
      <c r="K313" s="114">
        <f t="shared" si="37"/>
        <v>1896</v>
      </c>
      <c r="L313" s="114"/>
      <c r="M313" s="114">
        <f t="shared" si="36"/>
        <v>9480</v>
      </c>
      <c r="N313" s="112"/>
      <c r="O313" s="112"/>
      <c r="P313" s="114"/>
      <c r="Q313" s="114"/>
      <c r="R313" s="114"/>
      <c r="S313" s="89"/>
    </row>
    <row r="314" spans="2:19" ht="15.6" customHeight="1" x14ac:dyDescent="0.4">
      <c r="B314" s="108">
        <v>44500</v>
      </c>
      <c r="C314" s="109"/>
      <c r="D314" s="109"/>
      <c r="E314" s="109" t="s">
        <v>1299</v>
      </c>
      <c r="F314" s="109" t="s">
        <v>1311</v>
      </c>
      <c r="G314" s="110"/>
      <c r="H314" s="111">
        <v>0.08</v>
      </c>
      <c r="I314" s="112">
        <v>5</v>
      </c>
      <c r="J314" s="113">
        <f>1896/1.08</f>
        <v>1755.5555555555554</v>
      </c>
      <c r="K314" s="114">
        <f t="shared" si="37"/>
        <v>1896</v>
      </c>
      <c r="L314" s="114"/>
      <c r="M314" s="114">
        <f t="shared" si="36"/>
        <v>9480</v>
      </c>
      <c r="N314" s="112"/>
      <c r="O314" s="112"/>
      <c r="P314" s="114"/>
      <c r="Q314" s="114"/>
      <c r="R314" s="114"/>
      <c r="S314" s="89"/>
    </row>
    <row r="315" spans="2:19" ht="15.6" customHeight="1" x14ac:dyDescent="0.4">
      <c r="B315" s="108">
        <v>44500</v>
      </c>
      <c r="C315" s="109"/>
      <c r="D315" s="109"/>
      <c r="E315" s="109" t="s">
        <v>1299</v>
      </c>
      <c r="F315" s="109" t="s">
        <v>1312</v>
      </c>
      <c r="G315" s="110"/>
      <c r="H315" s="111">
        <v>0.08</v>
      </c>
      <c r="I315" s="112">
        <v>7</v>
      </c>
      <c r="J315" s="113">
        <f>399/1.08</f>
        <v>369.4444444444444</v>
      </c>
      <c r="K315" s="114">
        <f t="shared" si="37"/>
        <v>399</v>
      </c>
      <c r="L315" s="114"/>
      <c r="M315" s="114">
        <f t="shared" si="36"/>
        <v>2793</v>
      </c>
      <c r="N315" s="112"/>
      <c r="O315" s="112"/>
      <c r="P315" s="114"/>
      <c r="Q315" s="114"/>
      <c r="R315" s="114"/>
      <c r="S315" s="89"/>
    </row>
    <row r="316" spans="2:19" ht="15.6" customHeight="1" x14ac:dyDescent="0.4">
      <c r="B316" s="108">
        <v>44500</v>
      </c>
      <c r="C316" s="109"/>
      <c r="D316" s="109"/>
      <c r="E316" s="109" t="s">
        <v>1299</v>
      </c>
      <c r="F316" s="109" t="s">
        <v>1313</v>
      </c>
      <c r="G316" s="110"/>
      <c r="H316" s="111">
        <v>0.1</v>
      </c>
      <c r="I316" s="112">
        <v>48</v>
      </c>
      <c r="J316" s="113">
        <f>199/1.1</f>
        <v>180.90909090909091</v>
      </c>
      <c r="K316" s="114">
        <f>J316*110%</f>
        <v>199</v>
      </c>
      <c r="L316" s="114"/>
      <c r="M316" s="114">
        <f t="shared" si="36"/>
        <v>9552</v>
      </c>
      <c r="N316" s="112"/>
      <c r="O316" s="112"/>
      <c r="P316" s="114"/>
      <c r="Q316" s="114"/>
      <c r="R316" s="114"/>
      <c r="S316" s="89"/>
    </row>
    <row r="317" spans="2:19" ht="15.6" customHeight="1" x14ac:dyDescent="0.4">
      <c r="B317" s="108">
        <v>44500</v>
      </c>
      <c r="C317" s="109"/>
      <c r="D317" s="109"/>
      <c r="E317" s="109" t="s">
        <v>1299</v>
      </c>
      <c r="F317" s="109" t="s">
        <v>1314</v>
      </c>
      <c r="G317" s="110"/>
      <c r="H317" s="111">
        <v>0.1</v>
      </c>
      <c r="I317" s="112">
        <v>40</v>
      </c>
      <c r="J317" s="113">
        <f>99/1.1</f>
        <v>89.999999999999986</v>
      </c>
      <c r="K317" s="114">
        <f t="shared" ref="K317:K320" si="38">J317*110%</f>
        <v>98.999999999999986</v>
      </c>
      <c r="L317" s="114"/>
      <c r="M317" s="114">
        <f t="shared" si="36"/>
        <v>3959.9999999999995</v>
      </c>
      <c r="N317" s="112"/>
      <c r="O317" s="112"/>
      <c r="P317" s="114"/>
      <c r="Q317" s="114"/>
      <c r="R317" s="114"/>
      <c r="S317" s="89"/>
    </row>
    <row r="318" spans="2:19" ht="15.6" customHeight="1" x14ac:dyDescent="0.4">
      <c r="B318" s="108">
        <v>44500</v>
      </c>
      <c r="C318" s="109"/>
      <c r="D318" s="109"/>
      <c r="E318" s="109" t="s">
        <v>1299</v>
      </c>
      <c r="F318" s="109" t="s">
        <v>1315</v>
      </c>
      <c r="G318" s="110"/>
      <c r="H318" s="111">
        <v>0.1</v>
      </c>
      <c r="I318" s="112">
        <v>12</v>
      </c>
      <c r="J318" s="113">
        <f>299/1.1</f>
        <v>271.81818181818181</v>
      </c>
      <c r="K318" s="114">
        <f t="shared" si="38"/>
        <v>299</v>
      </c>
      <c r="L318" s="114"/>
      <c r="M318" s="114">
        <f t="shared" si="36"/>
        <v>3588</v>
      </c>
      <c r="N318" s="112"/>
      <c r="O318" s="112"/>
      <c r="P318" s="114"/>
      <c r="Q318" s="114"/>
      <c r="R318" s="114"/>
      <c r="S318" s="89"/>
    </row>
    <row r="319" spans="2:19" ht="15.6" customHeight="1" x14ac:dyDescent="0.4">
      <c r="B319" s="108">
        <v>44500</v>
      </c>
      <c r="C319" s="109"/>
      <c r="D319" s="109"/>
      <c r="E319" s="109" t="s">
        <v>1299</v>
      </c>
      <c r="F319" s="109" t="s">
        <v>1316</v>
      </c>
      <c r="G319" s="110"/>
      <c r="H319" s="111">
        <v>0.1</v>
      </c>
      <c r="I319" s="112">
        <v>6</v>
      </c>
      <c r="J319" s="113">
        <f>299/1.1</f>
        <v>271.81818181818181</v>
      </c>
      <c r="K319" s="114">
        <f t="shared" si="38"/>
        <v>299</v>
      </c>
      <c r="L319" s="114"/>
      <c r="M319" s="114">
        <f t="shared" si="36"/>
        <v>1794</v>
      </c>
      <c r="N319" s="112"/>
      <c r="O319" s="112"/>
      <c r="P319" s="114"/>
      <c r="Q319" s="114"/>
      <c r="R319" s="114"/>
      <c r="S319" s="89"/>
    </row>
    <row r="320" spans="2:19" ht="15.6" customHeight="1" x14ac:dyDescent="0.4">
      <c r="B320" s="108">
        <v>44500</v>
      </c>
      <c r="C320" s="109"/>
      <c r="D320" s="109"/>
      <c r="E320" s="109" t="s">
        <v>1299</v>
      </c>
      <c r="F320" s="109" t="s">
        <v>1317</v>
      </c>
      <c r="G320" s="110"/>
      <c r="H320" s="111">
        <v>0.1</v>
      </c>
      <c r="I320" s="112">
        <v>25</v>
      </c>
      <c r="J320" s="113">
        <f>199/1.1</f>
        <v>180.90909090909091</v>
      </c>
      <c r="K320" s="114">
        <f t="shared" si="38"/>
        <v>199</v>
      </c>
      <c r="L320" s="114"/>
      <c r="M320" s="114">
        <f t="shared" si="36"/>
        <v>4975</v>
      </c>
      <c r="N320" s="112"/>
      <c r="O320" s="112"/>
      <c r="P320" s="114"/>
      <c r="Q320" s="114"/>
      <c r="R320" s="114"/>
      <c r="S320" s="89"/>
    </row>
    <row r="321" spans="2:19" ht="15.6" customHeight="1" x14ac:dyDescent="0.4">
      <c r="B321" s="108">
        <v>44500</v>
      </c>
      <c r="C321" s="109"/>
      <c r="D321" s="109"/>
      <c r="E321" s="109" t="s">
        <v>1299</v>
      </c>
      <c r="F321" s="109" t="s">
        <v>1318</v>
      </c>
      <c r="G321" s="110"/>
      <c r="H321" s="111">
        <v>0.08</v>
      </c>
      <c r="I321" s="112">
        <v>3</v>
      </c>
      <c r="J321" s="113">
        <f>1656/1.08</f>
        <v>1533.3333333333333</v>
      </c>
      <c r="K321" s="114">
        <f t="shared" si="37"/>
        <v>1656</v>
      </c>
      <c r="L321" s="114"/>
      <c r="M321" s="114">
        <f t="shared" si="36"/>
        <v>4968</v>
      </c>
      <c r="N321" s="112"/>
      <c r="O321" s="112"/>
      <c r="P321" s="114"/>
      <c r="Q321" s="114"/>
      <c r="R321" s="114"/>
      <c r="S321" s="89"/>
    </row>
    <row r="322" spans="2:19" ht="15.6" customHeight="1" x14ac:dyDescent="0.4">
      <c r="B322" s="108">
        <v>44500</v>
      </c>
      <c r="C322" s="109"/>
      <c r="D322" s="109"/>
      <c r="E322" s="109" t="s">
        <v>1299</v>
      </c>
      <c r="F322" s="109" t="s">
        <v>1319</v>
      </c>
      <c r="G322" s="110"/>
      <c r="H322" s="111">
        <v>0.08</v>
      </c>
      <c r="I322" s="112">
        <v>4</v>
      </c>
      <c r="J322" s="113">
        <f>1656/1.08</f>
        <v>1533.3333333333333</v>
      </c>
      <c r="K322" s="114">
        <f t="shared" si="37"/>
        <v>1656</v>
      </c>
      <c r="L322" s="114"/>
      <c r="M322" s="114">
        <f t="shared" si="36"/>
        <v>6624</v>
      </c>
      <c r="N322" s="112"/>
      <c r="O322" s="112"/>
      <c r="P322" s="114"/>
      <c r="Q322" s="114"/>
      <c r="R322" s="114"/>
      <c r="S322" s="89"/>
    </row>
    <row r="323" spans="2:19" ht="15.6" customHeight="1" x14ac:dyDescent="0.4">
      <c r="B323" s="108">
        <v>44500</v>
      </c>
      <c r="C323" s="109"/>
      <c r="D323" s="109"/>
      <c r="E323" s="109" t="s">
        <v>1299</v>
      </c>
      <c r="F323" s="109" t="s">
        <v>1320</v>
      </c>
      <c r="G323" s="110"/>
      <c r="H323" s="111">
        <v>0.08</v>
      </c>
      <c r="I323" s="112">
        <v>50</v>
      </c>
      <c r="J323" s="113">
        <f>199/1.08</f>
        <v>184.25925925925924</v>
      </c>
      <c r="K323" s="114">
        <f t="shared" si="37"/>
        <v>199</v>
      </c>
      <c r="L323" s="114"/>
      <c r="M323" s="114">
        <f t="shared" si="36"/>
        <v>9950</v>
      </c>
      <c r="N323" s="112"/>
      <c r="O323" s="112"/>
      <c r="P323" s="114"/>
      <c r="Q323" s="114"/>
      <c r="R323" s="114"/>
      <c r="S323" s="89"/>
    </row>
    <row r="324" spans="2:19" ht="15.6" customHeight="1" x14ac:dyDescent="0.4">
      <c r="B324" s="108">
        <v>44500</v>
      </c>
      <c r="C324" s="109"/>
      <c r="D324" s="109"/>
      <c r="E324" s="109" t="s">
        <v>1299</v>
      </c>
      <c r="F324" s="109" t="s">
        <v>1324</v>
      </c>
      <c r="G324" s="110"/>
      <c r="H324" s="111">
        <v>0.08</v>
      </c>
      <c r="I324" s="112">
        <v>30</v>
      </c>
      <c r="J324" s="113">
        <f>99/1.08</f>
        <v>91.666666666666657</v>
      </c>
      <c r="K324" s="114">
        <f t="shared" ref="K324" si="39">J324*108%</f>
        <v>99</v>
      </c>
      <c r="L324" s="114"/>
      <c r="M324" s="114">
        <f t="shared" ref="M324" si="40">K324*I324</f>
        <v>2970</v>
      </c>
      <c r="N324" s="112"/>
      <c r="O324" s="112"/>
      <c r="P324" s="114"/>
      <c r="Q324" s="114"/>
      <c r="R324" s="114"/>
      <c r="S324" s="89"/>
    </row>
    <row r="325" spans="2:19" ht="15.6" customHeight="1" x14ac:dyDescent="0.4">
      <c r="B325" s="108">
        <v>44500</v>
      </c>
      <c r="C325" s="109"/>
      <c r="D325" s="109"/>
      <c r="E325" s="109" t="s">
        <v>1299</v>
      </c>
      <c r="F325" s="109" t="s">
        <v>1321</v>
      </c>
      <c r="G325" s="110"/>
      <c r="H325" s="111">
        <v>0.08</v>
      </c>
      <c r="I325" s="112">
        <v>30</v>
      </c>
      <c r="J325" s="113">
        <f>199/1.08</f>
        <v>184.25925925925924</v>
      </c>
      <c r="K325" s="114">
        <f t="shared" si="37"/>
        <v>199</v>
      </c>
      <c r="L325" s="114"/>
      <c r="M325" s="114">
        <f t="shared" si="36"/>
        <v>5970</v>
      </c>
      <c r="N325" s="112"/>
      <c r="O325" s="112"/>
      <c r="P325" s="114"/>
      <c r="Q325" s="114"/>
      <c r="R325" s="114"/>
      <c r="S325" s="89"/>
    </row>
    <row r="326" spans="2:19" ht="15.6" customHeight="1" x14ac:dyDescent="0.4">
      <c r="B326" s="108">
        <v>44500</v>
      </c>
      <c r="C326" s="109"/>
      <c r="D326" s="109"/>
      <c r="E326" s="109" t="s">
        <v>1299</v>
      </c>
      <c r="F326" s="109" t="s">
        <v>1322</v>
      </c>
      <c r="G326" s="110"/>
      <c r="H326" s="111">
        <v>0.08</v>
      </c>
      <c r="I326" s="112">
        <v>12</v>
      </c>
      <c r="J326" s="113">
        <f>139/1.08</f>
        <v>128.7037037037037</v>
      </c>
      <c r="K326" s="114">
        <f t="shared" si="37"/>
        <v>139</v>
      </c>
      <c r="L326" s="114"/>
      <c r="M326" s="114">
        <f t="shared" si="36"/>
        <v>1668</v>
      </c>
      <c r="N326" s="112"/>
      <c r="O326" s="112"/>
      <c r="P326" s="114"/>
      <c r="Q326" s="114"/>
      <c r="R326" s="114"/>
      <c r="S326" s="89"/>
    </row>
    <row r="327" spans="2:19" ht="15.6" customHeight="1" x14ac:dyDescent="0.4">
      <c r="B327" s="108">
        <v>44500</v>
      </c>
      <c r="C327" s="109"/>
      <c r="D327" s="109"/>
      <c r="E327" s="109" t="s">
        <v>1299</v>
      </c>
      <c r="F327" s="109" t="s">
        <v>1323</v>
      </c>
      <c r="G327" s="110"/>
      <c r="H327" s="111">
        <v>0.1</v>
      </c>
      <c r="I327" s="112">
        <v>18</v>
      </c>
      <c r="J327" s="113">
        <f>259/1.1</f>
        <v>235.45454545454544</v>
      </c>
      <c r="K327" s="114">
        <f>J327*110%</f>
        <v>259</v>
      </c>
      <c r="L327" s="114"/>
      <c r="M327" s="114">
        <f t="shared" ref="M327" si="41">K327*I327</f>
        <v>4662</v>
      </c>
      <c r="N327" s="112"/>
      <c r="O327" s="112"/>
      <c r="P327" s="114"/>
      <c r="Q327" s="114"/>
      <c r="R327" s="114"/>
      <c r="S327" s="89">
        <f>SUM(M303:M327)</f>
        <v>140684</v>
      </c>
    </row>
    <row r="328" spans="2:19" ht="15.6" customHeight="1" x14ac:dyDescent="0.4">
      <c r="B328" s="77"/>
      <c r="C328" s="64"/>
      <c r="D328" s="64"/>
      <c r="E328" s="64"/>
      <c r="F328" s="64"/>
      <c r="G328" s="71"/>
      <c r="H328" s="78"/>
      <c r="I328" s="79"/>
      <c r="J328" s="94"/>
      <c r="K328" s="80"/>
      <c r="L328" s="80"/>
      <c r="M328" s="80"/>
      <c r="N328" s="79"/>
      <c r="O328" s="79"/>
      <c r="P328" s="80"/>
      <c r="Q328" s="80"/>
      <c r="R328" s="80"/>
      <c r="S328" s="89"/>
    </row>
    <row r="329" spans="2:19" ht="15.6" customHeight="1" x14ac:dyDescent="0.4">
      <c r="B329" s="77"/>
      <c r="C329" s="64"/>
      <c r="D329" s="64"/>
      <c r="E329" s="64"/>
      <c r="F329" s="64"/>
      <c r="G329" s="71"/>
      <c r="H329" s="78"/>
      <c r="I329" s="79"/>
      <c r="J329" s="94"/>
      <c r="K329" s="80"/>
      <c r="L329" s="80"/>
      <c r="M329" s="80"/>
      <c r="N329" s="79"/>
      <c r="O329" s="79"/>
      <c r="P329" s="80"/>
      <c r="Q329" s="80"/>
      <c r="R329" s="80"/>
      <c r="S329" s="89"/>
    </row>
    <row r="330" spans="2:19" ht="15.6" customHeight="1" x14ac:dyDescent="0.4">
      <c r="B330" s="77"/>
      <c r="C330" s="64"/>
      <c r="D330" s="64"/>
      <c r="E330" s="64"/>
      <c r="F330" s="64"/>
      <c r="G330" s="71"/>
      <c r="H330" s="78"/>
      <c r="I330" s="79"/>
      <c r="J330" s="94"/>
      <c r="K330" s="80"/>
      <c r="L330" s="80"/>
      <c r="M330" s="80"/>
      <c r="N330" s="79"/>
      <c r="O330" s="79"/>
      <c r="P330" s="80"/>
      <c r="Q330" s="80"/>
      <c r="R330" s="80"/>
      <c r="S330" s="89"/>
    </row>
    <row r="331" spans="2:19" ht="15.6" customHeight="1" x14ac:dyDescent="0.4">
      <c r="B331" s="77"/>
      <c r="C331" s="64"/>
      <c r="D331" s="64"/>
      <c r="E331" s="64"/>
      <c r="F331" s="64"/>
      <c r="G331" s="71"/>
      <c r="H331" s="78"/>
      <c r="I331" s="79"/>
      <c r="J331" s="94"/>
      <c r="K331" s="80"/>
      <c r="L331" s="80"/>
      <c r="M331" s="80"/>
      <c r="N331" s="79"/>
      <c r="O331" s="79"/>
      <c r="P331" s="80"/>
      <c r="Q331" s="80"/>
      <c r="R331" s="80"/>
      <c r="S331" s="89"/>
    </row>
    <row r="332" spans="2:19" ht="15.6" customHeight="1" x14ac:dyDescent="0.4">
      <c r="B332" s="77"/>
      <c r="C332" s="64"/>
      <c r="D332" s="64"/>
      <c r="E332" s="64"/>
      <c r="F332" s="64"/>
      <c r="G332" s="71"/>
      <c r="H332" s="78"/>
      <c r="I332" s="79"/>
      <c r="J332" s="94"/>
      <c r="K332" s="80"/>
      <c r="L332" s="80"/>
      <c r="M332" s="80"/>
      <c r="N332" s="79"/>
      <c r="O332" s="79"/>
      <c r="P332" s="80"/>
      <c r="Q332" s="80"/>
      <c r="R332" s="80"/>
      <c r="S332" s="89"/>
    </row>
    <row r="333" spans="2:19" ht="15.6" customHeight="1" x14ac:dyDescent="0.4">
      <c r="B333" s="77"/>
      <c r="C333" s="64"/>
      <c r="D333" s="64"/>
      <c r="E333" s="64"/>
      <c r="F333" s="64"/>
      <c r="G333" s="71"/>
      <c r="H333" s="78"/>
      <c r="I333" s="79"/>
      <c r="J333" s="94"/>
      <c r="K333" s="80"/>
      <c r="L333" s="80"/>
      <c r="M333" s="80"/>
      <c r="N333" s="79"/>
      <c r="O333" s="79"/>
      <c r="P333" s="80"/>
      <c r="Q333" s="80"/>
      <c r="R333" s="80"/>
      <c r="S333" s="89"/>
    </row>
    <row r="334" spans="2:19" ht="15.6" customHeight="1" x14ac:dyDescent="0.4">
      <c r="B334" s="77"/>
      <c r="C334" s="64"/>
      <c r="D334" s="64"/>
      <c r="E334" s="64"/>
      <c r="F334" s="64"/>
      <c r="G334" s="71"/>
      <c r="H334" s="78"/>
      <c r="I334" s="79"/>
      <c r="J334" s="94"/>
      <c r="K334" s="80"/>
      <c r="L334" s="80"/>
      <c r="M334" s="80"/>
      <c r="N334" s="79"/>
      <c r="O334" s="79"/>
      <c r="P334" s="80"/>
      <c r="Q334" s="80"/>
      <c r="R334" s="80"/>
      <c r="S334" s="89"/>
    </row>
    <row r="335" spans="2:19" ht="15.6" customHeight="1" x14ac:dyDescent="0.4">
      <c r="B335" s="77"/>
      <c r="C335" s="64"/>
      <c r="D335" s="64"/>
      <c r="E335" s="64"/>
      <c r="F335" s="64"/>
      <c r="G335" s="71"/>
      <c r="H335" s="78"/>
      <c r="I335" s="79"/>
      <c r="J335" s="94"/>
      <c r="K335" s="80"/>
      <c r="L335" s="80"/>
      <c r="M335" s="80"/>
      <c r="N335" s="79"/>
      <c r="O335" s="79"/>
      <c r="P335" s="80"/>
      <c r="Q335" s="80"/>
      <c r="R335" s="80"/>
      <c r="S335" s="89"/>
    </row>
    <row r="336" spans="2:19" ht="15.6" customHeight="1" x14ac:dyDescent="0.4">
      <c r="B336" s="77"/>
      <c r="C336" s="64"/>
      <c r="D336" s="64"/>
      <c r="E336" s="64"/>
      <c r="F336" s="64"/>
      <c r="G336" s="71"/>
      <c r="H336" s="78"/>
      <c r="I336" s="79"/>
      <c r="J336" s="94"/>
      <c r="K336" s="80"/>
      <c r="L336" s="80"/>
      <c r="M336" s="80"/>
      <c r="N336" s="79"/>
      <c r="O336" s="79"/>
      <c r="P336" s="80"/>
      <c r="Q336" s="80"/>
      <c r="R336" s="80"/>
      <c r="S336" s="89"/>
    </row>
    <row r="337" spans="2:19" x14ac:dyDescent="0.4">
      <c r="B337" s="77">
        <v>44499</v>
      </c>
      <c r="C337" s="64"/>
      <c r="D337" s="64"/>
      <c r="E337" s="64" t="s">
        <v>471</v>
      </c>
      <c r="F337" s="64" t="s">
        <v>472</v>
      </c>
      <c r="G337" s="71" t="s">
        <v>260</v>
      </c>
      <c r="H337" s="78">
        <v>0.08</v>
      </c>
      <c r="I337" s="79">
        <f>30*2</f>
        <v>60</v>
      </c>
      <c r="J337" s="94">
        <v>65</v>
      </c>
      <c r="K337" s="80">
        <f>J337*108%</f>
        <v>70.2</v>
      </c>
      <c r="L337" s="80"/>
      <c r="M337" s="80">
        <f t="shared" si="26"/>
        <v>4212</v>
      </c>
      <c r="N337" s="79"/>
      <c r="O337" s="79"/>
      <c r="P337" s="80">
        <f t="shared" si="23"/>
        <v>0</v>
      </c>
      <c r="Q337" s="80">
        <f t="shared" si="24"/>
        <v>0</v>
      </c>
      <c r="R337" s="80">
        <f t="shared" si="25"/>
        <v>0</v>
      </c>
    </row>
    <row r="338" spans="2:19" x14ac:dyDescent="0.4">
      <c r="B338" s="77">
        <v>44499</v>
      </c>
      <c r="C338" s="64"/>
      <c r="D338" s="64"/>
      <c r="E338" s="64" t="s">
        <v>471</v>
      </c>
      <c r="F338" s="64" t="s">
        <v>532</v>
      </c>
      <c r="G338" s="71" t="s">
        <v>297</v>
      </c>
      <c r="H338" s="78">
        <v>0.08</v>
      </c>
      <c r="I338" s="79">
        <f>24*2</f>
        <v>48</v>
      </c>
      <c r="J338" s="94">
        <v>69</v>
      </c>
      <c r="K338" s="80">
        <f t="shared" ref="K338:K343" si="42">J338*108%</f>
        <v>74.52000000000001</v>
      </c>
      <c r="L338" s="80"/>
      <c r="M338" s="80">
        <f t="shared" ref="M338" si="43">K338*I338</f>
        <v>3576.9600000000005</v>
      </c>
      <c r="N338" s="79"/>
      <c r="O338" s="79"/>
      <c r="P338" s="80">
        <f t="shared" si="23"/>
        <v>0</v>
      </c>
      <c r="Q338" s="80">
        <f t="shared" si="24"/>
        <v>0</v>
      </c>
      <c r="R338" s="80">
        <f t="shared" si="25"/>
        <v>0</v>
      </c>
    </row>
    <row r="339" spans="2:19" x14ac:dyDescent="0.4">
      <c r="B339" s="77">
        <v>44499</v>
      </c>
      <c r="C339" s="64"/>
      <c r="D339" s="64"/>
      <c r="E339" s="64" t="s">
        <v>471</v>
      </c>
      <c r="F339" s="64" t="s">
        <v>678</v>
      </c>
      <c r="G339" s="71" t="s">
        <v>685</v>
      </c>
      <c r="H339" s="78">
        <v>0.08</v>
      </c>
      <c r="I339" s="79">
        <f>24*2</f>
        <v>48</v>
      </c>
      <c r="J339" s="94">
        <v>105</v>
      </c>
      <c r="K339" s="80">
        <f t="shared" si="42"/>
        <v>113.4</v>
      </c>
      <c r="L339" s="80"/>
      <c r="M339" s="80">
        <f t="shared" ref="M339:M350" si="44">K339*I339</f>
        <v>5443.2000000000007</v>
      </c>
      <c r="N339" s="79"/>
      <c r="O339" s="79"/>
      <c r="P339" s="80">
        <f t="shared" si="23"/>
        <v>0</v>
      </c>
      <c r="Q339" s="80">
        <f t="shared" si="24"/>
        <v>0</v>
      </c>
      <c r="R339" s="80">
        <f t="shared" si="25"/>
        <v>0</v>
      </c>
    </row>
    <row r="340" spans="2:19" x14ac:dyDescent="0.4">
      <c r="B340" s="77">
        <v>44499</v>
      </c>
      <c r="C340" s="64"/>
      <c r="D340" s="64"/>
      <c r="E340" s="64" t="s">
        <v>471</v>
      </c>
      <c r="F340" s="64" t="s">
        <v>806</v>
      </c>
      <c r="G340" s="71" t="s">
        <v>261</v>
      </c>
      <c r="H340" s="78">
        <v>0.08</v>
      </c>
      <c r="I340" s="79">
        <f>24*2</f>
        <v>48</v>
      </c>
      <c r="J340" s="94">
        <v>70</v>
      </c>
      <c r="K340" s="80">
        <f t="shared" si="42"/>
        <v>75.600000000000009</v>
      </c>
      <c r="L340" s="80"/>
      <c r="M340" s="80">
        <f t="shared" si="44"/>
        <v>3628.8</v>
      </c>
      <c r="N340" s="79"/>
      <c r="O340" s="79"/>
      <c r="P340" s="80">
        <f t="shared" si="23"/>
        <v>0</v>
      </c>
      <c r="Q340" s="80">
        <f t="shared" si="24"/>
        <v>0</v>
      </c>
      <c r="R340" s="80">
        <f t="shared" si="25"/>
        <v>0</v>
      </c>
    </row>
    <row r="341" spans="2:19" x14ac:dyDescent="0.4">
      <c r="B341" s="77">
        <v>44499</v>
      </c>
      <c r="C341" s="64"/>
      <c r="D341" s="64"/>
      <c r="E341" s="64" t="s">
        <v>471</v>
      </c>
      <c r="F341" s="64" t="s">
        <v>525</v>
      </c>
      <c r="G341" s="71" t="s">
        <v>259</v>
      </c>
      <c r="H341" s="78">
        <v>0.08</v>
      </c>
      <c r="I341" s="79">
        <f>24*2</f>
        <v>48</v>
      </c>
      <c r="J341" s="94">
        <v>79</v>
      </c>
      <c r="K341" s="80">
        <f t="shared" si="42"/>
        <v>85.320000000000007</v>
      </c>
      <c r="L341" s="80"/>
      <c r="M341" s="80">
        <f t="shared" si="44"/>
        <v>4095.3600000000006</v>
      </c>
      <c r="N341" s="79"/>
      <c r="O341" s="79"/>
      <c r="P341" s="80">
        <f t="shared" si="23"/>
        <v>0</v>
      </c>
      <c r="Q341" s="80">
        <f t="shared" si="24"/>
        <v>0</v>
      </c>
      <c r="R341" s="80">
        <f t="shared" si="25"/>
        <v>0</v>
      </c>
    </row>
    <row r="342" spans="2:19" x14ac:dyDescent="0.4">
      <c r="B342" s="77">
        <v>44499</v>
      </c>
      <c r="C342" s="64"/>
      <c r="D342" s="64"/>
      <c r="E342" s="64" t="s">
        <v>471</v>
      </c>
      <c r="F342" s="64" t="s">
        <v>807</v>
      </c>
      <c r="G342" s="71" t="s">
        <v>769</v>
      </c>
      <c r="H342" s="78">
        <v>0.08</v>
      </c>
      <c r="I342" s="79">
        <f>1*1</f>
        <v>1</v>
      </c>
      <c r="J342" s="94">
        <v>778</v>
      </c>
      <c r="K342" s="80">
        <f t="shared" si="42"/>
        <v>840.24</v>
      </c>
      <c r="L342" s="80"/>
      <c r="M342" s="80">
        <f t="shared" si="44"/>
        <v>840.24</v>
      </c>
      <c r="N342" s="79"/>
      <c r="O342" s="79"/>
      <c r="P342" s="80">
        <f t="shared" si="23"/>
        <v>0</v>
      </c>
      <c r="Q342" s="80">
        <f t="shared" si="24"/>
        <v>0</v>
      </c>
      <c r="R342" s="80">
        <f t="shared" si="25"/>
        <v>0</v>
      </c>
    </row>
    <row r="343" spans="2:19" x14ac:dyDescent="0.4">
      <c r="B343" s="77">
        <v>44499</v>
      </c>
      <c r="C343" s="64"/>
      <c r="D343" s="64"/>
      <c r="E343" s="64" t="s">
        <v>471</v>
      </c>
      <c r="F343" s="64" t="s">
        <v>756</v>
      </c>
      <c r="G343" s="71" t="s">
        <v>768</v>
      </c>
      <c r="H343" s="78">
        <v>0.08</v>
      </c>
      <c r="I343" s="79">
        <f>1*3</f>
        <v>3</v>
      </c>
      <c r="J343" s="94">
        <v>738</v>
      </c>
      <c r="K343" s="80">
        <f t="shared" si="42"/>
        <v>797.04000000000008</v>
      </c>
      <c r="L343" s="80"/>
      <c r="M343" s="80">
        <f t="shared" si="44"/>
        <v>2391.1200000000003</v>
      </c>
      <c r="N343" s="79"/>
      <c r="O343" s="79"/>
      <c r="P343" s="80">
        <f t="shared" si="23"/>
        <v>0</v>
      </c>
      <c r="Q343" s="80">
        <f t="shared" si="24"/>
        <v>0</v>
      </c>
      <c r="R343" s="80">
        <f t="shared" si="25"/>
        <v>0</v>
      </c>
      <c r="S343" s="89">
        <f>SUM(M337:M343)</f>
        <v>24187.680000000004</v>
      </c>
    </row>
    <row r="344" spans="2:19" x14ac:dyDescent="0.4">
      <c r="B344" s="77">
        <v>44499</v>
      </c>
      <c r="C344" s="64"/>
      <c r="D344" s="64"/>
      <c r="E344" s="64" t="s">
        <v>471</v>
      </c>
      <c r="F344" s="64" t="s">
        <v>748</v>
      </c>
      <c r="G344" s="71" t="s">
        <v>753</v>
      </c>
      <c r="H344" s="78">
        <v>0.08</v>
      </c>
      <c r="I344" s="79">
        <f>24*2</f>
        <v>48</v>
      </c>
      <c r="J344" s="94">
        <v>56</v>
      </c>
      <c r="K344" s="80">
        <f t="shared" ref="K344:K350" si="45">J344*108%</f>
        <v>60.480000000000004</v>
      </c>
      <c r="L344" s="80"/>
      <c r="M344" s="80">
        <f t="shared" si="44"/>
        <v>2903.04</v>
      </c>
      <c r="N344" s="79"/>
      <c r="O344" s="79"/>
      <c r="P344" s="80">
        <f t="shared" si="23"/>
        <v>0</v>
      </c>
      <c r="Q344" s="80">
        <f t="shared" si="24"/>
        <v>0</v>
      </c>
      <c r="R344" s="80">
        <f t="shared" si="25"/>
        <v>0</v>
      </c>
    </row>
    <row r="345" spans="2:19" x14ac:dyDescent="0.4">
      <c r="B345" s="77">
        <v>44499</v>
      </c>
      <c r="C345" s="64"/>
      <c r="D345" s="64"/>
      <c r="E345" s="64" t="s">
        <v>471</v>
      </c>
      <c r="F345" s="64" t="s">
        <v>680</v>
      </c>
      <c r="G345" s="71" t="s">
        <v>687</v>
      </c>
      <c r="H345" s="78">
        <v>0.08</v>
      </c>
      <c r="I345" s="79">
        <f>24*2</f>
        <v>48</v>
      </c>
      <c r="J345" s="94">
        <v>142</v>
      </c>
      <c r="K345" s="80">
        <f t="shared" si="45"/>
        <v>153.36000000000001</v>
      </c>
      <c r="L345" s="80"/>
      <c r="M345" s="80">
        <f t="shared" si="44"/>
        <v>7361.2800000000007</v>
      </c>
      <c r="N345" s="79"/>
      <c r="O345" s="79"/>
      <c r="P345" s="80">
        <f t="shared" si="23"/>
        <v>0</v>
      </c>
      <c r="Q345" s="80">
        <f t="shared" si="24"/>
        <v>0</v>
      </c>
      <c r="R345" s="80">
        <f t="shared" si="25"/>
        <v>0</v>
      </c>
    </row>
    <row r="346" spans="2:19" x14ac:dyDescent="0.4">
      <c r="B346" s="77">
        <v>44499</v>
      </c>
      <c r="C346" s="64"/>
      <c r="D346" s="64"/>
      <c r="E346" s="64" t="s">
        <v>471</v>
      </c>
      <c r="F346" s="64" t="s">
        <v>681</v>
      </c>
      <c r="G346" s="71" t="s">
        <v>688</v>
      </c>
      <c r="H346" s="78">
        <v>0.08</v>
      </c>
      <c r="I346" s="79">
        <f>24*1</f>
        <v>24</v>
      </c>
      <c r="J346" s="94">
        <v>142</v>
      </c>
      <c r="K346" s="80">
        <f t="shared" si="45"/>
        <v>153.36000000000001</v>
      </c>
      <c r="L346" s="80"/>
      <c r="M346" s="80">
        <f t="shared" si="44"/>
        <v>3680.6400000000003</v>
      </c>
      <c r="N346" s="79"/>
      <c r="O346" s="79"/>
      <c r="P346" s="80">
        <f t="shared" si="23"/>
        <v>0</v>
      </c>
      <c r="Q346" s="80">
        <f t="shared" si="24"/>
        <v>0</v>
      </c>
      <c r="R346" s="80">
        <f t="shared" si="25"/>
        <v>0</v>
      </c>
    </row>
    <row r="347" spans="2:19" x14ac:dyDescent="0.4">
      <c r="B347" s="77">
        <v>44499</v>
      </c>
      <c r="C347" s="64"/>
      <c r="D347" s="64"/>
      <c r="E347" s="64" t="s">
        <v>471</v>
      </c>
      <c r="F347" s="64" t="s">
        <v>677</v>
      </c>
      <c r="G347" s="71" t="s">
        <v>684</v>
      </c>
      <c r="H347" s="78">
        <v>0.08</v>
      </c>
      <c r="I347" s="79">
        <f>24*2</f>
        <v>48</v>
      </c>
      <c r="J347" s="94">
        <v>142</v>
      </c>
      <c r="K347" s="80">
        <f t="shared" si="45"/>
        <v>153.36000000000001</v>
      </c>
      <c r="L347" s="80"/>
      <c r="M347" s="80">
        <f t="shared" si="44"/>
        <v>7361.2800000000007</v>
      </c>
      <c r="N347" s="79"/>
      <c r="O347" s="79"/>
      <c r="P347" s="80">
        <f t="shared" si="23"/>
        <v>0</v>
      </c>
      <c r="Q347" s="80">
        <f t="shared" si="24"/>
        <v>0</v>
      </c>
      <c r="R347" s="80">
        <f t="shared" si="25"/>
        <v>0</v>
      </c>
    </row>
    <row r="348" spans="2:19" x14ac:dyDescent="0.4">
      <c r="B348" s="77">
        <v>44499</v>
      </c>
      <c r="C348" s="64"/>
      <c r="D348" s="64"/>
      <c r="E348" s="64" t="s">
        <v>471</v>
      </c>
      <c r="F348" s="64" t="s">
        <v>676</v>
      </c>
      <c r="G348" s="71" t="s">
        <v>683</v>
      </c>
      <c r="H348" s="78">
        <v>0.08</v>
      </c>
      <c r="I348" s="79">
        <f>24*2</f>
        <v>48</v>
      </c>
      <c r="J348" s="94">
        <v>142</v>
      </c>
      <c r="K348" s="80">
        <f t="shared" si="45"/>
        <v>153.36000000000001</v>
      </c>
      <c r="L348" s="80"/>
      <c r="M348" s="80">
        <f t="shared" si="44"/>
        <v>7361.2800000000007</v>
      </c>
      <c r="N348" s="79"/>
      <c r="O348" s="79"/>
      <c r="P348" s="80">
        <f t="shared" si="23"/>
        <v>0</v>
      </c>
      <c r="Q348" s="80">
        <f t="shared" si="24"/>
        <v>0</v>
      </c>
      <c r="R348" s="80">
        <f t="shared" si="25"/>
        <v>0</v>
      </c>
    </row>
    <row r="349" spans="2:19" x14ac:dyDescent="0.4">
      <c r="B349" s="77">
        <v>44499</v>
      </c>
      <c r="C349" s="64"/>
      <c r="D349" s="64"/>
      <c r="E349" s="64" t="s">
        <v>471</v>
      </c>
      <c r="F349" s="64" t="s">
        <v>522</v>
      </c>
      <c r="G349" s="71" t="s">
        <v>256</v>
      </c>
      <c r="H349" s="78">
        <v>0.08</v>
      </c>
      <c r="I349" s="79">
        <f>24*2</f>
        <v>48</v>
      </c>
      <c r="J349" s="94">
        <v>65</v>
      </c>
      <c r="K349" s="80">
        <f t="shared" si="45"/>
        <v>70.2</v>
      </c>
      <c r="L349" s="80"/>
      <c r="M349" s="80">
        <f t="shared" si="44"/>
        <v>3369.6000000000004</v>
      </c>
      <c r="N349" s="79"/>
      <c r="O349" s="79"/>
      <c r="P349" s="80">
        <f t="shared" si="23"/>
        <v>0</v>
      </c>
      <c r="Q349" s="80">
        <f t="shared" si="24"/>
        <v>0</v>
      </c>
      <c r="R349" s="80">
        <f t="shared" si="25"/>
        <v>0</v>
      </c>
    </row>
    <row r="350" spans="2:19" x14ac:dyDescent="0.4">
      <c r="B350" s="77">
        <v>44499</v>
      </c>
      <c r="C350" s="64"/>
      <c r="D350" s="64"/>
      <c r="E350" s="64" t="s">
        <v>471</v>
      </c>
      <c r="F350" s="64" t="s">
        <v>813</v>
      </c>
      <c r="G350" s="71" t="s">
        <v>258</v>
      </c>
      <c r="H350" s="78">
        <v>0.08</v>
      </c>
      <c r="I350" s="79">
        <f>30*2</f>
        <v>60</v>
      </c>
      <c r="J350" s="94">
        <v>35</v>
      </c>
      <c r="K350" s="80">
        <f t="shared" si="45"/>
        <v>37.800000000000004</v>
      </c>
      <c r="L350" s="80"/>
      <c r="M350" s="80">
        <f t="shared" si="44"/>
        <v>2268.0000000000005</v>
      </c>
      <c r="N350" s="79"/>
      <c r="O350" s="79"/>
      <c r="P350" s="80">
        <f t="shared" si="23"/>
        <v>0</v>
      </c>
      <c r="Q350" s="80">
        <f t="shared" si="24"/>
        <v>0</v>
      </c>
      <c r="R350" s="80">
        <f t="shared" si="25"/>
        <v>0</v>
      </c>
      <c r="S350" s="89">
        <f>SUM(M344:M350)</f>
        <v>34305.119999999995</v>
      </c>
    </row>
    <row r="351" spans="2:19" x14ac:dyDescent="0.4">
      <c r="B351" s="77">
        <v>44499</v>
      </c>
      <c r="C351" s="64"/>
      <c r="D351" s="64"/>
      <c r="E351" s="64" t="s">
        <v>471</v>
      </c>
      <c r="F351" s="64" t="s">
        <v>814</v>
      </c>
      <c r="G351" s="71" t="s">
        <v>556</v>
      </c>
      <c r="H351" s="78">
        <v>0.08</v>
      </c>
      <c r="I351" s="79">
        <f>20*9</f>
        <v>180</v>
      </c>
      <c r="J351" s="94">
        <v>21.6</v>
      </c>
      <c r="K351" s="80">
        <f t="shared" ref="K351:K366" si="46">J351*108%</f>
        <v>23.328000000000003</v>
      </c>
      <c r="L351" s="80"/>
      <c r="M351" s="80">
        <f t="shared" ref="M351:M366" si="47">K351*I351</f>
        <v>4199.0400000000009</v>
      </c>
      <c r="N351" s="79"/>
      <c r="O351" s="79"/>
      <c r="P351" s="80">
        <f t="shared" si="23"/>
        <v>0</v>
      </c>
      <c r="Q351" s="80">
        <f t="shared" si="24"/>
        <v>0</v>
      </c>
      <c r="R351" s="80">
        <f t="shared" si="25"/>
        <v>0</v>
      </c>
    </row>
    <row r="352" spans="2:19" x14ac:dyDescent="0.4">
      <c r="B352" s="77">
        <v>44499</v>
      </c>
      <c r="C352" s="64"/>
      <c r="D352" s="64"/>
      <c r="E352" s="64" t="s">
        <v>471</v>
      </c>
      <c r="F352" s="64" t="s">
        <v>519</v>
      </c>
      <c r="G352" s="71" t="s">
        <v>247</v>
      </c>
      <c r="H352" s="78">
        <v>0.08</v>
      </c>
      <c r="I352" s="79">
        <f>20*1</f>
        <v>20</v>
      </c>
      <c r="J352" s="94">
        <v>106</v>
      </c>
      <c r="K352" s="80">
        <f t="shared" si="46"/>
        <v>114.48</v>
      </c>
      <c r="L352" s="80"/>
      <c r="M352" s="80">
        <f t="shared" si="47"/>
        <v>2289.6</v>
      </c>
      <c r="N352" s="79"/>
      <c r="O352" s="79"/>
      <c r="P352" s="80">
        <f t="shared" si="23"/>
        <v>0</v>
      </c>
      <c r="Q352" s="80">
        <f t="shared" si="24"/>
        <v>0</v>
      </c>
      <c r="R352" s="80">
        <f t="shared" si="25"/>
        <v>0</v>
      </c>
    </row>
    <row r="353" spans="2:19" x14ac:dyDescent="0.4">
      <c r="B353" s="77">
        <v>44499</v>
      </c>
      <c r="C353" s="64"/>
      <c r="D353" s="64"/>
      <c r="E353" s="64" t="s">
        <v>471</v>
      </c>
      <c r="F353" s="64" t="s">
        <v>515</v>
      </c>
      <c r="G353" s="71" t="s">
        <v>294</v>
      </c>
      <c r="H353" s="78">
        <v>0.08</v>
      </c>
      <c r="I353" s="79">
        <f>12*2</f>
        <v>24</v>
      </c>
      <c r="J353" s="94">
        <v>137</v>
      </c>
      <c r="K353" s="80">
        <f t="shared" si="46"/>
        <v>147.96</v>
      </c>
      <c r="L353" s="80"/>
      <c r="M353" s="80">
        <f t="shared" si="47"/>
        <v>3551.04</v>
      </c>
      <c r="N353" s="79"/>
      <c r="O353" s="79"/>
      <c r="P353" s="80">
        <f t="shared" si="23"/>
        <v>0</v>
      </c>
      <c r="Q353" s="80">
        <f t="shared" si="24"/>
        <v>0</v>
      </c>
      <c r="R353" s="80">
        <f t="shared" si="25"/>
        <v>0</v>
      </c>
    </row>
    <row r="354" spans="2:19" x14ac:dyDescent="0.4">
      <c r="B354" s="77">
        <v>44499</v>
      </c>
      <c r="C354" s="64"/>
      <c r="D354" s="64"/>
      <c r="E354" s="64" t="s">
        <v>471</v>
      </c>
      <c r="F354" s="64" t="s">
        <v>738</v>
      </c>
      <c r="G354" s="71" t="s">
        <v>744</v>
      </c>
      <c r="H354" s="78">
        <v>0.08</v>
      </c>
      <c r="I354" s="79">
        <f>12*1</f>
        <v>12</v>
      </c>
      <c r="J354" s="94">
        <v>71.5</v>
      </c>
      <c r="K354" s="80">
        <f t="shared" si="46"/>
        <v>77.22</v>
      </c>
      <c r="L354" s="80"/>
      <c r="M354" s="80">
        <f t="shared" si="47"/>
        <v>926.64</v>
      </c>
      <c r="N354" s="79"/>
      <c r="O354" s="79"/>
      <c r="P354" s="80">
        <f t="shared" si="23"/>
        <v>0</v>
      </c>
      <c r="Q354" s="80">
        <f t="shared" si="24"/>
        <v>0</v>
      </c>
      <c r="R354" s="80">
        <f t="shared" si="25"/>
        <v>0</v>
      </c>
    </row>
    <row r="355" spans="2:19" x14ac:dyDescent="0.4">
      <c r="B355" s="77">
        <v>44499</v>
      </c>
      <c r="C355" s="64"/>
      <c r="D355" s="64"/>
      <c r="E355" s="64" t="s">
        <v>471</v>
      </c>
      <c r="F355" s="64" t="s">
        <v>718</v>
      </c>
      <c r="G355" s="71" t="s">
        <v>731</v>
      </c>
      <c r="H355" s="78">
        <v>0.08</v>
      </c>
      <c r="I355" s="79">
        <f>12*3</f>
        <v>36</v>
      </c>
      <c r="J355" s="94">
        <v>59</v>
      </c>
      <c r="K355" s="80">
        <f t="shared" si="46"/>
        <v>63.720000000000006</v>
      </c>
      <c r="L355" s="80"/>
      <c r="M355" s="80">
        <f t="shared" si="47"/>
        <v>2293.92</v>
      </c>
      <c r="N355" s="79"/>
      <c r="O355" s="79"/>
      <c r="P355" s="80">
        <f t="shared" si="23"/>
        <v>0</v>
      </c>
      <c r="Q355" s="80">
        <f t="shared" si="24"/>
        <v>0</v>
      </c>
      <c r="R355" s="80">
        <f t="shared" si="25"/>
        <v>0</v>
      </c>
    </row>
    <row r="356" spans="2:19" x14ac:dyDescent="0.4">
      <c r="B356" s="77">
        <v>44499</v>
      </c>
      <c r="C356" s="64"/>
      <c r="D356" s="64"/>
      <c r="E356" s="64" t="s">
        <v>471</v>
      </c>
      <c r="F356" s="64" t="s">
        <v>715</v>
      </c>
      <c r="G356" s="71" t="s">
        <v>728</v>
      </c>
      <c r="H356" s="78">
        <v>0.08</v>
      </c>
      <c r="I356" s="79">
        <f>12*3</f>
        <v>36</v>
      </c>
      <c r="J356" s="94">
        <v>59</v>
      </c>
      <c r="K356" s="80">
        <f t="shared" si="46"/>
        <v>63.720000000000006</v>
      </c>
      <c r="L356" s="80"/>
      <c r="M356" s="80">
        <f t="shared" si="47"/>
        <v>2293.92</v>
      </c>
      <c r="N356" s="79"/>
      <c r="O356" s="79"/>
      <c r="P356" s="80">
        <f t="shared" si="23"/>
        <v>0</v>
      </c>
      <c r="Q356" s="80">
        <f t="shared" si="24"/>
        <v>0</v>
      </c>
      <c r="R356" s="80">
        <f t="shared" si="25"/>
        <v>0</v>
      </c>
    </row>
    <row r="357" spans="2:19" x14ac:dyDescent="0.4">
      <c r="B357" s="77">
        <v>44499</v>
      </c>
      <c r="C357" s="64"/>
      <c r="D357" s="64"/>
      <c r="E357" s="64" t="s">
        <v>471</v>
      </c>
      <c r="F357" s="64" t="s">
        <v>712</v>
      </c>
      <c r="G357" s="71" t="s">
        <v>725</v>
      </c>
      <c r="H357" s="78">
        <v>0.08</v>
      </c>
      <c r="I357" s="79">
        <f>12*3</f>
        <v>36</v>
      </c>
      <c r="J357" s="94">
        <v>59</v>
      </c>
      <c r="K357" s="80">
        <f t="shared" si="46"/>
        <v>63.720000000000006</v>
      </c>
      <c r="L357" s="80"/>
      <c r="M357" s="80">
        <f t="shared" si="47"/>
        <v>2293.92</v>
      </c>
      <c r="N357" s="79"/>
      <c r="O357" s="79"/>
      <c r="P357" s="80">
        <f t="shared" si="23"/>
        <v>0</v>
      </c>
      <c r="Q357" s="80">
        <f t="shared" si="24"/>
        <v>0</v>
      </c>
      <c r="R357" s="80">
        <f t="shared" si="25"/>
        <v>0</v>
      </c>
    </row>
    <row r="358" spans="2:19" x14ac:dyDescent="0.4">
      <c r="B358" s="77">
        <v>44499</v>
      </c>
      <c r="C358" s="64"/>
      <c r="D358" s="64"/>
      <c r="E358" s="64" t="s">
        <v>471</v>
      </c>
      <c r="F358" s="64" t="s">
        <v>815</v>
      </c>
      <c r="G358" s="71" t="s">
        <v>818</v>
      </c>
      <c r="H358" s="78">
        <v>0.08</v>
      </c>
      <c r="I358" s="79">
        <f>24*2</f>
        <v>48</v>
      </c>
      <c r="J358" s="94">
        <v>247</v>
      </c>
      <c r="K358" s="80">
        <f t="shared" si="46"/>
        <v>266.76</v>
      </c>
      <c r="L358" s="80"/>
      <c r="M358" s="80">
        <f t="shared" si="47"/>
        <v>12804.48</v>
      </c>
      <c r="N358" s="79"/>
      <c r="O358" s="79"/>
      <c r="P358" s="80">
        <f t="shared" si="23"/>
        <v>0</v>
      </c>
      <c r="Q358" s="80">
        <f t="shared" si="24"/>
        <v>0</v>
      </c>
      <c r="R358" s="80">
        <f t="shared" si="25"/>
        <v>0</v>
      </c>
    </row>
    <row r="359" spans="2:19" x14ac:dyDescent="0.4">
      <c r="B359" s="77">
        <v>44499</v>
      </c>
      <c r="C359" s="64"/>
      <c r="D359" s="64"/>
      <c r="E359" s="64" t="s">
        <v>471</v>
      </c>
      <c r="F359" s="64" t="s">
        <v>577</v>
      </c>
      <c r="G359" s="71" t="s">
        <v>586</v>
      </c>
      <c r="H359" s="78">
        <v>0.08</v>
      </c>
      <c r="I359" s="79">
        <f>15*2</f>
        <v>30</v>
      </c>
      <c r="J359" s="94">
        <v>184</v>
      </c>
      <c r="K359" s="80">
        <f t="shared" si="46"/>
        <v>198.72000000000003</v>
      </c>
      <c r="L359" s="80"/>
      <c r="M359" s="80">
        <f t="shared" si="47"/>
        <v>5961.6</v>
      </c>
      <c r="N359" s="79"/>
      <c r="O359" s="79"/>
      <c r="P359" s="80">
        <f t="shared" si="23"/>
        <v>0</v>
      </c>
      <c r="Q359" s="80">
        <f t="shared" si="24"/>
        <v>0</v>
      </c>
      <c r="R359" s="80">
        <f t="shared" si="25"/>
        <v>0</v>
      </c>
    </row>
    <row r="360" spans="2:19" x14ac:dyDescent="0.4">
      <c r="B360" s="77">
        <v>44499</v>
      </c>
      <c r="C360" s="64"/>
      <c r="D360" s="64"/>
      <c r="E360" s="64" t="s">
        <v>471</v>
      </c>
      <c r="F360" s="64" t="s">
        <v>576</v>
      </c>
      <c r="G360" s="71" t="s">
        <v>585</v>
      </c>
      <c r="H360" s="78">
        <v>0.08</v>
      </c>
      <c r="I360" s="79">
        <f>12*1</f>
        <v>12</v>
      </c>
      <c r="J360" s="94">
        <v>90</v>
      </c>
      <c r="K360" s="80">
        <f t="shared" si="46"/>
        <v>97.2</v>
      </c>
      <c r="L360" s="80"/>
      <c r="M360" s="80">
        <f t="shared" si="47"/>
        <v>1166.4000000000001</v>
      </c>
      <c r="N360" s="79"/>
      <c r="O360" s="79"/>
      <c r="P360" s="80">
        <f t="shared" si="23"/>
        <v>0</v>
      </c>
      <c r="Q360" s="80">
        <f t="shared" si="24"/>
        <v>0</v>
      </c>
      <c r="R360" s="80">
        <f t="shared" si="25"/>
        <v>0</v>
      </c>
    </row>
    <row r="361" spans="2:19" x14ac:dyDescent="0.4">
      <c r="B361" s="77">
        <v>44499</v>
      </c>
      <c r="C361" s="64"/>
      <c r="D361" s="64"/>
      <c r="E361" s="64" t="s">
        <v>471</v>
      </c>
      <c r="F361" s="64" t="s">
        <v>816</v>
      </c>
      <c r="G361" s="71" t="s">
        <v>819</v>
      </c>
      <c r="H361" s="78">
        <v>0.08</v>
      </c>
      <c r="I361" s="79">
        <f t="shared" ref="I361:I365" si="48">12*1</f>
        <v>12</v>
      </c>
      <c r="J361" s="94">
        <v>84</v>
      </c>
      <c r="K361" s="80">
        <f t="shared" si="46"/>
        <v>90.72</v>
      </c>
      <c r="L361" s="80"/>
      <c r="M361" s="80">
        <f t="shared" si="47"/>
        <v>1088.6399999999999</v>
      </c>
      <c r="N361" s="79"/>
      <c r="O361" s="79"/>
      <c r="P361" s="80">
        <f t="shared" si="23"/>
        <v>0</v>
      </c>
      <c r="Q361" s="80">
        <f t="shared" si="24"/>
        <v>0</v>
      </c>
      <c r="R361" s="80">
        <f t="shared" si="25"/>
        <v>0</v>
      </c>
    </row>
    <row r="362" spans="2:19" x14ac:dyDescent="0.4">
      <c r="B362" s="77">
        <v>44499</v>
      </c>
      <c r="C362" s="64"/>
      <c r="D362" s="64"/>
      <c r="E362" s="64" t="s">
        <v>471</v>
      </c>
      <c r="F362" s="64" t="s">
        <v>817</v>
      </c>
      <c r="G362" s="71" t="s">
        <v>820</v>
      </c>
      <c r="H362" s="78">
        <v>0.08</v>
      </c>
      <c r="I362" s="79">
        <f t="shared" si="48"/>
        <v>12</v>
      </c>
      <c r="J362" s="94">
        <v>84</v>
      </c>
      <c r="K362" s="80">
        <f t="shared" si="46"/>
        <v>90.72</v>
      </c>
      <c r="L362" s="80"/>
      <c r="M362" s="80">
        <f t="shared" si="47"/>
        <v>1088.6399999999999</v>
      </c>
      <c r="N362" s="79"/>
      <c r="O362" s="79"/>
      <c r="P362" s="80">
        <f t="shared" si="23"/>
        <v>0</v>
      </c>
      <c r="Q362" s="80">
        <f t="shared" si="24"/>
        <v>0</v>
      </c>
      <c r="R362" s="80">
        <f t="shared" si="25"/>
        <v>0</v>
      </c>
    </row>
    <row r="363" spans="2:19" x14ac:dyDescent="0.4">
      <c r="B363" s="77">
        <v>44499</v>
      </c>
      <c r="C363" s="64"/>
      <c r="D363" s="64"/>
      <c r="E363" s="64" t="s">
        <v>471</v>
      </c>
      <c r="F363" s="64" t="s">
        <v>547</v>
      </c>
      <c r="G363" s="71" t="s">
        <v>548</v>
      </c>
      <c r="H363" s="78">
        <v>0.08</v>
      </c>
      <c r="I363" s="79">
        <f t="shared" si="48"/>
        <v>12</v>
      </c>
      <c r="J363" s="94">
        <v>75</v>
      </c>
      <c r="K363" s="80">
        <f t="shared" si="46"/>
        <v>81</v>
      </c>
      <c r="L363" s="80"/>
      <c r="M363" s="80">
        <f t="shared" si="47"/>
        <v>972</v>
      </c>
      <c r="N363" s="79"/>
      <c r="O363" s="79"/>
      <c r="P363" s="80">
        <f t="shared" si="23"/>
        <v>0</v>
      </c>
      <c r="Q363" s="80">
        <f t="shared" si="24"/>
        <v>0</v>
      </c>
      <c r="R363" s="80">
        <f t="shared" si="25"/>
        <v>0</v>
      </c>
    </row>
    <row r="364" spans="2:19" x14ac:dyDescent="0.4">
      <c r="B364" s="77">
        <v>44499</v>
      </c>
      <c r="C364" s="64"/>
      <c r="D364" s="64"/>
      <c r="E364" s="64" t="s">
        <v>471</v>
      </c>
      <c r="F364" s="64" t="s">
        <v>821</v>
      </c>
      <c r="G364" s="71" t="s">
        <v>551</v>
      </c>
      <c r="H364" s="78">
        <v>0.08</v>
      </c>
      <c r="I364" s="79">
        <f t="shared" si="48"/>
        <v>12</v>
      </c>
      <c r="J364" s="94">
        <v>75</v>
      </c>
      <c r="K364" s="80">
        <f t="shared" si="46"/>
        <v>81</v>
      </c>
      <c r="L364" s="80"/>
      <c r="M364" s="80">
        <f t="shared" si="47"/>
        <v>972</v>
      </c>
      <c r="N364" s="79"/>
      <c r="O364" s="79"/>
      <c r="P364" s="80">
        <f t="shared" si="23"/>
        <v>0</v>
      </c>
      <c r="Q364" s="80">
        <f t="shared" si="24"/>
        <v>0</v>
      </c>
      <c r="R364" s="80">
        <f t="shared" si="25"/>
        <v>0</v>
      </c>
    </row>
    <row r="365" spans="2:19" x14ac:dyDescent="0.4">
      <c r="B365" s="77">
        <v>44499</v>
      </c>
      <c r="C365" s="64"/>
      <c r="D365" s="64"/>
      <c r="E365" s="64" t="s">
        <v>471</v>
      </c>
      <c r="F365" s="64" t="s">
        <v>575</v>
      </c>
      <c r="G365" s="71" t="s">
        <v>584</v>
      </c>
      <c r="H365" s="78">
        <v>0.08</v>
      </c>
      <c r="I365" s="79">
        <f t="shared" si="48"/>
        <v>12</v>
      </c>
      <c r="J365" s="94">
        <v>90</v>
      </c>
      <c r="K365" s="80">
        <f t="shared" si="46"/>
        <v>97.2</v>
      </c>
      <c r="L365" s="80"/>
      <c r="M365" s="80">
        <f t="shared" si="47"/>
        <v>1166.4000000000001</v>
      </c>
      <c r="N365" s="79"/>
      <c r="O365" s="79"/>
      <c r="P365" s="80">
        <f t="shared" si="23"/>
        <v>0</v>
      </c>
      <c r="Q365" s="80">
        <f t="shared" si="24"/>
        <v>0</v>
      </c>
      <c r="R365" s="80">
        <f t="shared" si="25"/>
        <v>0</v>
      </c>
      <c r="S365" s="89">
        <f>SUM(M351:M365)</f>
        <v>43068.240000000005</v>
      </c>
    </row>
    <row r="366" spans="2:19" x14ac:dyDescent="0.4">
      <c r="B366" s="77">
        <v>44499</v>
      </c>
      <c r="C366" s="64"/>
      <c r="D366" s="64"/>
      <c r="E366" s="64" t="s">
        <v>471</v>
      </c>
      <c r="F366" s="64" t="s">
        <v>484</v>
      </c>
      <c r="G366" s="71" t="s">
        <v>272</v>
      </c>
      <c r="H366" s="78">
        <v>0.08</v>
      </c>
      <c r="I366" s="79">
        <f>12*2</f>
        <v>24</v>
      </c>
      <c r="J366" s="94">
        <v>99</v>
      </c>
      <c r="K366" s="80">
        <f t="shared" si="46"/>
        <v>106.92</v>
      </c>
      <c r="L366" s="80"/>
      <c r="M366" s="80">
        <f t="shared" si="47"/>
        <v>2566.08</v>
      </c>
      <c r="N366" s="79"/>
      <c r="O366" s="79"/>
      <c r="P366" s="80">
        <f t="shared" si="23"/>
        <v>0</v>
      </c>
      <c r="Q366" s="80">
        <f t="shared" si="24"/>
        <v>0</v>
      </c>
      <c r="R366" s="80">
        <f t="shared" si="25"/>
        <v>0</v>
      </c>
    </row>
    <row r="367" spans="2:19" x14ac:dyDescent="0.4">
      <c r="B367" s="77">
        <v>44499</v>
      </c>
      <c r="C367" s="64"/>
      <c r="D367" s="64"/>
      <c r="E367" s="64" t="s">
        <v>471</v>
      </c>
      <c r="F367" s="64" t="s">
        <v>493</v>
      </c>
      <c r="G367" s="71" t="s">
        <v>264</v>
      </c>
      <c r="H367" s="78">
        <v>0.08</v>
      </c>
      <c r="I367" s="79">
        <f>12*2</f>
        <v>24</v>
      </c>
      <c r="J367" s="94">
        <v>78</v>
      </c>
      <c r="K367" s="80">
        <f t="shared" ref="K367:K380" si="49">J367*108%</f>
        <v>84.240000000000009</v>
      </c>
      <c r="L367" s="80"/>
      <c r="M367" s="80">
        <f t="shared" ref="M367:M380" si="50">K367*I367</f>
        <v>2021.7600000000002</v>
      </c>
      <c r="N367" s="79"/>
      <c r="O367" s="79"/>
      <c r="P367" s="80">
        <f t="shared" si="23"/>
        <v>0</v>
      </c>
      <c r="Q367" s="80">
        <f t="shared" si="24"/>
        <v>0</v>
      </c>
      <c r="R367" s="80">
        <f t="shared" si="25"/>
        <v>0</v>
      </c>
    </row>
    <row r="368" spans="2:19" x14ac:dyDescent="0.4">
      <c r="B368" s="77">
        <v>44499</v>
      </c>
      <c r="C368" s="64"/>
      <c r="D368" s="64"/>
      <c r="E368" s="64" t="s">
        <v>471</v>
      </c>
      <c r="F368" s="64" t="s">
        <v>476</v>
      </c>
      <c r="G368" s="71" t="s">
        <v>477</v>
      </c>
      <c r="H368" s="78">
        <v>0.08</v>
      </c>
      <c r="I368" s="79">
        <f>20*2</f>
        <v>40</v>
      </c>
      <c r="J368" s="94">
        <v>126</v>
      </c>
      <c r="K368" s="80">
        <f t="shared" si="49"/>
        <v>136.08000000000001</v>
      </c>
      <c r="L368" s="80"/>
      <c r="M368" s="80">
        <f t="shared" si="50"/>
        <v>5443.2000000000007</v>
      </c>
      <c r="N368" s="79"/>
      <c r="O368" s="79"/>
      <c r="P368" s="80">
        <f t="shared" si="23"/>
        <v>0</v>
      </c>
      <c r="Q368" s="80">
        <f t="shared" si="24"/>
        <v>0</v>
      </c>
      <c r="R368" s="80">
        <f t="shared" si="25"/>
        <v>0</v>
      </c>
    </row>
    <row r="369" spans="2:19" x14ac:dyDescent="0.4">
      <c r="B369" s="77">
        <v>44499</v>
      </c>
      <c r="C369" s="64"/>
      <c r="D369" s="64"/>
      <c r="E369" s="64" t="s">
        <v>471</v>
      </c>
      <c r="F369" s="64" t="s">
        <v>479</v>
      </c>
      <c r="G369" s="71" t="s">
        <v>482</v>
      </c>
      <c r="H369" s="78">
        <v>0.08</v>
      </c>
      <c r="I369" s="79">
        <f>20*2</f>
        <v>40</v>
      </c>
      <c r="J369" s="94">
        <v>126</v>
      </c>
      <c r="K369" s="80">
        <f t="shared" si="49"/>
        <v>136.08000000000001</v>
      </c>
      <c r="L369" s="80"/>
      <c r="M369" s="80">
        <f t="shared" si="50"/>
        <v>5443.2000000000007</v>
      </c>
      <c r="N369" s="79"/>
      <c r="O369" s="79"/>
      <c r="P369" s="80">
        <f t="shared" si="23"/>
        <v>0</v>
      </c>
      <c r="Q369" s="80">
        <f t="shared" si="24"/>
        <v>0</v>
      </c>
      <c r="R369" s="80">
        <f t="shared" si="25"/>
        <v>0</v>
      </c>
    </row>
    <row r="370" spans="2:19" x14ac:dyDescent="0.4">
      <c r="B370" s="77">
        <v>44499</v>
      </c>
      <c r="C370" s="64"/>
      <c r="D370" s="64"/>
      <c r="E370" s="64" t="s">
        <v>471</v>
      </c>
      <c r="F370" s="64" t="s">
        <v>478</v>
      </c>
      <c r="G370" s="71" t="s">
        <v>481</v>
      </c>
      <c r="H370" s="78">
        <v>0.08</v>
      </c>
      <c r="I370" s="79">
        <f>20*2</f>
        <v>40</v>
      </c>
      <c r="J370" s="94">
        <v>126</v>
      </c>
      <c r="K370" s="80">
        <f t="shared" si="49"/>
        <v>136.08000000000001</v>
      </c>
      <c r="L370" s="80"/>
      <c r="M370" s="80">
        <f t="shared" si="50"/>
        <v>5443.2000000000007</v>
      </c>
      <c r="N370" s="79"/>
      <c r="O370" s="79"/>
      <c r="P370" s="80">
        <f t="shared" si="23"/>
        <v>0</v>
      </c>
      <c r="Q370" s="80">
        <f t="shared" si="24"/>
        <v>0</v>
      </c>
      <c r="R370" s="80">
        <f t="shared" si="25"/>
        <v>0</v>
      </c>
    </row>
    <row r="371" spans="2:19" x14ac:dyDescent="0.4">
      <c r="B371" s="77">
        <v>44499</v>
      </c>
      <c r="C371" s="64"/>
      <c r="D371" s="64"/>
      <c r="E371" s="64" t="s">
        <v>471</v>
      </c>
      <c r="F371" s="64" t="s">
        <v>714</v>
      </c>
      <c r="G371" s="71" t="s">
        <v>727</v>
      </c>
      <c r="H371" s="78">
        <v>0.08</v>
      </c>
      <c r="I371" s="79">
        <f>10*1</f>
        <v>10</v>
      </c>
      <c r="J371" s="94">
        <v>69</v>
      </c>
      <c r="K371" s="80">
        <f t="shared" si="49"/>
        <v>74.52000000000001</v>
      </c>
      <c r="L371" s="80"/>
      <c r="M371" s="80">
        <f t="shared" si="50"/>
        <v>745.2</v>
      </c>
      <c r="N371" s="79"/>
      <c r="O371" s="79"/>
      <c r="P371" s="80">
        <f t="shared" si="23"/>
        <v>0</v>
      </c>
      <c r="Q371" s="80">
        <f t="shared" si="24"/>
        <v>0</v>
      </c>
      <c r="R371" s="80">
        <f t="shared" si="25"/>
        <v>0</v>
      </c>
    </row>
    <row r="372" spans="2:19" x14ac:dyDescent="0.4">
      <c r="B372" s="77">
        <v>44499</v>
      </c>
      <c r="C372" s="64"/>
      <c r="D372" s="64"/>
      <c r="E372" s="64" t="s">
        <v>471</v>
      </c>
      <c r="F372" s="64" t="s">
        <v>720</v>
      </c>
      <c r="G372" s="71" t="s">
        <v>733</v>
      </c>
      <c r="H372" s="78">
        <v>0.08</v>
      </c>
      <c r="I372" s="79">
        <f>10*1</f>
        <v>10</v>
      </c>
      <c r="J372" s="94">
        <v>69</v>
      </c>
      <c r="K372" s="80">
        <f t="shared" si="49"/>
        <v>74.52000000000001</v>
      </c>
      <c r="L372" s="80"/>
      <c r="M372" s="80">
        <f t="shared" si="50"/>
        <v>745.2</v>
      </c>
      <c r="N372" s="79"/>
      <c r="O372" s="79"/>
      <c r="P372" s="80">
        <f t="shared" si="23"/>
        <v>0</v>
      </c>
      <c r="Q372" s="80">
        <f t="shared" si="24"/>
        <v>0</v>
      </c>
      <c r="R372" s="80">
        <f t="shared" si="25"/>
        <v>0</v>
      </c>
    </row>
    <row r="373" spans="2:19" x14ac:dyDescent="0.4">
      <c r="B373" s="77">
        <v>44499</v>
      </c>
      <c r="C373" s="64"/>
      <c r="D373" s="64"/>
      <c r="E373" s="64" t="s">
        <v>471</v>
      </c>
      <c r="F373" s="64" t="s">
        <v>708</v>
      </c>
      <c r="G373" s="71" t="s">
        <v>721</v>
      </c>
      <c r="H373" s="78">
        <v>0.08</v>
      </c>
      <c r="I373" s="79">
        <f>10*1</f>
        <v>10</v>
      </c>
      <c r="J373" s="94">
        <v>69</v>
      </c>
      <c r="K373" s="80">
        <f t="shared" si="49"/>
        <v>74.52000000000001</v>
      </c>
      <c r="L373" s="80"/>
      <c r="M373" s="80">
        <f t="shared" si="50"/>
        <v>745.2</v>
      </c>
      <c r="N373" s="79"/>
      <c r="O373" s="79"/>
      <c r="P373" s="80">
        <f t="shared" si="23"/>
        <v>0</v>
      </c>
      <c r="Q373" s="80">
        <f t="shared" si="24"/>
        <v>0</v>
      </c>
      <c r="R373" s="80">
        <f t="shared" si="25"/>
        <v>0</v>
      </c>
    </row>
    <row r="374" spans="2:19" x14ac:dyDescent="0.4">
      <c r="B374" s="77">
        <v>44499</v>
      </c>
      <c r="C374" s="64"/>
      <c r="D374" s="64"/>
      <c r="E374" s="64" t="s">
        <v>471</v>
      </c>
      <c r="F374" s="64" t="s">
        <v>719</v>
      </c>
      <c r="G374" s="71" t="s">
        <v>732</v>
      </c>
      <c r="H374" s="78">
        <v>0.08</v>
      </c>
      <c r="I374" s="79">
        <f>10*1</f>
        <v>10</v>
      </c>
      <c r="J374" s="94">
        <v>69</v>
      </c>
      <c r="K374" s="80">
        <f t="shared" si="49"/>
        <v>74.52000000000001</v>
      </c>
      <c r="L374" s="80"/>
      <c r="M374" s="80">
        <f t="shared" si="50"/>
        <v>745.2</v>
      </c>
      <c r="N374" s="79"/>
      <c r="O374" s="79"/>
      <c r="P374" s="80">
        <f t="shared" si="23"/>
        <v>0</v>
      </c>
      <c r="Q374" s="80">
        <f t="shared" si="24"/>
        <v>0</v>
      </c>
      <c r="R374" s="80">
        <f t="shared" si="25"/>
        <v>0</v>
      </c>
    </row>
    <row r="375" spans="2:19" x14ac:dyDescent="0.4">
      <c r="B375" s="77">
        <v>44499</v>
      </c>
      <c r="C375" s="64"/>
      <c r="D375" s="64"/>
      <c r="E375" s="64" t="s">
        <v>471</v>
      </c>
      <c r="F375" s="64" t="s">
        <v>767</v>
      </c>
      <c r="G375" s="71" t="s">
        <v>780</v>
      </c>
      <c r="H375" s="78">
        <v>0.08</v>
      </c>
      <c r="I375" s="79">
        <f>10*2</f>
        <v>20</v>
      </c>
      <c r="J375" s="94">
        <v>68</v>
      </c>
      <c r="K375" s="80">
        <f t="shared" si="49"/>
        <v>73.44</v>
      </c>
      <c r="L375" s="80"/>
      <c r="M375" s="80">
        <f t="shared" si="50"/>
        <v>1468.8</v>
      </c>
      <c r="N375" s="79"/>
      <c r="O375" s="79"/>
      <c r="P375" s="80">
        <f t="shared" si="23"/>
        <v>0</v>
      </c>
      <c r="Q375" s="80">
        <f t="shared" si="24"/>
        <v>0</v>
      </c>
      <c r="R375" s="80">
        <f t="shared" si="25"/>
        <v>0</v>
      </c>
    </row>
    <row r="376" spans="2:19" x14ac:dyDescent="0.4">
      <c r="B376" s="77">
        <v>44499</v>
      </c>
      <c r="C376" s="64"/>
      <c r="D376" s="64"/>
      <c r="E376" s="64" t="s">
        <v>471</v>
      </c>
      <c r="F376" s="64" t="s">
        <v>808</v>
      </c>
      <c r="G376" s="71" t="s">
        <v>277</v>
      </c>
      <c r="H376" s="78">
        <v>0.08</v>
      </c>
      <c r="I376" s="79">
        <f>18*2</f>
        <v>36</v>
      </c>
      <c r="J376" s="94">
        <v>135</v>
      </c>
      <c r="K376" s="80">
        <f t="shared" si="49"/>
        <v>145.80000000000001</v>
      </c>
      <c r="L376" s="80"/>
      <c r="M376" s="80">
        <f t="shared" si="50"/>
        <v>5248.8</v>
      </c>
      <c r="N376" s="79"/>
      <c r="O376" s="79"/>
      <c r="P376" s="80">
        <f t="shared" si="23"/>
        <v>0</v>
      </c>
      <c r="Q376" s="80">
        <f t="shared" si="24"/>
        <v>0</v>
      </c>
      <c r="R376" s="80">
        <f t="shared" si="25"/>
        <v>0</v>
      </c>
    </row>
    <row r="377" spans="2:19" x14ac:dyDescent="0.4">
      <c r="B377" s="77">
        <v>44499</v>
      </c>
      <c r="C377" s="64"/>
      <c r="D377" s="64"/>
      <c r="E377" s="64" t="s">
        <v>471</v>
      </c>
      <c r="F377" s="64" t="s">
        <v>809</v>
      </c>
      <c r="G377" s="71" t="s">
        <v>263</v>
      </c>
      <c r="H377" s="78">
        <v>0.08</v>
      </c>
      <c r="I377" s="79">
        <f>12*2</f>
        <v>24</v>
      </c>
      <c r="J377" s="94">
        <v>78</v>
      </c>
      <c r="K377" s="80">
        <f t="shared" si="49"/>
        <v>84.240000000000009</v>
      </c>
      <c r="L377" s="80"/>
      <c r="M377" s="80">
        <f t="shared" si="50"/>
        <v>2021.7600000000002</v>
      </c>
      <c r="N377" s="79"/>
      <c r="O377" s="79"/>
      <c r="P377" s="80">
        <f t="shared" si="23"/>
        <v>0</v>
      </c>
      <c r="Q377" s="80">
        <f t="shared" si="24"/>
        <v>0</v>
      </c>
      <c r="R377" s="80">
        <f t="shared" si="25"/>
        <v>0</v>
      </c>
    </row>
    <row r="378" spans="2:19" x14ac:dyDescent="0.4">
      <c r="B378" s="77">
        <v>44499</v>
      </c>
      <c r="C378" s="64"/>
      <c r="D378" s="64"/>
      <c r="E378" s="64" t="s">
        <v>471</v>
      </c>
      <c r="F378" s="64" t="s">
        <v>810</v>
      </c>
      <c r="G378" s="71" t="s">
        <v>265</v>
      </c>
      <c r="H378" s="78">
        <v>0.08</v>
      </c>
      <c r="I378" s="79">
        <f>12*2</f>
        <v>24</v>
      </c>
      <c r="J378" s="94">
        <v>78</v>
      </c>
      <c r="K378" s="80">
        <f t="shared" si="49"/>
        <v>84.240000000000009</v>
      </c>
      <c r="L378" s="80"/>
      <c r="M378" s="80">
        <f t="shared" si="50"/>
        <v>2021.7600000000002</v>
      </c>
      <c r="N378" s="79"/>
      <c r="O378" s="79"/>
      <c r="P378" s="80">
        <f t="shared" si="23"/>
        <v>0</v>
      </c>
      <c r="Q378" s="80">
        <f t="shared" si="24"/>
        <v>0</v>
      </c>
      <c r="R378" s="80">
        <f t="shared" si="25"/>
        <v>0</v>
      </c>
    </row>
    <row r="379" spans="2:19" x14ac:dyDescent="0.4">
      <c r="B379" s="77">
        <v>44499</v>
      </c>
      <c r="C379" s="64"/>
      <c r="D379" s="64"/>
      <c r="E379" s="64" t="s">
        <v>471</v>
      </c>
      <c r="F379" s="64" t="s">
        <v>480</v>
      </c>
      <c r="G379" s="71" t="s">
        <v>271</v>
      </c>
      <c r="H379" s="78">
        <v>0.08</v>
      </c>
      <c r="I379" s="79">
        <f>12*2</f>
        <v>24</v>
      </c>
      <c r="J379" s="94">
        <v>99</v>
      </c>
      <c r="K379" s="80">
        <f t="shared" si="49"/>
        <v>106.92</v>
      </c>
      <c r="L379" s="80"/>
      <c r="M379" s="80">
        <f t="shared" si="50"/>
        <v>2566.08</v>
      </c>
      <c r="N379" s="79"/>
      <c r="O379" s="79"/>
      <c r="P379" s="80">
        <f t="shared" si="23"/>
        <v>0</v>
      </c>
      <c r="Q379" s="80">
        <f t="shared" si="24"/>
        <v>0</v>
      </c>
      <c r="R379" s="80">
        <f t="shared" si="25"/>
        <v>0</v>
      </c>
    </row>
    <row r="380" spans="2:19" x14ac:dyDescent="0.4">
      <c r="B380" s="77">
        <v>44499</v>
      </c>
      <c r="C380" s="64"/>
      <c r="D380" s="64"/>
      <c r="E380" s="64" t="s">
        <v>471</v>
      </c>
      <c r="F380" s="64" t="s">
        <v>765</v>
      </c>
      <c r="G380" s="71" t="s">
        <v>777</v>
      </c>
      <c r="H380" s="78">
        <v>0.08</v>
      </c>
      <c r="I380" s="79">
        <f>10*2</f>
        <v>20</v>
      </c>
      <c r="J380" s="94">
        <v>68</v>
      </c>
      <c r="K380" s="80">
        <f t="shared" si="49"/>
        <v>73.44</v>
      </c>
      <c r="L380" s="80"/>
      <c r="M380" s="80">
        <f t="shared" si="50"/>
        <v>1468.8</v>
      </c>
      <c r="N380" s="79"/>
      <c r="O380" s="79"/>
      <c r="P380" s="80">
        <f t="shared" si="23"/>
        <v>0</v>
      </c>
      <c r="Q380" s="80">
        <f t="shared" si="24"/>
        <v>0</v>
      </c>
      <c r="R380" s="80">
        <f t="shared" si="25"/>
        <v>0</v>
      </c>
      <c r="S380" s="89">
        <f>SUM(M366:M380)</f>
        <v>38694.240000000013</v>
      </c>
    </row>
    <row r="381" spans="2:19" x14ac:dyDescent="0.4">
      <c r="B381" s="77">
        <v>44499</v>
      </c>
      <c r="C381" s="64"/>
      <c r="D381" s="64"/>
      <c r="E381" s="64" t="s">
        <v>471</v>
      </c>
      <c r="F381" s="64" t="s">
        <v>472</v>
      </c>
      <c r="G381" s="71" t="s">
        <v>260</v>
      </c>
      <c r="H381" s="78">
        <v>0.08</v>
      </c>
      <c r="I381" s="79">
        <f>30*1</f>
        <v>30</v>
      </c>
      <c r="J381" s="94">
        <v>65</v>
      </c>
      <c r="K381" s="80">
        <f t="shared" ref="K381:K397" si="51">J381*108%</f>
        <v>70.2</v>
      </c>
      <c r="L381" s="80"/>
      <c r="M381" s="80">
        <f t="shared" ref="M381:M397" si="52">K381*I381</f>
        <v>2106</v>
      </c>
      <c r="N381" s="79"/>
      <c r="O381" s="79"/>
      <c r="P381" s="80">
        <f t="shared" si="23"/>
        <v>0</v>
      </c>
      <c r="Q381" s="80">
        <f t="shared" si="24"/>
        <v>0</v>
      </c>
      <c r="R381" s="80">
        <f t="shared" si="25"/>
        <v>0</v>
      </c>
    </row>
    <row r="382" spans="2:19" x14ac:dyDescent="0.4">
      <c r="B382" s="77">
        <v>44499</v>
      </c>
      <c r="C382" s="64"/>
      <c r="D382" s="64"/>
      <c r="E382" s="64" t="s">
        <v>471</v>
      </c>
      <c r="F382" s="64" t="s">
        <v>525</v>
      </c>
      <c r="G382" s="71" t="s">
        <v>259</v>
      </c>
      <c r="H382" s="78">
        <v>0.08</v>
      </c>
      <c r="I382" s="79">
        <f>24*4</f>
        <v>96</v>
      </c>
      <c r="J382" s="94">
        <v>79</v>
      </c>
      <c r="K382" s="80">
        <f t="shared" si="51"/>
        <v>85.320000000000007</v>
      </c>
      <c r="L382" s="80"/>
      <c r="M382" s="80">
        <f t="shared" si="52"/>
        <v>8190.7200000000012</v>
      </c>
      <c r="N382" s="79"/>
      <c r="O382" s="79"/>
      <c r="P382" s="80">
        <f t="shared" si="23"/>
        <v>0</v>
      </c>
      <c r="Q382" s="80">
        <f t="shared" si="24"/>
        <v>0</v>
      </c>
      <c r="R382" s="80">
        <f t="shared" si="25"/>
        <v>0</v>
      </c>
    </row>
    <row r="383" spans="2:19" x14ac:dyDescent="0.4">
      <c r="B383" s="77">
        <v>44499</v>
      </c>
      <c r="C383" s="64"/>
      <c r="D383" s="64"/>
      <c r="E383" s="64" t="s">
        <v>471</v>
      </c>
      <c r="F383" s="64" t="s">
        <v>811</v>
      </c>
      <c r="G383" s="71" t="s">
        <v>812</v>
      </c>
      <c r="H383" s="78">
        <v>0.08</v>
      </c>
      <c r="I383" s="79">
        <f>24*2</f>
        <v>48</v>
      </c>
      <c r="J383" s="94">
        <v>66</v>
      </c>
      <c r="K383" s="80">
        <f t="shared" si="51"/>
        <v>71.28</v>
      </c>
      <c r="L383" s="80"/>
      <c r="M383" s="80">
        <f t="shared" si="52"/>
        <v>3421.44</v>
      </c>
      <c r="N383" s="79"/>
      <c r="O383" s="79"/>
      <c r="P383" s="80">
        <f t="shared" si="23"/>
        <v>0</v>
      </c>
      <c r="Q383" s="80">
        <f t="shared" si="24"/>
        <v>0</v>
      </c>
      <c r="R383" s="80">
        <f t="shared" si="25"/>
        <v>0</v>
      </c>
    </row>
    <row r="384" spans="2:19" x14ac:dyDescent="0.4">
      <c r="B384" s="77">
        <v>44499</v>
      </c>
      <c r="C384" s="64"/>
      <c r="D384" s="64"/>
      <c r="E384" s="64" t="s">
        <v>471</v>
      </c>
      <c r="F384" s="64" t="s">
        <v>783</v>
      </c>
      <c r="G384" s="71" t="s">
        <v>791</v>
      </c>
      <c r="H384" s="78">
        <v>0.08</v>
      </c>
      <c r="I384" s="79">
        <f>24*1</f>
        <v>24</v>
      </c>
      <c r="J384" s="94">
        <v>72</v>
      </c>
      <c r="K384" s="80">
        <f t="shared" si="51"/>
        <v>77.760000000000005</v>
      </c>
      <c r="L384" s="80"/>
      <c r="M384" s="80">
        <f t="shared" si="52"/>
        <v>1866.2400000000002</v>
      </c>
      <c r="N384" s="79"/>
      <c r="O384" s="79"/>
      <c r="P384" s="80">
        <f t="shared" si="23"/>
        <v>0</v>
      </c>
      <c r="Q384" s="80">
        <f t="shared" si="24"/>
        <v>0</v>
      </c>
      <c r="R384" s="80">
        <f t="shared" si="25"/>
        <v>0</v>
      </c>
      <c r="S384" s="89">
        <f>SUM(M381:M384)</f>
        <v>15584.400000000001</v>
      </c>
    </row>
    <row r="385" spans="2:19" x14ac:dyDescent="0.4">
      <c r="B385" s="77">
        <v>44499</v>
      </c>
      <c r="C385" s="64"/>
      <c r="D385" s="64"/>
      <c r="E385" s="64" t="s">
        <v>471</v>
      </c>
      <c r="F385" s="64" t="s">
        <v>763</v>
      </c>
      <c r="G385" s="71" t="s">
        <v>775</v>
      </c>
      <c r="H385" s="78">
        <v>0.08</v>
      </c>
      <c r="I385" s="79">
        <f>24*1</f>
        <v>24</v>
      </c>
      <c r="J385" s="94">
        <v>135</v>
      </c>
      <c r="K385" s="80">
        <f t="shared" si="51"/>
        <v>145.80000000000001</v>
      </c>
      <c r="L385" s="80"/>
      <c r="M385" s="80">
        <f t="shared" si="52"/>
        <v>3499.2000000000003</v>
      </c>
      <c r="N385" s="79"/>
      <c r="O385" s="79"/>
      <c r="P385" s="80">
        <f t="shared" si="23"/>
        <v>0</v>
      </c>
      <c r="Q385" s="80">
        <f t="shared" si="24"/>
        <v>0</v>
      </c>
      <c r="R385" s="80">
        <f t="shared" si="25"/>
        <v>0</v>
      </c>
    </row>
    <row r="386" spans="2:19" x14ac:dyDescent="0.4">
      <c r="B386" s="77">
        <v>44499</v>
      </c>
      <c r="C386" s="64"/>
      <c r="D386" s="64"/>
      <c r="E386" s="64" t="s">
        <v>471</v>
      </c>
      <c r="F386" s="64" t="s">
        <v>827</v>
      </c>
      <c r="G386" s="71" t="s">
        <v>262</v>
      </c>
      <c r="H386" s="78">
        <v>0.08</v>
      </c>
      <c r="I386" s="79">
        <f>30*2</f>
        <v>60</v>
      </c>
      <c r="J386" s="94">
        <v>50</v>
      </c>
      <c r="K386" s="80">
        <f t="shared" si="51"/>
        <v>54</v>
      </c>
      <c r="L386" s="80"/>
      <c r="M386" s="80">
        <f t="shared" si="52"/>
        <v>3240</v>
      </c>
      <c r="N386" s="79"/>
      <c r="O386" s="79"/>
      <c r="P386" s="80">
        <f t="shared" si="23"/>
        <v>0</v>
      </c>
      <c r="Q386" s="80">
        <f t="shared" si="24"/>
        <v>0</v>
      </c>
      <c r="R386" s="80">
        <f t="shared" si="25"/>
        <v>0</v>
      </c>
    </row>
    <row r="387" spans="2:19" x14ac:dyDescent="0.4">
      <c r="B387" s="77">
        <v>44499</v>
      </c>
      <c r="C387" s="64"/>
      <c r="D387" s="64"/>
      <c r="E387" s="64" t="s">
        <v>471</v>
      </c>
      <c r="F387" s="64" t="s">
        <v>531</v>
      </c>
      <c r="G387" s="71" t="s">
        <v>253</v>
      </c>
      <c r="H387" s="78">
        <v>0.08</v>
      </c>
      <c r="I387" s="79">
        <f t="shared" ref="I387:I392" si="53">24*2</f>
        <v>48</v>
      </c>
      <c r="J387" s="94">
        <v>69</v>
      </c>
      <c r="K387" s="80">
        <f t="shared" si="51"/>
        <v>74.52000000000001</v>
      </c>
      <c r="L387" s="80"/>
      <c r="M387" s="80">
        <f t="shared" si="52"/>
        <v>3576.9600000000005</v>
      </c>
      <c r="N387" s="79"/>
      <c r="O387" s="79"/>
      <c r="P387" s="80">
        <f t="shared" si="23"/>
        <v>0</v>
      </c>
      <c r="Q387" s="80">
        <f t="shared" si="24"/>
        <v>0</v>
      </c>
      <c r="R387" s="80">
        <f t="shared" si="25"/>
        <v>0</v>
      </c>
    </row>
    <row r="388" spans="2:19" x14ac:dyDescent="0.4">
      <c r="B388" s="77">
        <v>44499</v>
      </c>
      <c r="C388" s="64"/>
      <c r="D388" s="64"/>
      <c r="E388" s="64" t="s">
        <v>471</v>
      </c>
      <c r="F388" s="64" t="s">
        <v>529</v>
      </c>
      <c r="G388" s="71" t="s">
        <v>251</v>
      </c>
      <c r="H388" s="78">
        <v>0.08</v>
      </c>
      <c r="I388" s="79">
        <f t="shared" si="53"/>
        <v>48</v>
      </c>
      <c r="J388" s="94">
        <v>77</v>
      </c>
      <c r="K388" s="80">
        <f t="shared" si="51"/>
        <v>83.160000000000011</v>
      </c>
      <c r="L388" s="80"/>
      <c r="M388" s="80">
        <f t="shared" si="52"/>
        <v>3991.6800000000003</v>
      </c>
      <c r="N388" s="79"/>
      <c r="O388" s="79"/>
      <c r="P388" s="80">
        <f t="shared" si="23"/>
        <v>0</v>
      </c>
      <c r="Q388" s="80">
        <f t="shared" si="24"/>
        <v>0</v>
      </c>
      <c r="R388" s="80">
        <f t="shared" si="25"/>
        <v>0</v>
      </c>
    </row>
    <row r="389" spans="2:19" x14ac:dyDescent="0.4">
      <c r="B389" s="77">
        <v>44499</v>
      </c>
      <c r="C389" s="64"/>
      <c r="D389" s="64"/>
      <c r="E389" s="64" t="s">
        <v>471</v>
      </c>
      <c r="F389" s="64" t="s">
        <v>525</v>
      </c>
      <c r="G389" s="71" t="s">
        <v>259</v>
      </c>
      <c r="H389" s="78">
        <v>0.08</v>
      </c>
      <c r="I389" s="79">
        <f t="shared" si="53"/>
        <v>48</v>
      </c>
      <c r="J389" s="94">
        <v>79</v>
      </c>
      <c r="K389" s="80">
        <f t="shared" si="51"/>
        <v>85.320000000000007</v>
      </c>
      <c r="L389" s="80"/>
      <c r="M389" s="80">
        <f t="shared" si="52"/>
        <v>4095.3600000000006</v>
      </c>
      <c r="N389" s="79"/>
      <c r="O389" s="79"/>
      <c r="P389" s="80">
        <f t="shared" si="23"/>
        <v>0</v>
      </c>
      <c r="Q389" s="80">
        <f t="shared" si="24"/>
        <v>0</v>
      </c>
      <c r="R389" s="80">
        <f t="shared" si="25"/>
        <v>0</v>
      </c>
    </row>
    <row r="390" spans="2:19" x14ac:dyDescent="0.4">
      <c r="B390" s="77">
        <v>44499</v>
      </c>
      <c r="C390" s="64"/>
      <c r="D390" s="64"/>
      <c r="E390" s="64" t="s">
        <v>471</v>
      </c>
      <c r="F390" s="64" t="s">
        <v>783</v>
      </c>
      <c r="G390" s="71" t="s">
        <v>791</v>
      </c>
      <c r="H390" s="78">
        <v>0.08</v>
      </c>
      <c r="I390" s="79">
        <f t="shared" si="53"/>
        <v>48</v>
      </c>
      <c r="J390" s="94">
        <v>72</v>
      </c>
      <c r="K390" s="80">
        <f t="shared" si="51"/>
        <v>77.760000000000005</v>
      </c>
      <c r="L390" s="80"/>
      <c r="M390" s="80">
        <f t="shared" si="52"/>
        <v>3732.4800000000005</v>
      </c>
      <c r="N390" s="79"/>
      <c r="O390" s="79"/>
      <c r="P390" s="80">
        <f t="shared" si="23"/>
        <v>0</v>
      </c>
      <c r="Q390" s="80">
        <f t="shared" si="24"/>
        <v>0</v>
      </c>
      <c r="R390" s="80">
        <f t="shared" si="25"/>
        <v>0</v>
      </c>
    </row>
    <row r="391" spans="2:19" x14ac:dyDescent="0.4">
      <c r="B391" s="77">
        <v>44499</v>
      </c>
      <c r="C391" s="64"/>
      <c r="D391" s="64"/>
      <c r="E391" s="64" t="s">
        <v>471</v>
      </c>
      <c r="F391" s="64" t="s">
        <v>748</v>
      </c>
      <c r="G391" s="71" t="s">
        <v>753</v>
      </c>
      <c r="H391" s="78">
        <v>0.08</v>
      </c>
      <c r="I391" s="79">
        <f t="shared" si="53"/>
        <v>48</v>
      </c>
      <c r="J391" s="94">
        <v>56</v>
      </c>
      <c r="K391" s="80">
        <f t="shared" si="51"/>
        <v>60.480000000000004</v>
      </c>
      <c r="L391" s="80"/>
      <c r="M391" s="80">
        <f t="shared" si="52"/>
        <v>2903.04</v>
      </c>
      <c r="N391" s="79"/>
      <c r="O391" s="79"/>
      <c r="P391" s="80">
        <f t="shared" ref="P391:P454" si="54">IFERROR(O391*J391,"")</f>
        <v>0</v>
      </c>
      <c r="Q391" s="80">
        <f t="shared" ref="Q391:Q454" si="55">IFERROR(P391*O391,"")</f>
        <v>0</v>
      </c>
      <c r="R391" s="80">
        <f t="shared" ref="R391:R454" si="56">IFERROR(Q391-P391,"")</f>
        <v>0</v>
      </c>
    </row>
    <row r="392" spans="2:19" x14ac:dyDescent="0.4">
      <c r="B392" s="77">
        <v>44499</v>
      </c>
      <c r="C392" s="64"/>
      <c r="D392" s="64"/>
      <c r="E392" s="64" t="s">
        <v>471</v>
      </c>
      <c r="F392" s="64" t="s">
        <v>522</v>
      </c>
      <c r="G392" s="71" t="s">
        <v>256</v>
      </c>
      <c r="H392" s="78">
        <v>0.08</v>
      </c>
      <c r="I392" s="79">
        <f t="shared" si="53"/>
        <v>48</v>
      </c>
      <c r="J392" s="94">
        <v>65</v>
      </c>
      <c r="K392" s="80">
        <f t="shared" si="51"/>
        <v>70.2</v>
      </c>
      <c r="L392" s="80"/>
      <c r="M392" s="80">
        <f t="shared" si="52"/>
        <v>3369.6000000000004</v>
      </c>
      <c r="N392" s="79"/>
      <c r="O392" s="79"/>
      <c r="P392" s="80">
        <f t="shared" si="54"/>
        <v>0</v>
      </c>
      <c r="Q392" s="80">
        <f t="shared" si="55"/>
        <v>0</v>
      </c>
      <c r="R392" s="80">
        <f t="shared" si="56"/>
        <v>0</v>
      </c>
    </row>
    <row r="393" spans="2:19" x14ac:dyDescent="0.4">
      <c r="B393" s="77">
        <v>44499</v>
      </c>
      <c r="C393" s="64"/>
      <c r="D393" s="64"/>
      <c r="E393" s="64" t="s">
        <v>471</v>
      </c>
      <c r="F393" s="64" t="s">
        <v>472</v>
      </c>
      <c r="G393" s="71" t="s">
        <v>260</v>
      </c>
      <c r="H393" s="78">
        <v>0.08</v>
      </c>
      <c r="I393" s="79">
        <f>30*2</f>
        <v>60</v>
      </c>
      <c r="J393" s="94">
        <v>65</v>
      </c>
      <c r="K393" s="80">
        <f t="shared" si="51"/>
        <v>70.2</v>
      </c>
      <c r="L393" s="80"/>
      <c r="M393" s="80">
        <f t="shared" si="52"/>
        <v>4212</v>
      </c>
      <c r="N393" s="79"/>
      <c r="O393" s="79"/>
      <c r="P393" s="80">
        <f t="shared" si="54"/>
        <v>0</v>
      </c>
      <c r="Q393" s="80">
        <f t="shared" si="55"/>
        <v>0</v>
      </c>
      <c r="R393" s="80">
        <f t="shared" si="56"/>
        <v>0</v>
      </c>
    </row>
    <row r="394" spans="2:19" x14ac:dyDescent="0.4">
      <c r="B394" s="77">
        <v>44499</v>
      </c>
      <c r="C394" s="64"/>
      <c r="D394" s="64"/>
      <c r="E394" s="64" t="s">
        <v>471</v>
      </c>
      <c r="F394" s="64" t="s">
        <v>483</v>
      </c>
      <c r="G394" s="71" t="s">
        <v>474</v>
      </c>
      <c r="H394" s="78">
        <v>0.08</v>
      </c>
      <c r="I394" s="79">
        <f>24*2</f>
        <v>48</v>
      </c>
      <c r="J394" s="94">
        <v>56</v>
      </c>
      <c r="K394" s="80">
        <f t="shared" si="51"/>
        <v>60.480000000000004</v>
      </c>
      <c r="L394" s="80"/>
      <c r="M394" s="80">
        <f t="shared" si="52"/>
        <v>2903.04</v>
      </c>
      <c r="N394" s="79"/>
      <c r="O394" s="79"/>
      <c r="P394" s="80">
        <f t="shared" si="54"/>
        <v>0</v>
      </c>
      <c r="Q394" s="80">
        <f t="shared" si="55"/>
        <v>0</v>
      </c>
      <c r="R394" s="80">
        <f t="shared" si="56"/>
        <v>0</v>
      </c>
    </row>
    <row r="395" spans="2:19" x14ac:dyDescent="0.4">
      <c r="B395" s="77">
        <v>44499</v>
      </c>
      <c r="C395" s="64"/>
      <c r="D395" s="64"/>
      <c r="E395" s="64" t="s">
        <v>471</v>
      </c>
      <c r="F395" s="64" t="s">
        <v>682</v>
      </c>
      <c r="G395" s="71" t="s">
        <v>689</v>
      </c>
      <c r="H395" s="78">
        <v>0.08</v>
      </c>
      <c r="I395" s="79">
        <f>24*2</f>
        <v>48</v>
      </c>
      <c r="J395" s="94">
        <v>87</v>
      </c>
      <c r="K395" s="80">
        <f t="shared" si="51"/>
        <v>93.960000000000008</v>
      </c>
      <c r="L395" s="80"/>
      <c r="M395" s="80">
        <f t="shared" si="52"/>
        <v>4510.08</v>
      </c>
      <c r="N395" s="79"/>
      <c r="O395" s="79"/>
      <c r="P395" s="80">
        <f t="shared" si="54"/>
        <v>0</v>
      </c>
      <c r="Q395" s="80">
        <f t="shared" si="55"/>
        <v>0</v>
      </c>
      <c r="R395" s="80">
        <f t="shared" si="56"/>
        <v>0</v>
      </c>
    </row>
    <row r="396" spans="2:19" x14ac:dyDescent="0.4">
      <c r="B396" s="77">
        <v>44499</v>
      </c>
      <c r="C396" s="64"/>
      <c r="D396" s="64"/>
      <c r="E396" s="64" t="s">
        <v>471</v>
      </c>
      <c r="F396" s="64" t="s">
        <v>679</v>
      </c>
      <c r="G396" s="71" t="s">
        <v>686</v>
      </c>
      <c r="H396" s="78">
        <v>0.08</v>
      </c>
      <c r="I396" s="79">
        <f>24*2</f>
        <v>48</v>
      </c>
      <c r="J396" s="94">
        <v>74</v>
      </c>
      <c r="K396" s="80">
        <f t="shared" si="51"/>
        <v>79.92</v>
      </c>
      <c r="L396" s="80"/>
      <c r="M396" s="80">
        <f t="shared" si="52"/>
        <v>3836.16</v>
      </c>
      <c r="N396" s="79"/>
      <c r="O396" s="79"/>
      <c r="P396" s="80">
        <f t="shared" si="54"/>
        <v>0</v>
      </c>
      <c r="Q396" s="80">
        <f t="shared" si="55"/>
        <v>0</v>
      </c>
      <c r="R396" s="80">
        <f t="shared" si="56"/>
        <v>0</v>
      </c>
    </row>
    <row r="397" spans="2:19" x14ac:dyDescent="0.4">
      <c r="B397" s="77">
        <v>44499</v>
      </c>
      <c r="C397" s="64"/>
      <c r="D397" s="64"/>
      <c r="E397" s="64" t="s">
        <v>471</v>
      </c>
      <c r="F397" s="64" t="s">
        <v>828</v>
      </c>
      <c r="G397" s="71" t="s">
        <v>829</v>
      </c>
      <c r="H397" s="78">
        <v>0.08</v>
      </c>
      <c r="I397" s="79">
        <f>24*2</f>
        <v>48</v>
      </c>
      <c r="J397" s="94">
        <v>69</v>
      </c>
      <c r="K397" s="80">
        <f t="shared" si="51"/>
        <v>74.52000000000001</v>
      </c>
      <c r="L397" s="80"/>
      <c r="M397" s="80">
        <f t="shared" si="52"/>
        <v>3576.9600000000005</v>
      </c>
      <c r="N397" s="79"/>
      <c r="O397" s="79"/>
      <c r="P397" s="80">
        <f t="shared" si="54"/>
        <v>0</v>
      </c>
      <c r="Q397" s="80">
        <f t="shared" si="55"/>
        <v>0</v>
      </c>
      <c r="R397" s="80">
        <f t="shared" si="56"/>
        <v>0</v>
      </c>
      <c r="S397" s="89">
        <f>SUM(M385:M397)</f>
        <v>47446.560000000005</v>
      </c>
    </row>
    <row r="398" spans="2:19" x14ac:dyDescent="0.4">
      <c r="B398" s="77">
        <v>44499</v>
      </c>
      <c r="C398" s="64"/>
      <c r="D398" s="64"/>
      <c r="E398" s="64" t="s">
        <v>471</v>
      </c>
      <c r="F398" s="64" t="s">
        <v>830</v>
      </c>
      <c r="G398" s="71" t="s">
        <v>840</v>
      </c>
      <c r="H398" s="78">
        <v>0.1</v>
      </c>
      <c r="I398" s="79">
        <v>12</v>
      </c>
      <c r="J398" s="94">
        <v>322</v>
      </c>
      <c r="K398" s="80">
        <f>J398*110%</f>
        <v>354.20000000000005</v>
      </c>
      <c r="L398" s="80"/>
      <c r="M398" s="80">
        <f t="shared" ref="M398:M409" si="57">K398*I398</f>
        <v>4250.4000000000005</v>
      </c>
      <c r="N398" s="79"/>
      <c r="O398" s="79"/>
      <c r="P398" s="80">
        <f t="shared" si="54"/>
        <v>0</v>
      </c>
      <c r="Q398" s="80">
        <f t="shared" si="55"/>
        <v>0</v>
      </c>
      <c r="R398" s="80">
        <f t="shared" si="56"/>
        <v>0</v>
      </c>
      <c r="S398" s="89"/>
    </row>
    <row r="399" spans="2:19" x14ac:dyDescent="0.4">
      <c r="B399" s="77">
        <v>44499</v>
      </c>
      <c r="C399" s="64"/>
      <c r="D399" s="64"/>
      <c r="E399" s="64" t="s">
        <v>471</v>
      </c>
      <c r="F399" s="64" t="s">
        <v>639</v>
      </c>
      <c r="G399" s="71" t="s">
        <v>648</v>
      </c>
      <c r="H399" s="78">
        <v>0.1</v>
      </c>
      <c r="I399" s="79">
        <f>5*2</f>
        <v>10</v>
      </c>
      <c r="J399" s="94">
        <v>135</v>
      </c>
      <c r="K399" s="80">
        <f>J399*110%</f>
        <v>148.5</v>
      </c>
      <c r="L399" s="80"/>
      <c r="M399" s="80">
        <f t="shared" si="57"/>
        <v>1485</v>
      </c>
      <c r="N399" s="79"/>
      <c r="O399" s="79"/>
      <c r="P399" s="80">
        <f t="shared" si="54"/>
        <v>0</v>
      </c>
      <c r="Q399" s="80">
        <f t="shared" si="55"/>
        <v>0</v>
      </c>
      <c r="R399" s="80">
        <f t="shared" si="56"/>
        <v>0</v>
      </c>
      <c r="S399" s="89"/>
    </row>
    <row r="400" spans="2:19" x14ac:dyDescent="0.4">
      <c r="B400" s="77">
        <v>44499</v>
      </c>
      <c r="C400" s="64"/>
      <c r="D400" s="64"/>
      <c r="E400" s="64" t="s">
        <v>471</v>
      </c>
      <c r="F400" s="64" t="s">
        <v>831</v>
      </c>
      <c r="G400" s="71" t="s">
        <v>841</v>
      </c>
      <c r="H400" s="78">
        <v>0.08</v>
      </c>
      <c r="I400" s="79">
        <f>20*2</f>
        <v>40</v>
      </c>
      <c r="J400" s="94">
        <v>289</v>
      </c>
      <c r="K400" s="80">
        <f t="shared" ref="K400:K409" si="58">J400*108%</f>
        <v>312.12</v>
      </c>
      <c r="L400" s="80"/>
      <c r="M400" s="80">
        <f t="shared" si="57"/>
        <v>12484.8</v>
      </c>
      <c r="N400" s="79"/>
      <c r="O400" s="79"/>
      <c r="P400" s="80">
        <f t="shared" si="54"/>
        <v>0</v>
      </c>
      <c r="Q400" s="80">
        <f t="shared" si="55"/>
        <v>0</v>
      </c>
      <c r="R400" s="80">
        <f t="shared" si="56"/>
        <v>0</v>
      </c>
      <c r="S400" s="89"/>
    </row>
    <row r="401" spans="2:19" x14ac:dyDescent="0.4">
      <c r="B401" s="77">
        <v>44499</v>
      </c>
      <c r="C401" s="64"/>
      <c r="D401" s="64"/>
      <c r="E401" s="64" t="s">
        <v>471</v>
      </c>
      <c r="F401" s="64" t="s">
        <v>832</v>
      </c>
      <c r="G401" s="71" t="s">
        <v>842</v>
      </c>
      <c r="H401" s="78">
        <v>0.08</v>
      </c>
      <c r="I401" s="79">
        <f>12*1</f>
        <v>12</v>
      </c>
      <c r="J401" s="94">
        <v>138</v>
      </c>
      <c r="K401" s="80">
        <f t="shared" si="58"/>
        <v>149.04000000000002</v>
      </c>
      <c r="L401" s="80"/>
      <c r="M401" s="80">
        <f t="shared" si="57"/>
        <v>1788.4800000000002</v>
      </c>
      <c r="N401" s="79"/>
      <c r="O401" s="79"/>
      <c r="P401" s="80">
        <f t="shared" si="54"/>
        <v>0</v>
      </c>
      <c r="Q401" s="80">
        <f t="shared" si="55"/>
        <v>0</v>
      </c>
      <c r="R401" s="80">
        <f t="shared" si="56"/>
        <v>0</v>
      </c>
      <c r="S401" s="89"/>
    </row>
    <row r="402" spans="2:19" x14ac:dyDescent="0.4">
      <c r="B402" s="77">
        <v>44499</v>
      </c>
      <c r="C402" s="64"/>
      <c r="D402" s="64"/>
      <c r="E402" s="64" t="s">
        <v>471</v>
      </c>
      <c r="F402" s="64" t="s">
        <v>833</v>
      </c>
      <c r="G402" s="71" t="s">
        <v>283</v>
      </c>
      <c r="H402" s="78">
        <v>0.08</v>
      </c>
      <c r="I402" s="79">
        <f>12*1</f>
        <v>12</v>
      </c>
      <c r="J402" s="94">
        <v>138</v>
      </c>
      <c r="K402" s="80">
        <f t="shared" si="58"/>
        <v>149.04000000000002</v>
      </c>
      <c r="L402" s="80"/>
      <c r="M402" s="80">
        <f t="shared" si="57"/>
        <v>1788.4800000000002</v>
      </c>
      <c r="N402" s="79"/>
      <c r="O402" s="79"/>
      <c r="P402" s="80">
        <f t="shared" si="54"/>
        <v>0</v>
      </c>
      <c r="Q402" s="80">
        <f t="shared" si="55"/>
        <v>0</v>
      </c>
      <c r="R402" s="80">
        <f t="shared" si="56"/>
        <v>0</v>
      </c>
      <c r="S402" s="89"/>
    </row>
    <row r="403" spans="2:19" x14ac:dyDescent="0.4">
      <c r="B403" s="77">
        <v>44499</v>
      </c>
      <c r="C403" s="64"/>
      <c r="D403" s="64"/>
      <c r="E403" s="64" t="s">
        <v>471</v>
      </c>
      <c r="F403" s="64" t="s">
        <v>613</v>
      </c>
      <c r="G403" s="71" t="s">
        <v>620</v>
      </c>
      <c r="H403" s="78">
        <v>0.08</v>
      </c>
      <c r="I403" s="79">
        <f>16*1</f>
        <v>16</v>
      </c>
      <c r="J403" s="94">
        <v>284</v>
      </c>
      <c r="K403" s="80">
        <f t="shared" si="58"/>
        <v>306.72000000000003</v>
      </c>
      <c r="L403" s="80"/>
      <c r="M403" s="80">
        <f t="shared" si="57"/>
        <v>4907.5200000000004</v>
      </c>
      <c r="N403" s="79"/>
      <c r="O403" s="79"/>
      <c r="P403" s="80">
        <f t="shared" si="54"/>
        <v>0</v>
      </c>
      <c r="Q403" s="80">
        <f t="shared" si="55"/>
        <v>0</v>
      </c>
      <c r="R403" s="80">
        <f t="shared" si="56"/>
        <v>0</v>
      </c>
      <c r="S403" s="89"/>
    </row>
    <row r="404" spans="2:19" x14ac:dyDescent="0.4">
      <c r="B404" s="77">
        <v>44499</v>
      </c>
      <c r="C404" s="64"/>
      <c r="D404" s="64"/>
      <c r="E404" s="64" t="s">
        <v>471</v>
      </c>
      <c r="F404" s="64" t="s">
        <v>834</v>
      </c>
      <c r="G404" s="71" t="s">
        <v>843</v>
      </c>
      <c r="H404" s="78">
        <v>0.08</v>
      </c>
      <c r="I404" s="79">
        <f>30*2</f>
        <v>60</v>
      </c>
      <c r="J404" s="94">
        <v>80</v>
      </c>
      <c r="K404" s="80">
        <f t="shared" si="58"/>
        <v>86.4</v>
      </c>
      <c r="L404" s="80"/>
      <c r="M404" s="80">
        <f t="shared" si="57"/>
        <v>5184</v>
      </c>
      <c r="N404" s="79"/>
      <c r="O404" s="79"/>
      <c r="P404" s="80">
        <f t="shared" si="54"/>
        <v>0</v>
      </c>
      <c r="Q404" s="80">
        <f t="shared" si="55"/>
        <v>0</v>
      </c>
      <c r="R404" s="80">
        <f t="shared" si="56"/>
        <v>0</v>
      </c>
      <c r="S404" s="89"/>
    </row>
    <row r="405" spans="2:19" x14ac:dyDescent="0.4">
      <c r="B405" s="77">
        <v>44499</v>
      </c>
      <c r="C405" s="64"/>
      <c r="D405" s="64"/>
      <c r="E405" s="64" t="s">
        <v>471</v>
      </c>
      <c r="F405" s="64" t="s">
        <v>835</v>
      </c>
      <c r="G405" s="71" t="s">
        <v>844</v>
      </c>
      <c r="H405" s="78">
        <v>0.08</v>
      </c>
      <c r="I405" s="79">
        <f>10*1</f>
        <v>10</v>
      </c>
      <c r="J405" s="94">
        <v>169</v>
      </c>
      <c r="K405" s="80">
        <f t="shared" si="58"/>
        <v>182.52</v>
      </c>
      <c r="L405" s="80"/>
      <c r="M405" s="80">
        <f t="shared" si="57"/>
        <v>1825.2</v>
      </c>
      <c r="N405" s="79"/>
      <c r="O405" s="79"/>
      <c r="P405" s="80">
        <f t="shared" si="54"/>
        <v>0</v>
      </c>
      <c r="Q405" s="80">
        <f t="shared" si="55"/>
        <v>0</v>
      </c>
      <c r="R405" s="80">
        <f t="shared" si="56"/>
        <v>0</v>
      </c>
      <c r="S405" s="89"/>
    </row>
    <row r="406" spans="2:19" x14ac:dyDescent="0.4">
      <c r="B406" s="77">
        <v>44499</v>
      </c>
      <c r="C406" s="64"/>
      <c r="D406" s="64"/>
      <c r="E406" s="64" t="s">
        <v>471</v>
      </c>
      <c r="F406" s="64" t="s">
        <v>836</v>
      </c>
      <c r="G406" s="71" t="s">
        <v>845</v>
      </c>
      <c r="H406" s="78">
        <v>0.08</v>
      </c>
      <c r="I406" s="79">
        <f>10*1</f>
        <v>10</v>
      </c>
      <c r="J406" s="94">
        <v>169</v>
      </c>
      <c r="K406" s="80">
        <f t="shared" si="58"/>
        <v>182.52</v>
      </c>
      <c r="L406" s="80"/>
      <c r="M406" s="80">
        <f t="shared" si="57"/>
        <v>1825.2</v>
      </c>
      <c r="N406" s="79"/>
      <c r="O406" s="79"/>
      <c r="P406" s="80">
        <f t="shared" si="54"/>
        <v>0</v>
      </c>
      <c r="Q406" s="80">
        <f t="shared" si="55"/>
        <v>0</v>
      </c>
      <c r="R406" s="80">
        <f t="shared" si="56"/>
        <v>0</v>
      </c>
      <c r="S406" s="89"/>
    </row>
    <row r="407" spans="2:19" x14ac:dyDescent="0.4">
      <c r="B407" s="77">
        <v>44499</v>
      </c>
      <c r="C407" s="64"/>
      <c r="D407" s="64"/>
      <c r="E407" s="64" t="s">
        <v>471</v>
      </c>
      <c r="F407" s="64" t="s">
        <v>837</v>
      </c>
      <c r="G407" s="71" t="s">
        <v>846</v>
      </c>
      <c r="H407" s="78">
        <v>0.08</v>
      </c>
      <c r="I407" s="79">
        <f>10*1</f>
        <v>10</v>
      </c>
      <c r="J407" s="94">
        <v>169</v>
      </c>
      <c r="K407" s="80">
        <f t="shared" si="58"/>
        <v>182.52</v>
      </c>
      <c r="L407" s="80"/>
      <c r="M407" s="80">
        <f t="shared" si="57"/>
        <v>1825.2</v>
      </c>
      <c r="N407" s="79"/>
      <c r="O407" s="79"/>
      <c r="P407" s="80">
        <f t="shared" si="54"/>
        <v>0</v>
      </c>
      <c r="Q407" s="80">
        <f t="shared" si="55"/>
        <v>0</v>
      </c>
      <c r="R407" s="80">
        <f t="shared" si="56"/>
        <v>0</v>
      </c>
      <c r="S407" s="89"/>
    </row>
    <row r="408" spans="2:19" x14ac:dyDescent="0.4">
      <c r="B408" s="77">
        <v>44499</v>
      </c>
      <c r="C408" s="64"/>
      <c r="D408" s="64"/>
      <c r="E408" s="64" t="s">
        <v>471</v>
      </c>
      <c r="F408" s="64" t="s">
        <v>838</v>
      </c>
      <c r="G408" s="71" t="s">
        <v>281</v>
      </c>
      <c r="H408" s="78">
        <v>0.08</v>
      </c>
      <c r="I408" s="79">
        <f>8*2</f>
        <v>16</v>
      </c>
      <c r="J408" s="94">
        <v>239</v>
      </c>
      <c r="K408" s="80">
        <f t="shared" si="58"/>
        <v>258.12</v>
      </c>
      <c r="L408" s="80"/>
      <c r="M408" s="80">
        <f t="shared" si="57"/>
        <v>4129.92</v>
      </c>
      <c r="N408" s="79"/>
      <c r="O408" s="79"/>
      <c r="P408" s="80">
        <f t="shared" si="54"/>
        <v>0</v>
      </c>
      <c r="Q408" s="80">
        <f t="shared" si="55"/>
        <v>0</v>
      </c>
      <c r="R408" s="80">
        <f t="shared" si="56"/>
        <v>0</v>
      </c>
      <c r="S408" s="89"/>
    </row>
    <row r="409" spans="2:19" x14ac:dyDescent="0.4">
      <c r="B409" s="77">
        <v>44499</v>
      </c>
      <c r="C409" s="64"/>
      <c r="D409" s="64"/>
      <c r="E409" s="64" t="s">
        <v>471</v>
      </c>
      <c r="F409" s="64" t="s">
        <v>839</v>
      </c>
      <c r="G409" s="71" t="s">
        <v>847</v>
      </c>
      <c r="H409" s="78">
        <v>0.08</v>
      </c>
      <c r="I409" s="79">
        <f>6*2</f>
        <v>12</v>
      </c>
      <c r="J409" s="94">
        <v>139</v>
      </c>
      <c r="K409" s="80">
        <f t="shared" si="58"/>
        <v>150.12</v>
      </c>
      <c r="L409" s="80"/>
      <c r="M409" s="80">
        <f t="shared" si="57"/>
        <v>1801.44</v>
      </c>
      <c r="N409" s="79"/>
      <c r="O409" s="79"/>
      <c r="P409" s="80">
        <f t="shared" si="54"/>
        <v>0</v>
      </c>
      <c r="Q409" s="80">
        <f t="shared" si="55"/>
        <v>0</v>
      </c>
      <c r="R409" s="80">
        <f t="shared" si="56"/>
        <v>0</v>
      </c>
      <c r="S409" s="89">
        <f>SUM(M398:M409)</f>
        <v>43295.639999999992</v>
      </c>
    </row>
    <row r="410" spans="2:19" x14ac:dyDescent="0.4">
      <c r="B410" s="77">
        <v>44499</v>
      </c>
      <c r="C410" s="64"/>
      <c r="D410" s="64"/>
      <c r="E410" s="64" t="s">
        <v>471</v>
      </c>
      <c r="F410" s="64" t="s">
        <v>848</v>
      </c>
      <c r="G410" s="71" t="s">
        <v>865</v>
      </c>
      <c r="H410" s="78">
        <v>0.08</v>
      </c>
      <c r="I410" s="79">
        <f>15*1</f>
        <v>15</v>
      </c>
      <c r="J410" s="94">
        <v>230</v>
      </c>
      <c r="K410" s="80">
        <f t="shared" ref="K410:K480" si="59">J410*108%</f>
        <v>248.4</v>
      </c>
      <c r="L410" s="80"/>
      <c r="M410" s="80">
        <f t="shared" ref="M410:M429" si="60">K410*I410</f>
        <v>3726</v>
      </c>
      <c r="N410" s="79"/>
      <c r="O410" s="79"/>
      <c r="P410" s="80">
        <f t="shared" si="54"/>
        <v>0</v>
      </c>
      <c r="Q410" s="80">
        <f t="shared" si="55"/>
        <v>0</v>
      </c>
      <c r="R410" s="80">
        <f t="shared" si="56"/>
        <v>0</v>
      </c>
      <c r="S410" s="89"/>
    </row>
    <row r="411" spans="2:19" x14ac:dyDescent="0.4">
      <c r="B411" s="77">
        <v>44499</v>
      </c>
      <c r="C411" s="64"/>
      <c r="D411" s="64"/>
      <c r="E411" s="64" t="s">
        <v>471</v>
      </c>
      <c r="F411" s="64" t="s">
        <v>849</v>
      </c>
      <c r="G411" s="71" t="s">
        <v>248</v>
      </c>
      <c r="H411" s="78">
        <v>0.08</v>
      </c>
      <c r="I411" s="79">
        <f>12*2</f>
        <v>24</v>
      </c>
      <c r="J411" s="94">
        <v>145</v>
      </c>
      <c r="K411" s="80">
        <f t="shared" si="59"/>
        <v>156.60000000000002</v>
      </c>
      <c r="L411" s="80"/>
      <c r="M411" s="80">
        <f t="shared" si="60"/>
        <v>3758.4000000000005</v>
      </c>
      <c r="N411" s="79"/>
      <c r="O411" s="79"/>
      <c r="P411" s="80">
        <f t="shared" si="54"/>
        <v>0</v>
      </c>
      <c r="Q411" s="80">
        <f t="shared" si="55"/>
        <v>0</v>
      </c>
      <c r="R411" s="80">
        <f t="shared" si="56"/>
        <v>0</v>
      </c>
      <c r="S411" s="89"/>
    </row>
    <row r="412" spans="2:19" x14ac:dyDescent="0.4">
      <c r="B412" s="77">
        <v>44499</v>
      </c>
      <c r="C412" s="64"/>
      <c r="D412" s="64"/>
      <c r="E412" s="64" t="s">
        <v>471</v>
      </c>
      <c r="F412" s="64" t="s">
        <v>850</v>
      </c>
      <c r="G412" s="71" t="s">
        <v>267</v>
      </c>
      <c r="H412" s="78">
        <v>0.08</v>
      </c>
      <c r="I412" s="79">
        <f>20*2</f>
        <v>40</v>
      </c>
      <c r="J412" s="94">
        <v>225</v>
      </c>
      <c r="K412" s="80">
        <f t="shared" si="59"/>
        <v>243.00000000000003</v>
      </c>
      <c r="L412" s="80"/>
      <c r="M412" s="80">
        <f t="shared" si="60"/>
        <v>9720.0000000000018</v>
      </c>
      <c r="N412" s="79"/>
      <c r="O412" s="79"/>
      <c r="P412" s="80">
        <f t="shared" si="54"/>
        <v>0</v>
      </c>
      <c r="Q412" s="80">
        <f t="shared" si="55"/>
        <v>0</v>
      </c>
      <c r="R412" s="80">
        <f t="shared" si="56"/>
        <v>0</v>
      </c>
      <c r="S412" s="89"/>
    </row>
    <row r="413" spans="2:19" x14ac:dyDescent="0.4">
      <c r="B413" s="77">
        <v>44499</v>
      </c>
      <c r="C413" s="64"/>
      <c r="D413" s="64"/>
      <c r="E413" s="64" t="s">
        <v>471</v>
      </c>
      <c r="F413" s="64" t="s">
        <v>851</v>
      </c>
      <c r="G413" s="71" t="s">
        <v>269</v>
      </c>
      <c r="H413" s="78">
        <v>0.08</v>
      </c>
      <c r="I413" s="79">
        <f>20*2</f>
        <v>40</v>
      </c>
      <c r="J413" s="94">
        <v>142</v>
      </c>
      <c r="K413" s="80">
        <f t="shared" si="59"/>
        <v>153.36000000000001</v>
      </c>
      <c r="L413" s="80"/>
      <c r="M413" s="80">
        <f t="shared" si="60"/>
        <v>6134.4000000000005</v>
      </c>
      <c r="N413" s="79"/>
      <c r="O413" s="79"/>
      <c r="P413" s="80">
        <f t="shared" si="54"/>
        <v>0</v>
      </c>
      <c r="Q413" s="80">
        <f t="shared" si="55"/>
        <v>0</v>
      </c>
      <c r="R413" s="80">
        <f t="shared" si="56"/>
        <v>0</v>
      </c>
      <c r="S413" s="89"/>
    </row>
    <row r="414" spans="2:19" x14ac:dyDescent="0.4">
      <c r="B414" s="77">
        <v>44499</v>
      </c>
      <c r="C414" s="64"/>
      <c r="D414" s="64"/>
      <c r="E414" s="64" t="s">
        <v>471</v>
      </c>
      <c r="F414" s="64" t="s">
        <v>852</v>
      </c>
      <c r="G414" s="71" t="s">
        <v>866</v>
      </c>
      <c r="H414" s="78">
        <v>0.08</v>
      </c>
      <c r="I414" s="79">
        <f>30*2</f>
        <v>60</v>
      </c>
      <c r="J414" s="94">
        <v>152</v>
      </c>
      <c r="K414" s="80">
        <f t="shared" si="59"/>
        <v>164.16000000000003</v>
      </c>
      <c r="L414" s="80"/>
      <c r="M414" s="80">
        <f t="shared" si="60"/>
        <v>9849.6000000000022</v>
      </c>
      <c r="N414" s="79"/>
      <c r="O414" s="79"/>
      <c r="P414" s="80">
        <f t="shared" si="54"/>
        <v>0</v>
      </c>
      <c r="Q414" s="80">
        <f t="shared" si="55"/>
        <v>0</v>
      </c>
      <c r="R414" s="80">
        <f t="shared" si="56"/>
        <v>0</v>
      </c>
      <c r="S414" s="89"/>
    </row>
    <row r="415" spans="2:19" x14ac:dyDescent="0.4">
      <c r="B415" s="77">
        <v>44499</v>
      </c>
      <c r="C415" s="64"/>
      <c r="D415" s="64"/>
      <c r="E415" s="64" t="s">
        <v>471</v>
      </c>
      <c r="F415" s="64" t="s">
        <v>853</v>
      </c>
      <c r="G415" s="71" t="s">
        <v>287</v>
      </c>
      <c r="H415" s="78">
        <v>0.08</v>
      </c>
      <c r="I415" s="79">
        <f>20*1</f>
        <v>20</v>
      </c>
      <c r="J415" s="94">
        <v>139</v>
      </c>
      <c r="K415" s="80">
        <f t="shared" si="59"/>
        <v>150.12</v>
      </c>
      <c r="L415" s="80"/>
      <c r="M415" s="80">
        <f t="shared" si="60"/>
        <v>3002.4</v>
      </c>
      <c r="N415" s="79"/>
      <c r="O415" s="79"/>
      <c r="P415" s="80">
        <f t="shared" si="54"/>
        <v>0</v>
      </c>
      <c r="Q415" s="80">
        <f t="shared" si="55"/>
        <v>0</v>
      </c>
      <c r="R415" s="80">
        <f t="shared" si="56"/>
        <v>0</v>
      </c>
      <c r="S415" s="89"/>
    </row>
    <row r="416" spans="2:19" x14ac:dyDescent="0.4">
      <c r="B416" s="77">
        <v>44499</v>
      </c>
      <c r="C416" s="64"/>
      <c r="D416" s="64"/>
      <c r="E416" s="64" t="s">
        <v>471</v>
      </c>
      <c r="F416" s="64" t="s">
        <v>854</v>
      </c>
      <c r="G416" s="71" t="s">
        <v>867</v>
      </c>
      <c r="H416" s="78">
        <v>0.08</v>
      </c>
      <c r="I416" s="79">
        <f>10*3</f>
        <v>30</v>
      </c>
      <c r="J416" s="94">
        <v>155</v>
      </c>
      <c r="K416" s="80">
        <f t="shared" si="59"/>
        <v>167.4</v>
      </c>
      <c r="L416" s="80"/>
      <c r="M416" s="80">
        <f t="shared" si="60"/>
        <v>5022</v>
      </c>
      <c r="N416" s="79"/>
      <c r="O416" s="79"/>
      <c r="P416" s="80">
        <f t="shared" si="54"/>
        <v>0</v>
      </c>
      <c r="Q416" s="80">
        <f t="shared" si="55"/>
        <v>0</v>
      </c>
      <c r="R416" s="80">
        <f t="shared" si="56"/>
        <v>0</v>
      </c>
      <c r="S416" s="89"/>
    </row>
    <row r="417" spans="2:19" x14ac:dyDescent="0.4">
      <c r="B417" s="77">
        <v>44499</v>
      </c>
      <c r="C417" s="64"/>
      <c r="D417" s="64"/>
      <c r="E417" s="64" t="s">
        <v>471</v>
      </c>
      <c r="F417" s="64" t="s">
        <v>855</v>
      </c>
      <c r="G417" s="71" t="s">
        <v>868</v>
      </c>
      <c r="H417" s="78">
        <v>0.1</v>
      </c>
      <c r="I417" s="79">
        <f>1*4</f>
        <v>4</v>
      </c>
      <c r="J417" s="94">
        <v>436</v>
      </c>
      <c r="K417" s="80">
        <f>J417*110%</f>
        <v>479.6</v>
      </c>
      <c r="L417" s="80"/>
      <c r="M417" s="80">
        <f t="shared" si="60"/>
        <v>1918.4</v>
      </c>
      <c r="N417" s="79"/>
      <c r="O417" s="79"/>
      <c r="P417" s="80">
        <f t="shared" si="54"/>
        <v>0</v>
      </c>
      <c r="Q417" s="80">
        <f t="shared" si="55"/>
        <v>0</v>
      </c>
      <c r="R417" s="80">
        <f t="shared" si="56"/>
        <v>0</v>
      </c>
      <c r="S417" s="89"/>
    </row>
    <row r="418" spans="2:19" x14ac:dyDescent="0.4">
      <c r="B418" s="77">
        <v>44499</v>
      </c>
      <c r="C418" s="64"/>
      <c r="D418" s="64"/>
      <c r="E418" s="64" t="s">
        <v>471</v>
      </c>
      <c r="F418" s="64" t="s">
        <v>856</v>
      </c>
      <c r="G418" s="71" t="s">
        <v>869</v>
      </c>
      <c r="H418" s="78">
        <v>0.1</v>
      </c>
      <c r="I418" s="79">
        <f>12*1</f>
        <v>12</v>
      </c>
      <c r="J418" s="94">
        <v>243</v>
      </c>
      <c r="K418" s="80">
        <f>J418*110%</f>
        <v>267.3</v>
      </c>
      <c r="L418" s="80"/>
      <c r="M418" s="80">
        <f t="shared" si="60"/>
        <v>3207.6000000000004</v>
      </c>
      <c r="N418" s="79"/>
      <c r="O418" s="79"/>
      <c r="P418" s="80">
        <f t="shared" si="54"/>
        <v>0</v>
      </c>
      <c r="Q418" s="80">
        <f t="shared" si="55"/>
        <v>0</v>
      </c>
      <c r="R418" s="80">
        <f t="shared" si="56"/>
        <v>0</v>
      </c>
      <c r="S418" s="89"/>
    </row>
    <row r="419" spans="2:19" x14ac:dyDescent="0.4">
      <c r="B419" s="77">
        <v>44499</v>
      </c>
      <c r="C419" s="64"/>
      <c r="D419" s="64"/>
      <c r="E419" s="64" t="s">
        <v>471</v>
      </c>
      <c r="F419" s="64" t="s">
        <v>857</v>
      </c>
      <c r="G419" s="71" t="s">
        <v>266</v>
      </c>
      <c r="H419" s="78">
        <v>0.08</v>
      </c>
      <c r="I419" s="79">
        <f>12*1</f>
        <v>12</v>
      </c>
      <c r="J419" s="94">
        <v>153</v>
      </c>
      <c r="K419" s="80">
        <f t="shared" si="59"/>
        <v>165.24</v>
      </c>
      <c r="L419" s="80"/>
      <c r="M419" s="80">
        <f t="shared" si="60"/>
        <v>1982.88</v>
      </c>
      <c r="N419" s="79"/>
      <c r="O419" s="79"/>
      <c r="P419" s="80">
        <f t="shared" si="54"/>
        <v>0</v>
      </c>
      <c r="Q419" s="80">
        <f t="shared" si="55"/>
        <v>0</v>
      </c>
      <c r="R419" s="80">
        <f t="shared" si="56"/>
        <v>0</v>
      </c>
      <c r="S419" s="89"/>
    </row>
    <row r="420" spans="2:19" x14ac:dyDescent="0.4">
      <c r="B420" s="77">
        <v>44499</v>
      </c>
      <c r="C420" s="64"/>
      <c r="D420" s="64"/>
      <c r="E420" s="64" t="s">
        <v>471</v>
      </c>
      <c r="F420" s="64" t="s">
        <v>857</v>
      </c>
      <c r="G420" s="71" t="s">
        <v>266</v>
      </c>
      <c r="H420" s="78">
        <v>0.08</v>
      </c>
      <c r="I420" s="79">
        <f>3*2</f>
        <v>6</v>
      </c>
      <c r="J420" s="94">
        <v>153</v>
      </c>
      <c r="K420" s="80">
        <f t="shared" si="59"/>
        <v>165.24</v>
      </c>
      <c r="L420" s="80"/>
      <c r="M420" s="80">
        <f t="shared" si="60"/>
        <v>991.44</v>
      </c>
      <c r="N420" s="79"/>
      <c r="O420" s="79"/>
      <c r="P420" s="80">
        <f t="shared" si="54"/>
        <v>0</v>
      </c>
      <c r="Q420" s="80">
        <f t="shared" si="55"/>
        <v>0</v>
      </c>
      <c r="R420" s="80">
        <f t="shared" si="56"/>
        <v>0</v>
      </c>
      <c r="S420" s="89"/>
    </row>
    <row r="421" spans="2:19" x14ac:dyDescent="0.4">
      <c r="B421" s="77">
        <v>44499</v>
      </c>
      <c r="C421" s="64"/>
      <c r="D421" s="64"/>
      <c r="E421" s="64" t="s">
        <v>471</v>
      </c>
      <c r="F421" s="64" t="s">
        <v>858</v>
      </c>
      <c r="G421" s="71" t="s">
        <v>870</v>
      </c>
      <c r="H421" s="78">
        <v>0.08</v>
      </c>
      <c r="I421" s="79">
        <f>10*2</f>
        <v>20</v>
      </c>
      <c r="J421" s="94">
        <v>126</v>
      </c>
      <c r="K421" s="80">
        <f t="shared" si="59"/>
        <v>136.08000000000001</v>
      </c>
      <c r="L421" s="80"/>
      <c r="M421" s="80">
        <f t="shared" si="60"/>
        <v>2721.6000000000004</v>
      </c>
      <c r="N421" s="79"/>
      <c r="O421" s="79"/>
      <c r="P421" s="80">
        <f t="shared" si="54"/>
        <v>0</v>
      </c>
      <c r="Q421" s="80">
        <f t="shared" si="55"/>
        <v>0</v>
      </c>
      <c r="R421" s="80">
        <f t="shared" si="56"/>
        <v>0</v>
      </c>
      <c r="S421" s="89"/>
    </row>
    <row r="422" spans="2:19" x14ac:dyDescent="0.4">
      <c r="B422" s="77">
        <v>44499</v>
      </c>
      <c r="C422" s="64"/>
      <c r="D422" s="64"/>
      <c r="E422" s="64" t="s">
        <v>471</v>
      </c>
      <c r="F422" s="64" t="s">
        <v>859</v>
      </c>
      <c r="G422" s="71" t="s">
        <v>871</v>
      </c>
      <c r="H422" s="78">
        <v>0.08</v>
      </c>
      <c r="I422" s="79">
        <f>10*2</f>
        <v>20</v>
      </c>
      <c r="J422" s="94">
        <v>153</v>
      </c>
      <c r="K422" s="80">
        <f t="shared" si="59"/>
        <v>165.24</v>
      </c>
      <c r="L422" s="80"/>
      <c r="M422" s="80">
        <f t="shared" si="60"/>
        <v>3304.8</v>
      </c>
      <c r="N422" s="79"/>
      <c r="O422" s="79"/>
      <c r="P422" s="80">
        <f t="shared" si="54"/>
        <v>0</v>
      </c>
      <c r="Q422" s="80">
        <f t="shared" si="55"/>
        <v>0</v>
      </c>
      <c r="R422" s="80">
        <f t="shared" si="56"/>
        <v>0</v>
      </c>
      <c r="S422" s="89"/>
    </row>
    <row r="423" spans="2:19" x14ac:dyDescent="0.4">
      <c r="B423" s="77">
        <v>44499</v>
      </c>
      <c r="C423" s="64"/>
      <c r="D423" s="64"/>
      <c r="E423" s="64" t="s">
        <v>471</v>
      </c>
      <c r="F423" s="64" t="s">
        <v>503</v>
      </c>
      <c r="G423" s="71" t="s">
        <v>871</v>
      </c>
      <c r="H423" s="78">
        <v>0.08</v>
      </c>
      <c r="I423" s="79">
        <f>10*2</f>
        <v>20</v>
      </c>
      <c r="J423" s="94">
        <v>170</v>
      </c>
      <c r="K423" s="80">
        <f t="shared" si="59"/>
        <v>183.60000000000002</v>
      </c>
      <c r="L423" s="80"/>
      <c r="M423" s="80">
        <f t="shared" ref="M423" si="61">K423*I423</f>
        <v>3672.0000000000005</v>
      </c>
      <c r="N423" s="79"/>
      <c r="O423" s="79"/>
      <c r="P423" s="80">
        <f t="shared" si="54"/>
        <v>0</v>
      </c>
      <c r="Q423" s="80">
        <f t="shared" si="55"/>
        <v>0</v>
      </c>
      <c r="R423" s="80">
        <f t="shared" si="56"/>
        <v>0</v>
      </c>
      <c r="S423" s="89"/>
    </row>
    <row r="424" spans="2:19" x14ac:dyDescent="0.4">
      <c r="B424" s="77">
        <v>44499</v>
      </c>
      <c r="C424" s="64"/>
      <c r="D424" s="64"/>
      <c r="E424" s="64" t="s">
        <v>471</v>
      </c>
      <c r="F424" s="64" t="s">
        <v>860</v>
      </c>
      <c r="G424" s="71" t="s">
        <v>282</v>
      </c>
      <c r="H424" s="78">
        <v>0.08</v>
      </c>
      <c r="I424" s="79">
        <v>10</v>
      </c>
      <c r="J424" s="94">
        <v>145</v>
      </c>
      <c r="K424" s="80">
        <f t="shared" si="59"/>
        <v>156.60000000000002</v>
      </c>
      <c r="L424" s="80"/>
      <c r="M424" s="80">
        <f t="shared" si="60"/>
        <v>1566.0000000000002</v>
      </c>
      <c r="N424" s="79"/>
      <c r="O424" s="79"/>
      <c r="P424" s="80">
        <f t="shared" si="54"/>
        <v>0</v>
      </c>
      <c r="Q424" s="80">
        <f t="shared" si="55"/>
        <v>0</v>
      </c>
      <c r="R424" s="80">
        <f t="shared" si="56"/>
        <v>0</v>
      </c>
      <c r="S424" s="89"/>
    </row>
    <row r="425" spans="2:19" x14ac:dyDescent="0.4">
      <c r="B425" s="77">
        <v>44499</v>
      </c>
      <c r="C425" s="64"/>
      <c r="D425" s="64"/>
      <c r="E425" s="64" t="s">
        <v>471</v>
      </c>
      <c r="F425" s="64" t="s">
        <v>861</v>
      </c>
      <c r="G425" s="71" t="s">
        <v>872</v>
      </c>
      <c r="H425" s="78">
        <v>0.08</v>
      </c>
      <c r="I425" s="79">
        <f>10*2</f>
        <v>20</v>
      </c>
      <c r="J425" s="94">
        <v>145</v>
      </c>
      <c r="K425" s="80">
        <f t="shared" si="59"/>
        <v>156.60000000000002</v>
      </c>
      <c r="L425" s="80"/>
      <c r="M425" s="80">
        <f t="shared" si="60"/>
        <v>3132.0000000000005</v>
      </c>
      <c r="N425" s="79"/>
      <c r="O425" s="79"/>
      <c r="P425" s="80">
        <f t="shared" si="54"/>
        <v>0</v>
      </c>
      <c r="Q425" s="80">
        <f t="shared" si="55"/>
        <v>0</v>
      </c>
      <c r="R425" s="80">
        <f t="shared" si="56"/>
        <v>0</v>
      </c>
      <c r="S425" s="89"/>
    </row>
    <row r="426" spans="2:19" x14ac:dyDescent="0.4">
      <c r="B426" s="77">
        <v>44499</v>
      </c>
      <c r="C426" s="64"/>
      <c r="D426" s="64"/>
      <c r="E426" s="64" t="s">
        <v>471</v>
      </c>
      <c r="F426" s="64" t="s">
        <v>862</v>
      </c>
      <c r="G426" s="71" t="s">
        <v>873</v>
      </c>
      <c r="H426" s="78">
        <v>0.08</v>
      </c>
      <c r="I426" s="79">
        <f>10*1</f>
        <v>10</v>
      </c>
      <c r="J426" s="94">
        <v>145</v>
      </c>
      <c r="K426" s="80">
        <f t="shared" si="59"/>
        <v>156.60000000000002</v>
      </c>
      <c r="L426" s="80"/>
      <c r="M426" s="80">
        <f t="shared" si="60"/>
        <v>1566.0000000000002</v>
      </c>
      <c r="N426" s="79"/>
      <c r="O426" s="79"/>
      <c r="P426" s="80">
        <f t="shared" si="54"/>
        <v>0</v>
      </c>
      <c r="Q426" s="80">
        <f t="shared" si="55"/>
        <v>0</v>
      </c>
      <c r="R426" s="80">
        <f t="shared" si="56"/>
        <v>0</v>
      </c>
      <c r="S426" s="89"/>
    </row>
    <row r="427" spans="2:19" x14ac:dyDescent="0.4">
      <c r="B427" s="77">
        <v>44499</v>
      </c>
      <c r="C427" s="64"/>
      <c r="D427" s="64"/>
      <c r="E427" s="64" t="s">
        <v>471</v>
      </c>
      <c r="F427" s="64" t="s">
        <v>863</v>
      </c>
      <c r="G427" s="71" t="s">
        <v>874</v>
      </c>
      <c r="H427" s="78">
        <v>0.08</v>
      </c>
      <c r="I427" s="79">
        <v>10</v>
      </c>
      <c r="J427" s="94">
        <v>126</v>
      </c>
      <c r="K427" s="80">
        <f t="shared" si="59"/>
        <v>136.08000000000001</v>
      </c>
      <c r="L427" s="80"/>
      <c r="M427" s="80">
        <f t="shared" si="60"/>
        <v>1360.8000000000002</v>
      </c>
      <c r="N427" s="79"/>
      <c r="O427" s="79"/>
      <c r="P427" s="80">
        <f t="shared" si="54"/>
        <v>0</v>
      </c>
      <c r="Q427" s="80">
        <f t="shared" si="55"/>
        <v>0</v>
      </c>
      <c r="R427" s="80">
        <f t="shared" si="56"/>
        <v>0</v>
      </c>
      <c r="S427" s="89"/>
    </row>
    <row r="428" spans="2:19" x14ac:dyDescent="0.4">
      <c r="B428" s="77">
        <v>44499</v>
      </c>
      <c r="C428" s="64"/>
      <c r="D428" s="64"/>
      <c r="E428" s="64" t="s">
        <v>471</v>
      </c>
      <c r="F428" s="64" t="s">
        <v>864</v>
      </c>
      <c r="G428" s="71" t="s">
        <v>286</v>
      </c>
      <c r="H428" s="78">
        <v>0.08</v>
      </c>
      <c r="I428" s="79">
        <v>20</v>
      </c>
      <c r="J428" s="94">
        <v>151</v>
      </c>
      <c r="K428" s="80">
        <f t="shared" si="59"/>
        <v>163.08000000000001</v>
      </c>
      <c r="L428" s="80"/>
      <c r="M428" s="80">
        <f t="shared" si="60"/>
        <v>3261.6000000000004</v>
      </c>
      <c r="N428" s="79"/>
      <c r="O428" s="79"/>
      <c r="P428" s="80">
        <f t="shared" si="54"/>
        <v>0</v>
      </c>
      <c r="Q428" s="80">
        <f t="shared" si="55"/>
        <v>0</v>
      </c>
      <c r="R428" s="80">
        <f t="shared" si="56"/>
        <v>0</v>
      </c>
      <c r="S428" s="89"/>
    </row>
    <row r="429" spans="2:19" x14ac:dyDescent="0.4">
      <c r="B429" s="77">
        <v>44499</v>
      </c>
      <c r="C429" s="64"/>
      <c r="D429" s="64"/>
      <c r="E429" s="64" t="s">
        <v>471</v>
      </c>
      <c r="F429" s="64" t="s">
        <v>864</v>
      </c>
      <c r="G429" s="71" t="s">
        <v>286</v>
      </c>
      <c r="H429" s="78">
        <v>0.08</v>
      </c>
      <c r="I429" s="79">
        <v>5</v>
      </c>
      <c r="J429" s="94">
        <v>151</v>
      </c>
      <c r="K429" s="80">
        <f t="shared" si="59"/>
        <v>163.08000000000001</v>
      </c>
      <c r="L429" s="80"/>
      <c r="M429" s="80">
        <f t="shared" si="60"/>
        <v>815.40000000000009</v>
      </c>
      <c r="N429" s="79"/>
      <c r="O429" s="79"/>
      <c r="P429" s="80">
        <f t="shared" si="54"/>
        <v>0</v>
      </c>
      <c r="Q429" s="80">
        <f t="shared" si="55"/>
        <v>0</v>
      </c>
      <c r="R429" s="80">
        <f t="shared" si="56"/>
        <v>0</v>
      </c>
      <c r="S429" s="89">
        <f>SUM(M410:M429)</f>
        <v>70713.320000000007</v>
      </c>
    </row>
    <row r="430" spans="2:19" x14ac:dyDescent="0.4">
      <c r="B430" s="77">
        <v>44499</v>
      </c>
      <c r="C430" s="64"/>
      <c r="D430" s="64"/>
      <c r="E430" s="64" t="s">
        <v>471</v>
      </c>
      <c r="F430" s="64" t="s">
        <v>875</v>
      </c>
      <c r="G430" s="71" t="s">
        <v>888</v>
      </c>
      <c r="H430" s="78">
        <v>0.08</v>
      </c>
      <c r="I430" s="79">
        <f>1*5</f>
        <v>5</v>
      </c>
      <c r="J430" s="94">
        <v>583</v>
      </c>
      <c r="K430" s="80">
        <f t="shared" si="59"/>
        <v>629.64</v>
      </c>
      <c r="L430" s="80"/>
      <c r="M430" s="80">
        <f t="shared" ref="M430:M482" si="62">K430*I430</f>
        <v>3148.2</v>
      </c>
      <c r="N430" s="79"/>
      <c r="O430" s="79"/>
      <c r="P430" s="80">
        <f t="shared" si="54"/>
        <v>0</v>
      </c>
      <c r="Q430" s="80">
        <f t="shared" si="55"/>
        <v>0</v>
      </c>
      <c r="R430" s="80">
        <f t="shared" si="56"/>
        <v>0</v>
      </c>
      <c r="S430" s="89"/>
    </row>
    <row r="431" spans="2:19" x14ac:dyDescent="0.4">
      <c r="B431" s="77">
        <v>44499</v>
      </c>
      <c r="C431" s="64"/>
      <c r="D431" s="64"/>
      <c r="E431" s="64" t="s">
        <v>471</v>
      </c>
      <c r="F431" s="64" t="s">
        <v>611</v>
      </c>
      <c r="G431" s="71" t="s">
        <v>617</v>
      </c>
      <c r="H431" s="78">
        <v>0.08</v>
      </c>
      <c r="I431" s="79">
        <f>10*2</f>
        <v>20</v>
      </c>
      <c r="J431" s="94">
        <v>285</v>
      </c>
      <c r="K431" s="80">
        <f t="shared" si="59"/>
        <v>307.8</v>
      </c>
      <c r="L431" s="80"/>
      <c r="M431" s="80">
        <f t="shared" si="62"/>
        <v>6156</v>
      </c>
      <c r="N431" s="79"/>
      <c r="O431" s="79"/>
      <c r="P431" s="80">
        <f t="shared" si="54"/>
        <v>0</v>
      </c>
      <c r="Q431" s="80">
        <f t="shared" si="55"/>
        <v>0</v>
      </c>
      <c r="R431" s="80">
        <f t="shared" si="56"/>
        <v>0</v>
      </c>
      <c r="S431" s="89"/>
    </row>
    <row r="432" spans="2:19" x14ac:dyDescent="0.4">
      <c r="B432" s="77">
        <v>44499</v>
      </c>
      <c r="C432" s="64"/>
      <c r="D432" s="64"/>
      <c r="E432" s="64" t="s">
        <v>471</v>
      </c>
      <c r="F432" s="64" t="s">
        <v>876</v>
      </c>
      <c r="G432" s="71" t="s">
        <v>569</v>
      </c>
      <c r="H432" s="78">
        <v>0.08</v>
      </c>
      <c r="I432" s="79">
        <f>10*1</f>
        <v>10</v>
      </c>
      <c r="J432" s="94">
        <v>193</v>
      </c>
      <c r="K432" s="80">
        <f t="shared" si="59"/>
        <v>208.44000000000003</v>
      </c>
      <c r="L432" s="80"/>
      <c r="M432" s="80">
        <f t="shared" si="62"/>
        <v>2084.4</v>
      </c>
      <c r="N432" s="79"/>
      <c r="O432" s="79"/>
      <c r="P432" s="80">
        <f t="shared" si="54"/>
        <v>0</v>
      </c>
      <c r="Q432" s="80">
        <f t="shared" si="55"/>
        <v>0</v>
      </c>
      <c r="R432" s="80">
        <f t="shared" si="56"/>
        <v>0</v>
      </c>
      <c r="S432" s="89"/>
    </row>
    <row r="433" spans="2:19" x14ac:dyDescent="0.4">
      <c r="B433" s="77">
        <v>44499</v>
      </c>
      <c r="C433" s="64"/>
      <c r="D433" s="64"/>
      <c r="E433" s="64" t="s">
        <v>471</v>
      </c>
      <c r="F433" s="64" t="s">
        <v>877</v>
      </c>
      <c r="G433" s="71" t="s">
        <v>889</v>
      </c>
      <c r="H433" s="78">
        <v>0.08</v>
      </c>
      <c r="I433" s="79">
        <f>10*1</f>
        <v>10</v>
      </c>
      <c r="J433" s="94">
        <v>164</v>
      </c>
      <c r="K433" s="80">
        <f t="shared" si="59"/>
        <v>177.12</v>
      </c>
      <c r="L433" s="80"/>
      <c r="M433" s="80">
        <f t="shared" si="62"/>
        <v>1771.2</v>
      </c>
      <c r="N433" s="79"/>
      <c r="O433" s="79"/>
      <c r="P433" s="80">
        <f t="shared" si="54"/>
        <v>0</v>
      </c>
      <c r="Q433" s="80">
        <f t="shared" si="55"/>
        <v>0</v>
      </c>
      <c r="R433" s="80">
        <f t="shared" si="56"/>
        <v>0</v>
      </c>
      <c r="S433" s="89"/>
    </row>
    <row r="434" spans="2:19" x14ac:dyDescent="0.4">
      <c r="B434" s="77">
        <v>44499</v>
      </c>
      <c r="C434" s="64"/>
      <c r="D434" s="64"/>
      <c r="E434" s="64" t="s">
        <v>471</v>
      </c>
      <c r="F434" s="64" t="s">
        <v>878</v>
      </c>
      <c r="G434" s="71" t="s">
        <v>650</v>
      </c>
      <c r="H434" s="78">
        <v>0.1</v>
      </c>
      <c r="I434" s="79">
        <f>1*6</f>
        <v>6</v>
      </c>
      <c r="J434" s="94">
        <v>208</v>
      </c>
      <c r="K434" s="80">
        <f>J434*110%</f>
        <v>228.8</v>
      </c>
      <c r="L434" s="80"/>
      <c r="M434" s="80">
        <f t="shared" si="62"/>
        <v>1372.8000000000002</v>
      </c>
      <c r="N434" s="79"/>
      <c r="O434" s="79"/>
      <c r="P434" s="80">
        <f t="shared" si="54"/>
        <v>0</v>
      </c>
      <c r="Q434" s="80">
        <f t="shared" si="55"/>
        <v>0</v>
      </c>
      <c r="R434" s="80">
        <f t="shared" si="56"/>
        <v>0</v>
      </c>
      <c r="S434" s="89"/>
    </row>
    <row r="435" spans="2:19" x14ac:dyDescent="0.4">
      <c r="B435" s="77">
        <v>44499</v>
      </c>
      <c r="C435" s="64"/>
      <c r="D435" s="64"/>
      <c r="E435" s="64" t="s">
        <v>471</v>
      </c>
      <c r="F435" s="64" t="s">
        <v>879</v>
      </c>
      <c r="G435" s="71" t="s">
        <v>890</v>
      </c>
      <c r="H435" s="78">
        <v>0.08</v>
      </c>
      <c r="I435" s="79">
        <f>5*1</f>
        <v>5</v>
      </c>
      <c r="J435" s="94">
        <v>160</v>
      </c>
      <c r="K435" s="80">
        <f t="shared" si="59"/>
        <v>172.8</v>
      </c>
      <c r="L435" s="80"/>
      <c r="M435" s="80">
        <f t="shared" si="62"/>
        <v>864</v>
      </c>
      <c r="N435" s="79"/>
      <c r="O435" s="79"/>
      <c r="P435" s="80">
        <f t="shared" si="54"/>
        <v>0</v>
      </c>
      <c r="Q435" s="80">
        <f t="shared" si="55"/>
        <v>0</v>
      </c>
      <c r="R435" s="80">
        <f t="shared" si="56"/>
        <v>0</v>
      </c>
      <c r="S435" s="89"/>
    </row>
    <row r="436" spans="2:19" x14ac:dyDescent="0.4">
      <c r="B436" s="77">
        <v>44499</v>
      </c>
      <c r="C436" s="64"/>
      <c r="D436" s="64"/>
      <c r="E436" s="64" t="s">
        <v>471</v>
      </c>
      <c r="F436" s="64" t="s">
        <v>880</v>
      </c>
      <c r="G436" s="71" t="s">
        <v>279</v>
      </c>
      <c r="H436" s="78">
        <v>0.08</v>
      </c>
      <c r="I436" s="79">
        <f>5*1</f>
        <v>5</v>
      </c>
      <c r="J436" s="94">
        <v>160</v>
      </c>
      <c r="K436" s="80">
        <f t="shared" si="59"/>
        <v>172.8</v>
      </c>
      <c r="L436" s="80"/>
      <c r="M436" s="80">
        <f t="shared" si="62"/>
        <v>864</v>
      </c>
      <c r="N436" s="79"/>
      <c r="O436" s="79"/>
      <c r="P436" s="80">
        <f t="shared" si="54"/>
        <v>0</v>
      </c>
      <c r="Q436" s="80">
        <f t="shared" si="55"/>
        <v>0</v>
      </c>
      <c r="R436" s="80">
        <f t="shared" si="56"/>
        <v>0</v>
      </c>
      <c r="S436" s="89"/>
    </row>
    <row r="437" spans="2:19" x14ac:dyDescent="0.4">
      <c r="B437" s="77">
        <v>44499</v>
      </c>
      <c r="C437" s="64"/>
      <c r="D437" s="64"/>
      <c r="E437" s="64" t="s">
        <v>471</v>
      </c>
      <c r="F437" s="64" t="s">
        <v>881</v>
      </c>
      <c r="G437" s="71" t="s">
        <v>278</v>
      </c>
      <c r="H437" s="78">
        <v>0.08</v>
      </c>
      <c r="I437" s="79">
        <f>5*1</f>
        <v>5</v>
      </c>
      <c r="J437" s="94">
        <v>160</v>
      </c>
      <c r="K437" s="80">
        <f t="shared" si="59"/>
        <v>172.8</v>
      </c>
      <c r="L437" s="80"/>
      <c r="M437" s="80">
        <f t="shared" si="62"/>
        <v>864</v>
      </c>
      <c r="N437" s="79"/>
      <c r="O437" s="79"/>
      <c r="P437" s="80">
        <f t="shared" si="54"/>
        <v>0</v>
      </c>
      <c r="Q437" s="80">
        <f t="shared" si="55"/>
        <v>0</v>
      </c>
      <c r="R437" s="80">
        <f t="shared" si="56"/>
        <v>0</v>
      </c>
      <c r="S437" s="89"/>
    </row>
    <row r="438" spans="2:19" x14ac:dyDescent="0.4">
      <c r="B438" s="77">
        <v>44499</v>
      </c>
      <c r="C438" s="64"/>
      <c r="D438" s="64"/>
      <c r="E438" s="64" t="s">
        <v>471</v>
      </c>
      <c r="F438" s="64" t="s">
        <v>882</v>
      </c>
      <c r="G438" s="71" t="s">
        <v>278</v>
      </c>
      <c r="H438" s="78">
        <v>0.08</v>
      </c>
      <c r="I438" s="79">
        <f>5*1</f>
        <v>5</v>
      </c>
      <c r="J438" s="94">
        <v>160</v>
      </c>
      <c r="K438" s="80">
        <f t="shared" si="59"/>
        <v>172.8</v>
      </c>
      <c r="L438" s="80"/>
      <c r="M438" s="80">
        <f t="shared" si="62"/>
        <v>864</v>
      </c>
      <c r="N438" s="79"/>
      <c r="O438" s="79"/>
      <c r="P438" s="80">
        <f t="shared" si="54"/>
        <v>0</v>
      </c>
      <c r="Q438" s="80">
        <f t="shared" si="55"/>
        <v>0</v>
      </c>
      <c r="R438" s="80">
        <f t="shared" si="56"/>
        <v>0</v>
      </c>
      <c r="S438" s="89"/>
    </row>
    <row r="439" spans="2:19" x14ac:dyDescent="0.4">
      <c r="B439" s="77">
        <v>44499</v>
      </c>
      <c r="C439" s="64"/>
      <c r="D439" s="64"/>
      <c r="E439" s="64" t="s">
        <v>471</v>
      </c>
      <c r="F439" s="64" t="s">
        <v>883</v>
      </c>
      <c r="G439" s="71" t="s">
        <v>280</v>
      </c>
      <c r="H439" s="78">
        <v>0.08</v>
      </c>
      <c r="I439" s="79">
        <f>10*1</f>
        <v>10</v>
      </c>
      <c r="J439" s="94">
        <v>69.5</v>
      </c>
      <c r="K439" s="80">
        <f t="shared" si="59"/>
        <v>75.06</v>
      </c>
      <c r="L439" s="80"/>
      <c r="M439" s="80">
        <f t="shared" si="62"/>
        <v>750.6</v>
      </c>
      <c r="N439" s="79"/>
      <c r="O439" s="79"/>
      <c r="P439" s="80">
        <f t="shared" si="54"/>
        <v>0</v>
      </c>
      <c r="Q439" s="80">
        <f t="shared" si="55"/>
        <v>0</v>
      </c>
      <c r="R439" s="80">
        <f t="shared" si="56"/>
        <v>0</v>
      </c>
      <c r="S439" s="89"/>
    </row>
    <row r="440" spans="2:19" x14ac:dyDescent="0.4">
      <c r="B440" s="77">
        <v>44499</v>
      </c>
      <c r="C440" s="64"/>
      <c r="D440" s="64"/>
      <c r="E440" s="64" t="s">
        <v>471</v>
      </c>
      <c r="F440" s="64" t="s">
        <v>884</v>
      </c>
      <c r="G440" s="71" t="s">
        <v>891</v>
      </c>
      <c r="H440" s="78">
        <v>0.08</v>
      </c>
      <c r="I440" s="79">
        <f>10*1</f>
        <v>10</v>
      </c>
      <c r="J440" s="94">
        <v>69.5</v>
      </c>
      <c r="K440" s="80">
        <f t="shared" si="59"/>
        <v>75.06</v>
      </c>
      <c r="L440" s="80"/>
      <c r="M440" s="80">
        <f t="shared" si="62"/>
        <v>750.6</v>
      </c>
      <c r="N440" s="79"/>
      <c r="O440" s="79"/>
      <c r="P440" s="80">
        <f t="shared" si="54"/>
        <v>0</v>
      </c>
      <c r="Q440" s="80">
        <f t="shared" si="55"/>
        <v>0</v>
      </c>
      <c r="R440" s="80">
        <f t="shared" si="56"/>
        <v>0</v>
      </c>
      <c r="S440" s="89"/>
    </row>
    <row r="441" spans="2:19" x14ac:dyDescent="0.4">
      <c r="B441" s="77">
        <v>44499</v>
      </c>
      <c r="C441" s="64"/>
      <c r="D441" s="64"/>
      <c r="E441" s="64" t="s">
        <v>471</v>
      </c>
      <c r="F441" s="64" t="s">
        <v>885</v>
      </c>
      <c r="G441" s="71" t="s">
        <v>292</v>
      </c>
      <c r="H441" s="78">
        <v>0.08</v>
      </c>
      <c r="I441" s="79">
        <f>10*1</f>
        <v>10</v>
      </c>
      <c r="J441" s="94">
        <v>69.5</v>
      </c>
      <c r="K441" s="80">
        <f t="shared" si="59"/>
        <v>75.06</v>
      </c>
      <c r="L441" s="80"/>
      <c r="M441" s="80">
        <f t="shared" si="62"/>
        <v>750.6</v>
      </c>
      <c r="N441" s="79"/>
      <c r="O441" s="79"/>
      <c r="P441" s="80">
        <f t="shared" si="54"/>
        <v>0</v>
      </c>
      <c r="Q441" s="80">
        <f t="shared" si="55"/>
        <v>0</v>
      </c>
      <c r="R441" s="80">
        <f t="shared" si="56"/>
        <v>0</v>
      </c>
      <c r="S441" s="89"/>
    </row>
    <row r="442" spans="2:19" x14ac:dyDescent="0.4">
      <c r="B442" s="77">
        <v>44499</v>
      </c>
      <c r="C442" s="64"/>
      <c r="D442" s="64"/>
      <c r="E442" s="64" t="s">
        <v>471</v>
      </c>
      <c r="F442" s="64" t="s">
        <v>886</v>
      </c>
      <c r="G442" s="71" t="s">
        <v>892</v>
      </c>
      <c r="H442" s="78">
        <v>0.08</v>
      </c>
      <c r="I442" s="79">
        <f>10*1</f>
        <v>10</v>
      </c>
      <c r="J442" s="94">
        <v>69.5</v>
      </c>
      <c r="K442" s="80">
        <f t="shared" si="59"/>
        <v>75.06</v>
      </c>
      <c r="L442" s="80"/>
      <c r="M442" s="80">
        <f t="shared" si="62"/>
        <v>750.6</v>
      </c>
      <c r="N442" s="79"/>
      <c r="O442" s="79"/>
      <c r="P442" s="80">
        <f t="shared" si="54"/>
        <v>0</v>
      </c>
      <c r="Q442" s="80">
        <f t="shared" si="55"/>
        <v>0</v>
      </c>
      <c r="R442" s="80">
        <f t="shared" si="56"/>
        <v>0</v>
      </c>
      <c r="S442" s="89"/>
    </row>
    <row r="443" spans="2:19" x14ac:dyDescent="0.4">
      <c r="B443" s="77">
        <v>44499</v>
      </c>
      <c r="C443" s="64"/>
      <c r="D443" s="64"/>
      <c r="E443" s="64" t="s">
        <v>471</v>
      </c>
      <c r="F443" s="64" t="s">
        <v>887</v>
      </c>
      <c r="G443" s="71" t="s">
        <v>893</v>
      </c>
      <c r="H443" s="78">
        <v>0.08</v>
      </c>
      <c r="I443" s="79">
        <f>10*2</f>
        <v>20</v>
      </c>
      <c r="J443" s="94">
        <v>79</v>
      </c>
      <c r="K443" s="80">
        <f t="shared" si="59"/>
        <v>85.320000000000007</v>
      </c>
      <c r="L443" s="80"/>
      <c r="M443" s="80">
        <f t="shared" si="62"/>
        <v>1706.4</v>
      </c>
      <c r="N443" s="79"/>
      <c r="O443" s="79"/>
      <c r="P443" s="80">
        <f t="shared" si="54"/>
        <v>0</v>
      </c>
      <c r="Q443" s="80">
        <f t="shared" si="55"/>
        <v>0</v>
      </c>
      <c r="R443" s="80">
        <f t="shared" si="56"/>
        <v>0</v>
      </c>
      <c r="S443" s="89">
        <f>SUM(M430:M443)</f>
        <v>22697.399999999998</v>
      </c>
    </row>
    <row r="444" spans="2:19" x14ac:dyDescent="0.4">
      <c r="B444" s="77">
        <v>44499</v>
      </c>
      <c r="C444" s="64"/>
      <c r="D444" s="64"/>
      <c r="E444" s="64" t="s">
        <v>471</v>
      </c>
      <c r="F444" s="64" t="s">
        <v>894</v>
      </c>
      <c r="G444" s="71" t="s">
        <v>919</v>
      </c>
      <c r="H444" s="78">
        <v>0.08</v>
      </c>
      <c r="I444" s="79">
        <f>10*1</f>
        <v>10</v>
      </c>
      <c r="J444" s="94">
        <v>107</v>
      </c>
      <c r="K444" s="80">
        <f t="shared" si="59"/>
        <v>115.56</v>
      </c>
      <c r="L444" s="80"/>
      <c r="M444" s="80">
        <f t="shared" si="62"/>
        <v>1155.5999999999999</v>
      </c>
      <c r="N444" s="79"/>
      <c r="O444" s="79"/>
      <c r="P444" s="80">
        <f t="shared" si="54"/>
        <v>0</v>
      </c>
      <c r="Q444" s="80">
        <f t="shared" si="55"/>
        <v>0</v>
      </c>
      <c r="R444" s="80">
        <f t="shared" si="56"/>
        <v>0</v>
      </c>
      <c r="S444" s="89"/>
    </row>
    <row r="445" spans="2:19" x14ac:dyDescent="0.4">
      <c r="B445" s="77">
        <v>44499</v>
      </c>
      <c r="C445" s="64"/>
      <c r="D445" s="64"/>
      <c r="E445" s="64" t="s">
        <v>471</v>
      </c>
      <c r="F445" s="64" t="s">
        <v>895</v>
      </c>
      <c r="G445" s="71" t="s">
        <v>920</v>
      </c>
      <c r="H445" s="78">
        <v>0.08</v>
      </c>
      <c r="I445" s="79">
        <f>10*1</f>
        <v>10</v>
      </c>
      <c r="J445" s="94">
        <v>107</v>
      </c>
      <c r="K445" s="80">
        <f t="shared" si="59"/>
        <v>115.56</v>
      </c>
      <c r="L445" s="80"/>
      <c r="M445" s="80">
        <f t="shared" si="62"/>
        <v>1155.5999999999999</v>
      </c>
      <c r="N445" s="79"/>
      <c r="O445" s="79"/>
      <c r="P445" s="80">
        <f t="shared" si="54"/>
        <v>0</v>
      </c>
      <c r="Q445" s="80">
        <f t="shared" si="55"/>
        <v>0</v>
      </c>
      <c r="R445" s="80">
        <f t="shared" si="56"/>
        <v>0</v>
      </c>
      <c r="S445" s="89"/>
    </row>
    <row r="446" spans="2:19" x14ac:dyDescent="0.4">
      <c r="B446" s="77">
        <v>44499</v>
      </c>
      <c r="C446" s="64"/>
      <c r="D446" s="64"/>
      <c r="E446" s="64" t="s">
        <v>471</v>
      </c>
      <c r="F446" s="64" t="s">
        <v>896</v>
      </c>
      <c r="G446" s="71" t="s">
        <v>921</v>
      </c>
      <c r="H446" s="78">
        <v>0.08</v>
      </c>
      <c r="I446" s="79">
        <f>30*1</f>
        <v>30</v>
      </c>
      <c r="J446" s="94">
        <v>56</v>
      </c>
      <c r="K446" s="80">
        <f t="shared" si="59"/>
        <v>60.480000000000004</v>
      </c>
      <c r="L446" s="80"/>
      <c r="M446" s="80">
        <f t="shared" si="62"/>
        <v>1814.4</v>
      </c>
      <c r="N446" s="79"/>
      <c r="O446" s="79"/>
      <c r="P446" s="80">
        <f t="shared" si="54"/>
        <v>0</v>
      </c>
      <c r="Q446" s="80">
        <f t="shared" si="55"/>
        <v>0</v>
      </c>
      <c r="R446" s="80">
        <f t="shared" si="56"/>
        <v>0</v>
      </c>
      <c r="S446" s="89"/>
    </row>
    <row r="447" spans="2:19" x14ac:dyDescent="0.4">
      <c r="B447" s="77">
        <v>44499</v>
      </c>
      <c r="C447" s="64"/>
      <c r="D447" s="64"/>
      <c r="E447" s="64" t="s">
        <v>471</v>
      </c>
      <c r="F447" s="64" t="s">
        <v>897</v>
      </c>
      <c r="G447" s="71" t="s">
        <v>276</v>
      </c>
      <c r="H447" s="78">
        <v>0.08</v>
      </c>
      <c r="I447" s="79">
        <f>24*1</f>
        <v>24</v>
      </c>
      <c r="J447" s="94">
        <v>72</v>
      </c>
      <c r="K447" s="80">
        <f t="shared" si="59"/>
        <v>77.760000000000005</v>
      </c>
      <c r="L447" s="80"/>
      <c r="M447" s="80">
        <f t="shared" si="62"/>
        <v>1866.2400000000002</v>
      </c>
      <c r="N447" s="79"/>
      <c r="O447" s="79"/>
      <c r="P447" s="80">
        <f t="shared" si="54"/>
        <v>0</v>
      </c>
      <c r="Q447" s="80">
        <f t="shared" si="55"/>
        <v>0</v>
      </c>
      <c r="R447" s="80">
        <f t="shared" si="56"/>
        <v>0</v>
      </c>
      <c r="S447" s="89"/>
    </row>
    <row r="448" spans="2:19" x14ac:dyDescent="0.4">
      <c r="B448" s="77">
        <v>44499</v>
      </c>
      <c r="C448" s="64"/>
      <c r="D448" s="64"/>
      <c r="E448" s="64" t="s">
        <v>471</v>
      </c>
      <c r="F448" s="64" t="s">
        <v>898</v>
      </c>
      <c r="G448" s="71" t="s">
        <v>922</v>
      </c>
      <c r="H448" s="78">
        <v>0.08</v>
      </c>
      <c r="I448" s="79">
        <f>24*1</f>
        <v>24</v>
      </c>
      <c r="J448" s="94">
        <v>94</v>
      </c>
      <c r="K448" s="80">
        <f t="shared" si="59"/>
        <v>101.52000000000001</v>
      </c>
      <c r="L448" s="80"/>
      <c r="M448" s="80">
        <f t="shared" si="62"/>
        <v>2436.4800000000005</v>
      </c>
      <c r="N448" s="79"/>
      <c r="O448" s="79"/>
      <c r="P448" s="80">
        <f t="shared" si="54"/>
        <v>0</v>
      </c>
      <c r="Q448" s="80">
        <f t="shared" si="55"/>
        <v>0</v>
      </c>
      <c r="R448" s="80">
        <f t="shared" si="56"/>
        <v>0</v>
      </c>
      <c r="S448" s="89"/>
    </row>
    <row r="449" spans="2:19" x14ac:dyDescent="0.4">
      <c r="B449" s="77">
        <v>44499</v>
      </c>
      <c r="C449" s="64"/>
      <c r="D449" s="64"/>
      <c r="E449" s="64" t="s">
        <v>471</v>
      </c>
      <c r="F449" s="64" t="s">
        <v>899</v>
      </c>
      <c r="G449" s="71" t="s">
        <v>923</v>
      </c>
      <c r="H449" s="78">
        <v>0.08</v>
      </c>
      <c r="I449" s="79">
        <f>12*2</f>
        <v>24</v>
      </c>
      <c r="J449" s="94">
        <v>94</v>
      </c>
      <c r="K449" s="80">
        <f t="shared" si="59"/>
        <v>101.52000000000001</v>
      </c>
      <c r="L449" s="80"/>
      <c r="M449" s="80">
        <f t="shared" si="62"/>
        <v>2436.4800000000005</v>
      </c>
      <c r="N449" s="79"/>
      <c r="O449" s="79"/>
      <c r="P449" s="80">
        <f t="shared" si="54"/>
        <v>0</v>
      </c>
      <c r="Q449" s="80">
        <f t="shared" si="55"/>
        <v>0</v>
      </c>
      <c r="R449" s="80">
        <f t="shared" si="56"/>
        <v>0</v>
      </c>
      <c r="S449" s="89"/>
    </row>
    <row r="450" spans="2:19" x14ac:dyDescent="0.4">
      <c r="B450" s="77">
        <v>44499</v>
      </c>
      <c r="C450" s="64"/>
      <c r="D450" s="64"/>
      <c r="E450" s="64" t="s">
        <v>471</v>
      </c>
      <c r="F450" s="64" t="s">
        <v>900</v>
      </c>
      <c r="G450" s="71" t="s">
        <v>264</v>
      </c>
      <c r="H450" s="78">
        <v>0.08</v>
      </c>
      <c r="I450" s="79">
        <f>12*2</f>
        <v>24</v>
      </c>
      <c r="J450" s="94">
        <v>78</v>
      </c>
      <c r="K450" s="80">
        <f t="shared" si="59"/>
        <v>84.240000000000009</v>
      </c>
      <c r="L450" s="80"/>
      <c r="M450" s="80">
        <f t="shared" si="62"/>
        <v>2021.7600000000002</v>
      </c>
      <c r="N450" s="79"/>
      <c r="O450" s="79"/>
      <c r="P450" s="80">
        <f t="shared" si="54"/>
        <v>0</v>
      </c>
      <c r="Q450" s="80">
        <f t="shared" si="55"/>
        <v>0</v>
      </c>
      <c r="R450" s="80">
        <f t="shared" si="56"/>
        <v>0</v>
      </c>
      <c r="S450" s="89"/>
    </row>
    <row r="451" spans="2:19" x14ac:dyDescent="0.4">
      <c r="B451" s="77">
        <v>44499</v>
      </c>
      <c r="C451" s="64"/>
      <c r="D451" s="64"/>
      <c r="E451" s="64" t="s">
        <v>471</v>
      </c>
      <c r="F451" s="64" t="s">
        <v>901</v>
      </c>
      <c r="G451" s="71" t="s">
        <v>924</v>
      </c>
      <c r="H451" s="78">
        <v>0.08</v>
      </c>
      <c r="I451" s="79">
        <f>12*2</f>
        <v>24</v>
      </c>
      <c r="J451" s="94">
        <v>79</v>
      </c>
      <c r="K451" s="80">
        <f t="shared" si="59"/>
        <v>85.320000000000007</v>
      </c>
      <c r="L451" s="80"/>
      <c r="M451" s="80">
        <f t="shared" si="62"/>
        <v>2047.6800000000003</v>
      </c>
      <c r="N451" s="79"/>
      <c r="O451" s="79"/>
      <c r="P451" s="80">
        <f t="shared" si="54"/>
        <v>0</v>
      </c>
      <c r="Q451" s="80">
        <f t="shared" si="55"/>
        <v>0</v>
      </c>
      <c r="R451" s="80">
        <f t="shared" si="56"/>
        <v>0</v>
      </c>
      <c r="S451" s="89"/>
    </row>
    <row r="452" spans="2:19" x14ac:dyDescent="0.4">
      <c r="B452" s="77">
        <v>44499</v>
      </c>
      <c r="C452" s="64"/>
      <c r="D452" s="64"/>
      <c r="E452" s="64" t="s">
        <v>471</v>
      </c>
      <c r="F452" s="64" t="s">
        <v>902</v>
      </c>
      <c r="G452" s="71" t="s">
        <v>247</v>
      </c>
      <c r="H452" s="78">
        <v>0.08</v>
      </c>
      <c r="I452" s="79">
        <f>20*2</f>
        <v>40</v>
      </c>
      <c r="J452" s="94">
        <v>106</v>
      </c>
      <c r="K452" s="80">
        <f t="shared" si="59"/>
        <v>114.48</v>
      </c>
      <c r="L452" s="80"/>
      <c r="M452" s="80">
        <f t="shared" si="62"/>
        <v>4579.2</v>
      </c>
      <c r="N452" s="79"/>
      <c r="O452" s="79"/>
      <c r="P452" s="80">
        <f t="shared" si="54"/>
        <v>0</v>
      </c>
      <c r="Q452" s="80">
        <f t="shared" si="55"/>
        <v>0</v>
      </c>
      <c r="R452" s="80">
        <f t="shared" si="56"/>
        <v>0</v>
      </c>
      <c r="S452" s="89"/>
    </row>
    <row r="453" spans="2:19" x14ac:dyDescent="0.4">
      <c r="B453" s="77">
        <v>44499</v>
      </c>
      <c r="C453" s="64"/>
      <c r="D453" s="64"/>
      <c r="E453" s="64" t="s">
        <v>471</v>
      </c>
      <c r="F453" s="64" t="s">
        <v>903</v>
      </c>
      <c r="G453" s="71" t="s">
        <v>925</v>
      </c>
      <c r="H453" s="78">
        <v>0.08</v>
      </c>
      <c r="I453" s="79">
        <f>10*2</f>
        <v>20</v>
      </c>
      <c r="J453" s="94">
        <v>89</v>
      </c>
      <c r="K453" s="80">
        <f t="shared" si="59"/>
        <v>96.12</v>
      </c>
      <c r="L453" s="80"/>
      <c r="M453" s="80">
        <f t="shared" si="62"/>
        <v>1922.4</v>
      </c>
      <c r="N453" s="79"/>
      <c r="O453" s="79"/>
      <c r="P453" s="80">
        <f t="shared" si="54"/>
        <v>0</v>
      </c>
      <c r="Q453" s="80">
        <f t="shared" si="55"/>
        <v>0</v>
      </c>
      <c r="R453" s="80">
        <f t="shared" si="56"/>
        <v>0</v>
      </c>
      <c r="S453" s="89"/>
    </row>
    <row r="454" spans="2:19" x14ac:dyDescent="0.4">
      <c r="B454" s="77">
        <v>44499</v>
      </c>
      <c r="C454" s="64"/>
      <c r="D454" s="64"/>
      <c r="E454" s="64" t="s">
        <v>471</v>
      </c>
      <c r="F454" s="64" t="s">
        <v>821</v>
      </c>
      <c r="G454" s="71" t="s">
        <v>551</v>
      </c>
      <c r="H454" s="78">
        <v>0.08</v>
      </c>
      <c r="I454" s="79">
        <f>12*1</f>
        <v>12</v>
      </c>
      <c r="J454" s="94">
        <v>75</v>
      </c>
      <c r="K454" s="80">
        <f t="shared" si="59"/>
        <v>81</v>
      </c>
      <c r="L454" s="80"/>
      <c r="M454" s="80">
        <f t="shared" si="62"/>
        <v>972</v>
      </c>
      <c r="N454" s="79"/>
      <c r="O454" s="79"/>
      <c r="P454" s="80">
        <f t="shared" si="54"/>
        <v>0</v>
      </c>
      <c r="Q454" s="80">
        <f t="shared" si="55"/>
        <v>0</v>
      </c>
      <c r="R454" s="80">
        <f t="shared" si="56"/>
        <v>0</v>
      </c>
      <c r="S454" s="89"/>
    </row>
    <row r="455" spans="2:19" x14ac:dyDescent="0.4">
      <c r="B455" s="77">
        <v>44499</v>
      </c>
      <c r="C455" s="64"/>
      <c r="D455" s="64"/>
      <c r="E455" s="64" t="s">
        <v>471</v>
      </c>
      <c r="F455" s="64" t="s">
        <v>904</v>
      </c>
      <c r="G455" s="71" t="s">
        <v>548</v>
      </c>
      <c r="H455" s="78">
        <v>0.08</v>
      </c>
      <c r="I455" s="79">
        <f>12*1</f>
        <v>12</v>
      </c>
      <c r="J455" s="94">
        <v>75</v>
      </c>
      <c r="K455" s="80">
        <f t="shared" si="59"/>
        <v>81</v>
      </c>
      <c r="L455" s="80"/>
      <c r="M455" s="80">
        <f t="shared" si="62"/>
        <v>972</v>
      </c>
      <c r="N455" s="79"/>
      <c r="O455" s="79"/>
      <c r="P455" s="80">
        <f t="shared" ref="P455:P518" si="63">IFERROR(O455*J455,"")</f>
        <v>0</v>
      </c>
      <c r="Q455" s="80">
        <f t="shared" ref="Q455:Q518" si="64">IFERROR(P455*O455,"")</f>
        <v>0</v>
      </c>
      <c r="R455" s="80">
        <f t="shared" ref="R455:R518" si="65">IFERROR(Q455-P455,"")</f>
        <v>0</v>
      </c>
      <c r="S455" s="89"/>
    </row>
    <row r="456" spans="2:19" x14ac:dyDescent="0.4">
      <c r="B456" s="77">
        <v>44499</v>
      </c>
      <c r="C456" s="64"/>
      <c r="D456" s="64"/>
      <c r="E456" s="64" t="s">
        <v>471</v>
      </c>
      <c r="F456" s="64" t="s">
        <v>905</v>
      </c>
      <c r="G456" s="71" t="s">
        <v>926</v>
      </c>
      <c r="H456" s="78">
        <v>0.08</v>
      </c>
      <c r="I456" s="79">
        <f>10*2</f>
        <v>20</v>
      </c>
      <c r="J456" s="94">
        <v>106</v>
      </c>
      <c r="K456" s="80">
        <f t="shared" si="59"/>
        <v>114.48</v>
      </c>
      <c r="L456" s="80"/>
      <c r="M456" s="80">
        <f t="shared" si="62"/>
        <v>2289.6</v>
      </c>
      <c r="N456" s="79"/>
      <c r="O456" s="79"/>
      <c r="P456" s="80">
        <f t="shared" si="63"/>
        <v>0</v>
      </c>
      <c r="Q456" s="80">
        <f t="shared" si="64"/>
        <v>0</v>
      </c>
      <c r="R456" s="80">
        <f t="shared" si="65"/>
        <v>0</v>
      </c>
      <c r="S456" s="89"/>
    </row>
    <row r="457" spans="2:19" x14ac:dyDescent="0.4">
      <c r="B457" s="77">
        <v>44499</v>
      </c>
      <c r="C457" s="64"/>
      <c r="D457" s="64"/>
      <c r="E457" s="64" t="s">
        <v>471</v>
      </c>
      <c r="F457" s="64" t="s">
        <v>906</v>
      </c>
      <c r="G457" s="71" t="s">
        <v>927</v>
      </c>
      <c r="H457" s="78">
        <v>0.08</v>
      </c>
      <c r="I457" s="79">
        <f>10*2</f>
        <v>20</v>
      </c>
      <c r="J457" s="94">
        <v>106</v>
      </c>
      <c r="K457" s="80">
        <f t="shared" si="59"/>
        <v>114.48</v>
      </c>
      <c r="L457" s="80"/>
      <c r="M457" s="80">
        <f t="shared" si="62"/>
        <v>2289.6</v>
      </c>
      <c r="N457" s="79"/>
      <c r="O457" s="79"/>
      <c r="P457" s="80">
        <f t="shared" si="63"/>
        <v>0</v>
      </c>
      <c r="Q457" s="80">
        <f t="shared" si="64"/>
        <v>0</v>
      </c>
      <c r="R457" s="80">
        <f t="shared" si="65"/>
        <v>0</v>
      </c>
      <c r="S457" s="89"/>
    </row>
    <row r="458" spans="2:19" x14ac:dyDescent="0.4">
      <c r="B458" s="77">
        <v>44499</v>
      </c>
      <c r="C458" s="64"/>
      <c r="D458" s="64"/>
      <c r="E458" s="64" t="s">
        <v>471</v>
      </c>
      <c r="F458" s="64" t="s">
        <v>907</v>
      </c>
      <c r="G458" s="71" t="s">
        <v>928</v>
      </c>
      <c r="H458" s="78">
        <v>0.08</v>
      </c>
      <c r="I458" s="79">
        <f>12*2</f>
        <v>24</v>
      </c>
      <c r="J458" s="94">
        <v>79</v>
      </c>
      <c r="K458" s="80">
        <f t="shared" si="59"/>
        <v>85.320000000000007</v>
      </c>
      <c r="L458" s="80"/>
      <c r="M458" s="80">
        <f t="shared" si="62"/>
        <v>2047.6800000000003</v>
      </c>
      <c r="N458" s="79"/>
      <c r="O458" s="79"/>
      <c r="P458" s="80">
        <f t="shared" si="63"/>
        <v>0</v>
      </c>
      <c r="Q458" s="80">
        <f t="shared" si="64"/>
        <v>0</v>
      </c>
      <c r="R458" s="80">
        <f t="shared" si="65"/>
        <v>0</v>
      </c>
      <c r="S458" s="89"/>
    </row>
    <row r="459" spans="2:19" x14ac:dyDescent="0.4">
      <c r="B459" s="77">
        <v>44499</v>
      </c>
      <c r="C459" s="64"/>
      <c r="D459" s="64"/>
      <c r="E459" s="64" t="s">
        <v>471</v>
      </c>
      <c r="F459" s="64" t="s">
        <v>810</v>
      </c>
      <c r="G459" s="71" t="s">
        <v>265</v>
      </c>
      <c r="H459" s="78">
        <v>0.08</v>
      </c>
      <c r="I459" s="79">
        <f>12*2</f>
        <v>24</v>
      </c>
      <c r="J459" s="94">
        <v>78</v>
      </c>
      <c r="K459" s="80">
        <f t="shared" si="59"/>
        <v>84.240000000000009</v>
      </c>
      <c r="L459" s="80"/>
      <c r="M459" s="80">
        <f t="shared" si="62"/>
        <v>2021.7600000000002</v>
      </c>
      <c r="N459" s="79"/>
      <c r="O459" s="79"/>
      <c r="P459" s="80">
        <f t="shared" si="63"/>
        <v>0</v>
      </c>
      <c r="Q459" s="80">
        <f t="shared" si="64"/>
        <v>0</v>
      </c>
      <c r="R459" s="80">
        <f t="shared" si="65"/>
        <v>0</v>
      </c>
      <c r="S459" s="89"/>
    </row>
    <row r="460" spans="2:19" x14ac:dyDescent="0.4">
      <c r="B460" s="77">
        <v>44499</v>
      </c>
      <c r="C460" s="64"/>
      <c r="D460" s="64"/>
      <c r="E460" s="64" t="s">
        <v>471</v>
      </c>
      <c r="F460" s="64" t="s">
        <v>908</v>
      </c>
      <c r="G460" s="71" t="s">
        <v>929</v>
      </c>
      <c r="H460" s="78">
        <v>0.08</v>
      </c>
      <c r="I460" s="79">
        <f>12*2</f>
        <v>24</v>
      </c>
      <c r="J460" s="94">
        <v>94</v>
      </c>
      <c r="K460" s="80">
        <f t="shared" si="59"/>
        <v>101.52000000000001</v>
      </c>
      <c r="L460" s="80"/>
      <c r="M460" s="80">
        <f t="shared" si="62"/>
        <v>2436.4800000000005</v>
      </c>
      <c r="N460" s="79"/>
      <c r="O460" s="79"/>
      <c r="P460" s="80">
        <f t="shared" si="63"/>
        <v>0</v>
      </c>
      <c r="Q460" s="80">
        <f t="shared" si="64"/>
        <v>0</v>
      </c>
      <c r="R460" s="80">
        <f t="shared" si="65"/>
        <v>0</v>
      </c>
      <c r="S460" s="89"/>
    </row>
    <row r="461" spans="2:19" x14ac:dyDescent="0.4">
      <c r="B461" s="77">
        <v>44499</v>
      </c>
      <c r="C461" s="64"/>
      <c r="D461" s="64"/>
      <c r="E461" s="64" t="s">
        <v>471</v>
      </c>
      <c r="F461" s="64" t="s">
        <v>909</v>
      </c>
      <c r="G461" s="71" t="s">
        <v>930</v>
      </c>
      <c r="H461" s="78">
        <v>0.08</v>
      </c>
      <c r="I461" s="79">
        <f>24*1</f>
        <v>24</v>
      </c>
      <c r="J461" s="94">
        <v>77</v>
      </c>
      <c r="K461" s="80">
        <f t="shared" si="59"/>
        <v>83.160000000000011</v>
      </c>
      <c r="L461" s="80"/>
      <c r="M461" s="80">
        <f t="shared" si="62"/>
        <v>1995.8400000000001</v>
      </c>
      <c r="N461" s="79"/>
      <c r="O461" s="79"/>
      <c r="P461" s="80">
        <f t="shared" si="63"/>
        <v>0</v>
      </c>
      <c r="Q461" s="80">
        <f t="shared" si="64"/>
        <v>0</v>
      </c>
      <c r="R461" s="80">
        <f t="shared" si="65"/>
        <v>0</v>
      </c>
      <c r="S461" s="89"/>
    </row>
    <row r="462" spans="2:19" x14ac:dyDescent="0.4">
      <c r="B462" s="77">
        <v>44499</v>
      </c>
      <c r="C462" s="64"/>
      <c r="D462" s="64"/>
      <c r="E462" s="64" t="s">
        <v>471</v>
      </c>
      <c r="F462" s="64" t="s">
        <v>767</v>
      </c>
      <c r="G462" s="71" t="s">
        <v>780</v>
      </c>
      <c r="H462" s="78">
        <v>0.08</v>
      </c>
      <c r="I462" s="79">
        <f>10*2</f>
        <v>20</v>
      </c>
      <c r="J462" s="94">
        <v>68</v>
      </c>
      <c r="K462" s="80">
        <f t="shared" si="59"/>
        <v>73.44</v>
      </c>
      <c r="L462" s="80"/>
      <c r="M462" s="80">
        <f t="shared" si="62"/>
        <v>1468.8</v>
      </c>
      <c r="N462" s="79"/>
      <c r="O462" s="79"/>
      <c r="P462" s="80">
        <f t="shared" si="63"/>
        <v>0</v>
      </c>
      <c r="Q462" s="80">
        <f t="shared" si="64"/>
        <v>0</v>
      </c>
      <c r="R462" s="80">
        <f t="shared" si="65"/>
        <v>0</v>
      </c>
      <c r="S462" s="89">
        <f>SUM(M444:M462)</f>
        <v>37929.600000000006</v>
      </c>
    </row>
    <row r="463" spans="2:19" x14ac:dyDescent="0.4">
      <c r="B463" s="77">
        <v>44499</v>
      </c>
      <c r="C463" s="64"/>
      <c r="D463" s="64"/>
      <c r="E463" s="64" t="s">
        <v>471</v>
      </c>
      <c r="F463" s="64" t="s">
        <v>484</v>
      </c>
      <c r="G463" s="71" t="s">
        <v>272</v>
      </c>
      <c r="H463" s="78">
        <v>0.08</v>
      </c>
      <c r="I463" s="79">
        <f>12*3</f>
        <v>36</v>
      </c>
      <c r="J463" s="94">
        <v>99</v>
      </c>
      <c r="K463" s="80">
        <f t="shared" si="59"/>
        <v>106.92</v>
      </c>
      <c r="L463" s="80"/>
      <c r="M463" s="80">
        <f t="shared" si="62"/>
        <v>3849.12</v>
      </c>
      <c r="N463" s="79"/>
      <c r="O463" s="79"/>
      <c r="P463" s="80">
        <f t="shared" si="63"/>
        <v>0</v>
      </c>
      <c r="Q463" s="80">
        <f t="shared" si="64"/>
        <v>0</v>
      </c>
      <c r="R463" s="80">
        <f t="shared" si="65"/>
        <v>0</v>
      </c>
      <c r="S463" s="89"/>
    </row>
    <row r="464" spans="2:19" x14ac:dyDescent="0.4">
      <c r="B464" s="77">
        <v>44499</v>
      </c>
      <c r="C464" s="64"/>
      <c r="D464" s="64"/>
      <c r="E464" s="64" t="s">
        <v>471</v>
      </c>
      <c r="F464" s="64" t="s">
        <v>910</v>
      </c>
      <c r="G464" s="71" t="s">
        <v>931</v>
      </c>
      <c r="H464" s="78">
        <v>0.08</v>
      </c>
      <c r="I464" s="79">
        <f>20*3</f>
        <v>60</v>
      </c>
      <c r="J464" s="94">
        <v>86</v>
      </c>
      <c r="K464" s="80">
        <f t="shared" si="59"/>
        <v>92.88000000000001</v>
      </c>
      <c r="L464" s="80"/>
      <c r="M464" s="80">
        <f t="shared" si="62"/>
        <v>5572.8</v>
      </c>
      <c r="N464" s="79"/>
      <c r="O464" s="79"/>
      <c r="P464" s="80">
        <f t="shared" si="63"/>
        <v>0</v>
      </c>
      <c r="Q464" s="80">
        <f t="shared" si="64"/>
        <v>0</v>
      </c>
      <c r="R464" s="80">
        <f t="shared" si="65"/>
        <v>0</v>
      </c>
      <c r="S464" s="89"/>
    </row>
    <row r="465" spans="2:19" x14ac:dyDescent="0.4">
      <c r="B465" s="77">
        <v>44499</v>
      </c>
      <c r="C465" s="64"/>
      <c r="D465" s="64"/>
      <c r="E465" s="64" t="s">
        <v>471</v>
      </c>
      <c r="F465" s="64" t="s">
        <v>478</v>
      </c>
      <c r="G465" s="71" t="s">
        <v>481</v>
      </c>
      <c r="H465" s="78">
        <v>0.08</v>
      </c>
      <c r="I465" s="79">
        <f>20*3</f>
        <v>60</v>
      </c>
      <c r="J465" s="94">
        <v>126</v>
      </c>
      <c r="K465" s="80">
        <f t="shared" si="59"/>
        <v>136.08000000000001</v>
      </c>
      <c r="L465" s="80"/>
      <c r="M465" s="80">
        <f t="shared" si="62"/>
        <v>8164.8000000000011</v>
      </c>
      <c r="N465" s="79"/>
      <c r="O465" s="79"/>
      <c r="P465" s="80">
        <f t="shared" si="63"/>
        <v>0</v>
      </c>
      <c r="Q465" s="80">
        <f t="shared" si="64"/>
        <v>0</v>
      </c>
      <c r="R465" s="80">
        <f t="shared" si="65"/>
        <v>0</v>
      </c>
      <c r="S465" s="89"/>
    </row>
    <row r="466" spans="2:19" x14ac:dyDescent="0.4">
      <c r="B466" s="77">
        <v>44499</v>
      </c>
      <c r="C466" s="64"/>
      <c r="D466" s="64"/>
      <c r="E466" s="64" t="s">
        <v>471</v>
      </c>
      <c r="F466" s="64" t="s">
        <v>476</v>
      </c>
      <c r="G466" s="71" t="s">
        <v>477</v>
      </c>
      <c r="H466" s="78">
        <v>0.08</v>
      </c>
      <c r="I466" s="79">
        <f>20*3</f>
        <v>60</v>
      </c>
      <c r="J466" s="94">
        <v>126</v>
      </c>
      <c r="K466" s="80">
        <f t="shared" si="59"/>
        <v>136.08000000000001</v>
      </c>
      <c r="L466" s="80"/>
      <c r="M466" s="80">
        <f t="shared" si="62"/>
        <v>8164.8000000000011</v>
      </c>
      <c r="N466" s="79"/>
      <c r="O466" s="79"/>
      <c r="P466" s="80">
        <f t="shared" si="63"/>
        <v>0</v>
      </c>
      <c r="Q466" s="80">
        <f t="shared" si="64"/>
        <v>0</v>
      </c>
      <c r="R466" s="80">
        <f t="shared" si="65"/>
        <v>0</v>
      </c>
      <c r="S466" s="89"/>
    </row>
    <row r="467" spans="2:19" x14ac:dyDescent="0.4">
      <c r="B467" s="77">
        <v>44499</v>
      </c>
      <c r="C467" s="64"/>
      <c r="D467" s="64"/>
      <c r="E467" s="64" t="s">
        <v>471</v>
      </c>
      <c r="F467" s="64" t="s">
        <v>480</v>
      </c>
      <c r="G467" s="71" t="s">
        <v>271</v>
      </c>
      <c r="H467" s="78">
        <v>0.08</v>
      </c>
      <c r="I467" s="79">
        <f>12*3</f>
        <v>36</v>
      </c>
      <c r="J467" s="94">
        <v>99</v>
      </c>
      <c r="K467" s="80">
        <f t="shared" si="59"/>
        <v>106.92</v>
      </c>
      <c r="L467" s="80"/>
      <c r="M467" s="80">
        <f t="shared" si="62"/>
        <v>3849.12</v>
      </c>
      <c r="N467" s="79"/>
      <c r="O467" s="79"/>
      <c r="P467" s="80">
        <f t="shared" si="63"/>
        <v>0</v>
      </c>
      <c r="Q467" s="80">
        <f t="shared" si="64"/>
        <v>0</v>
      </c>
      <c r="R467" s="80">
        <f t="shared" si="65"/>
        <v>0</v>
      </c>
      <c r="S467" s="89"/>
    </row>
    <row r="468" spans="2:19" x14ac:dyDescent="0.4">
      <c r="B468" s="77">
        <v>44499</v>
      </c>
      <c r="C468" s="64"/>
      <c r="D468" s="64"/>
      <c r="E468" s="64" t="s">
        <v>471</v>
      </c>
      <c r="F468" s="64" t="s">
        <v>808</v>
      </c>
      <c r="G468" s="71" t="s">
        <v>277</v>
      </c>
      <c r="H468" s="78">
        <v>0.08</v>
      </c>
      <c r="I468" s="79">
        <f>18*2</f>
        <v>36</v>
      </c>
      <c r="J468" s="94">
        <v>135</v>
      </c>
      <c r="K468" s="80">
        <f t="shared" si="59"/>
        <v>145.80000000000001</v>
      </c>
      <c r="L468" s="80"/>
      <c r="M468" s="80">
        <f t="shared" si="62"/>
        <v>5248.8</v>
      </c>
      <c r="N468" s="79"/>
      <c r="O468" s="79"/>
      <c r="P468" s="80">
        <f t="shared" si="63"/>
        <v>0</v>
      </c>
      <c r="Q468" s="80">
        <f t="shared" si="64"/>
        <v>0</v>
      </c>
      <c r="R468" s="80">
        <f t="shared" si="65"/>
        <v>0</v>
      </c>
      <c r="S468" s="89">
        <f>SUM(M463:M468)</f>
        <v>34849.440000000002</v>
      </c>
    </row>
    <row r="469" spans="2:19" x14ac:dyDescent="0.4">
      <c r="B469" s="77">
        <v>44499</v>
      </c>
      <c r="C469" s="64"/>
      <c r="D469" s="64"/>
      <c r="E469" s="64" t="s">
        <v>471</v>
      </c>
      <c r="F469" s="64" t="s">
        <v>911</v>
      </c>
      <c r="G469" s="71" t="s">
        <v>932</v>
      </c>
      <c r="H469" s="78">
        <v>0.08</v>
      </c>
      <c r="I469" s="79">
        <f>1*4</f>
        <v>4</v>
      </c>
      <c r="J469" s="94">
        <v>879</v>
      </c>
      <c r="K469" s="80">
        <f t="shared" si="59"/>
        <v>949.32</v>
      </c>
      <c r="L469" s="80"/>
      <c r="M469" s="80">
        <f t="shared" si="62"/>
        <v>3797.28</v>
      </c>
      <c r="N469" s="79"/>
      <c r="O469" s="79"/>
      <c r="P469" s="80">
        <f t="shared" si="63"/>
        <v>0</v>
      </c>
      <c r="Q469" s="80">
        <f t="shared" si="64"/>
        <v>0</v>
      </c>
      <c r="R469" s="80">
        <f t="shared" si="65"/>
        <v>0</v>
      </c>
      <c r="S469" s="89"/>
    </row>
    <row r="470" spans="2:19" x14ac:dyDescent="0.4">
      <c r="B470" s="77">
        <v>44499</v>
      </c>
      <c r="C470" s="64"/>
      <c r="D470" s="64"/>
      <c r="E470" s="64" t="s">
        <v>471</v>
      </c>
      <c r="F470" s="64" t="s">
        <v>912</v>
      </c>
      <c r="G470" s="71" t="s">
        <v>933</v>
      </c>
      <c r="H470" s="78">
        <v>0.08</v>
      </c>
      <c r="I470" s="79">
        <f>1*2</f>
        <v>2</v>
      </c>
      <c r="J470" s="94">
        <v>1077</v>
      </c>
      <c r="K470" s="80">
        <f t="shared" si="59"/>
        <v>1163.1600000000001</v>
      </c>
      <c r="L470" s="80"/>
      <c r="M470" s="80">
        <f t="shared" si="62"/>
        <v>2326.3200000000002</v>
      </c>
      <c r="N470" s="79"/>
      <c r="O470" s="79"/>
      <c r="P470" s="80">
        <f t="shared" si="63"/>
        <v>0</v>
      </c>
      <c r="Q470" s="80">
        <f t="shared" si="64"/>
        <v>0</v>
      </c>
      <c r="R470" s="80">
        <f t="shared" si="65"/>
        <v>0</v>
      </c>
      <c r="S470" s="89"/>
    </row>
    <row r="471" spans="2:19" x14ac:dyDescent="0.4">
      <c r="B471" s="77">
        <v>44499</v>
      </c>
      <c r="C471" s="64"/>
      <c r="D471" s="64"/>
      <c r="E471" s="64" t="s">
        <v>471</v>
      </c>
      <c r="F471" s="64" t="s">
        <v>613</v>
      </c>
      <c r="G471" s="71" t="s">
        <v>620</v>
      </c>
      <c r="H471" s="78">
        <v>0.08</v>
      </c>
      <c r="I471" s="79">
        <f>16*3</f>
        <v>48</v>
      </c>
      <c r="J471" s="94">
        <v>284</v>
      </c>
      <c r="K471" s="80">
        <f t="shared" si="59"/>
        <v>306.72000000000003</v>
      </c>
      <c r="L471" s="80"/>
      <c r="M471" s="80">
        <f t="shared" si="62"/>
        <v>14722.560000000001</v>
      </c>
      <c r="N471" s="79"/>
      <c r="O471" s="79"/>
      <c r="P471" s="80">
        <f t="shared" si="63"/>
        <v>0</v>
      </c>
      <c r="Q471" s="80">
        <f t="shared" si="64"/>
        <v>0</v>
      </c>
      <c r="R471" s="80">
        <f t="shared" si="65"/>
        <v>0</v>
      </c>
      <c r="S471" s="89"/>
    </row>
    <row r="472" spans="2:19" x14ac:dyDescent="0.4">
      <c r="B472" s="77">
        <v>44499</v>
      </c>
      <c r="C472" s="64"/>
      <c r="D472" s="64"/>
      <c r="E472" s="64" t="s">
        <v>471</v>
      </c>
      <c r="F472" s="64" t="s">
        <v>913</v>
      </c>
      <c r="G472" s="71" t="s">
        <v>934</v>
      </c>
      <c r="H472" s="78">
        <v>0.08</v>
      </c>
      <c r="I472" s="79">
        <f>5*1</f>
        <v>5</v>
      </c>
      <c r="J472" s="94">
        <v>752</v>
      </c>
      <c r="K472" s="80">
        <f t="shared" si="59"/>
        <v>812.16000000000008</v>
      </c>
      <c r="L472" s="80"/>
      <c r="M472" s="80">
        <f t="shared" si="62"/>
        <v>4060.8</v>
      </c>
      <c r="N472" s="79"/>
      <c r="O472" s="79"/>
      <c r="P472" s="80">
        <f t="shared" si="63"/>
        <v>0</v>
      </c>
      <c r="Q472" s="80">
        <f t="shared" si="64"/>
        <v>0</v>
      </c>
      <c r="R472" s="80">
        <f t="shared" si="65"/>
        <v>0</v>
      </c>
      <c r="S472" s="89"/>
    </row>
    <row r="473" spans="2:19" x14ac:dyDescent="0.4">
      <c r="B473" s="77">
        <v>44499</v>
      </c>
      <c r="C473" s="64"/>
      <c r="D473" s="64"/>
      <c r="E473" s="64" t="s">
        <v>471</v>
      </c>
      <c r="F473" s="64" t="s">
        <v>913</v>
      </c>
      <c r="G473" s="71" t="s">
        <v>934</v>
      </c>
      <c r="H473" s="78">
        <v>0.08</v>
      </c>
      <c r="I473" s="79">
        <f>1*1</f>
        <v>1</v>
      </c>
      <c r="J473" s="94">
        <v>752</v>
      </c>
      <c r="K473" s="80">
        <f t="shared" si="59"/>
        <v>812.16000000000008</v>
      </c>
      <c r="L473" s="80"/>
      <c r="M473" s="80">
        <f t="shared" si="62"/>
        <v>812.16000000000008</v>
      </c>
      <c r="N473" s="79"/>
      <c r="O473" s="79"/>
      <c r="P473" s="80">
        <f t="shared" si="63"/>
        <v>0</v>
      </c>
      <c r="Q473" s="80">
        <f t="shared" si="64"/>
        <v>0</v>
      </c>
      <c r="R473" s="80">
        <f t="shared" si="65"/>
        <v>0</v>
      </c>
      <c r="S473" s="89"/>
    </row>
    <row r="474" spans="2:19" x14ac:dyDescent="0.4">
      <c r="B474" s="77">
        <v>44499</v>
      </c>
      <c r="C474" s="64"/>
      <c r="D474" s="64"/>
      <c r="E474" s="64" t="s">
        <v>471</v>
      </c>
      <c r="F474" s="64" t="s">
        <v>609</v>
      </c>
      <c r="G474" s="71" t="s">
        <v>615</v>
      </c>
      <c r="H474" s="78">
        <v>0.08</v>
      </c>
      <c r="I474" s="79">
        <f>8*6</f>
        <v>48</v>
      </c>
      <c r="J474" s="94">
        <v>264</v>
      </c>
      <c r="K474" s="80">
        <f t="shared" si="59"/>
        <v>285.12</v>
      </c>
      <c r="L474" s="80"/>
      <c r="M474" s="80">
        <f t="shared" si="62"/>
        <v>13685.76</v>
      </c>
      <c r="N474" s="79"/>
      <c r="O474" s="79"/>
      <c r="P474" s="80">
        <f t="shared" si="63"/>
        <v>0</v>
      </c>
      <c r="Q474" s="80">
        <f t="shared" si="64"/>
        <v>0</v>
      </c>
      <c r="R474" s="80">
        <f t="shared" si="65"/>
        <v>0</v>
      </c>
      <c r="S474" s="89"/>
    </row>
    <row r="475" spans="2:19" x14ac:dyDescent="0.4">
      <c r="B475" s="77">
        <v>44499</v>
      </c>
      <c r="C475" s="64"/>
      <c r="D475" s="64"/>
      <c r="E475" s="64" t="s">
        <v>471</v>
      </c>
      <c r="F475" s="64" t="s">
        <v>914</v>
      </c>
      <c r="G475" s="71" t="s">
        <v>935</v>
      </c>
      <c r="H475" s="78">
        <v>0.08</v>
      </c>
      <c r="I475" s="79">
        <f>5*4</f>
        <v>20</v>
      </c>
      <c r="J475" s="94">
        <v>85</v>
      </c>
      <c r="K475" s="80">
        <f t="shared" si="59"/>
        <v>91.800000000000011</v>
      </c>
      <c r="L475" s="80"/>
      <c r="M475" s="80">
        <f t="shared" si="62"/>
        <v>1836.0000000000002</v>
      </c>
      <c r="N475" s="79"/>
      <c r="O475" s="79"/>
      <c r="P475" s="80">
        <f t="shared" si="63"/>
        <v>0</v>
      </c>
      <c r="Q475" s="80">
        <f t="shared" si="64"/>
        <v>0</v>
      </c>
      <c r="R475" s="80">
        <f t="shared" si="65"/>
        <v>0</v>
      </c>
      <c r="S475" s="89"/>
    </row>
    <row r="476" spans="2:19" x14ac:dyDescent="0.4">
      <c r="B476" s="77">
        <v>44499</v>
      </c>
      <c r="C476" s="64"/>
      <c r="D476" s="64"/>
      <c r="E476" s="64" t="s">
        <v>471</v>
      </c>
      <c r="F476" s="64" t="s">
        <v>915</v>
      </c>
      <c r="G476" s="71" t="s">
        <v>936</v>
      </c>
      <c r="H476" s="78">
        <v>0.08</v>
      </c>
      <c r="I476" s="79">
        <f>5*4</f>
        <v>20</v>
      </c>
      <c r="J476" s="94">
        <v>96</v>
      </c>
      <c r="K476" s="80">
        <f t="shared" si="59"/>
        <v>103.68</v>
      </c>
      <c r="L476" s="80"/>
      <c r="M476" s="80">
        <f t="shared" si="62"/>
        <v>2073.6000000000004</v>
      </c>
      <c r="N476" s="79"/>
      <c r="O476" s="79"/>
      <c r="P476" s="80">
        <f t="shared" si="63"/>
        <v>0</v>
      </c>
      <c r="Q476" s="80">
        <f t="shared" si="64"/>
        <v>0</v>
      </c>
      <c r="R476" s="80">
        <f t="shared" si="65"/>
        <v>0</v>
      </c>
      <c r="S476" s="89"/>
    </row>
    <row r="477" spans="2:19" x14ac:dyDescent="0.4">
      <c r="B477" s="77">
        <v>44499</v>
      </c>
      <c r="C477" s="64"/>
      <c r="D477" s="64"/>
      <c r="E477" s="64" t="s">
        <v>471</v>
      </c>
      <c r="F477" s="64" t="s">
        <v>903</v>
      </c>
      <c r="G477" s="71" t="s">
        <v>925</v>
      </c>
      <c r="H477" s="78">
        <v>0.08</v>
      </c>
      <c r="I477" s="79">
        <f>10*6</f>
        <v>60</v>
      </c>
      <c r="J477" s="94">
        <v>89</v>
      </c>
      <c r="K477" s="80">
        <f t="shared" si="59"/>
        <v>96.12</v>
      </c>
      <c r="L477" s="80"/>
      <c r="M477" s="80">
        <f t="shared" si="62"/>
        <v>5767.2000000000007</v>
      </c>
      <c r="N477" s="79"/>
      <c r="O477" s="79"/>
      <c r="P477" s="80">
        <f t="shared" si="63"/>
        <v>0</v>
      </c>
      <c r="Q477" s="80">
        <f t="shared" si="64"/>
        <v>0</v>
      </c>
      <c r="R477" s="80">
        <f t="shared" si="65"/>
        <v>0</v>
      </c>
      <c r="S477" s="89">
        <f>SUM(M469:M476)</f>
        <v>43314.48</v>
      </c>
    </row>
    <row r="478" spans="2:19" x14ac:dyDescent="0.4">
      <c r="B478" s="77">
        <v>44499</v>
      </c>
      <c r="C478" s="64"/>
      <c r="D478" s="64"/>
      <c r="E478" s="64" t="s">
        <v>471</v>
      </c>
      <c r="F478" s="64" t="s">
        <v>916</v>
      </c>
      <c r="G478" s="71" t="s">
        <v>937</v>
      </c>
      <c r="H478" s="78">
        <v>0.08</v>
      </c>
      <c r="I478" s="79">
        <f>20*3</f>
        <v>60</v>
      </c>
      <c r="J478" s="94">
        <v>106</v>
      </c>
      <c r="K478" s="80">
        <f t="shared" si="59"/>
        <v>114.48</v>
      </c>
      <c r="L478" s="80"/>
      <c r="M478" s="80">
        <f t="shared" si="62"/>
        <v>6868.8</v>
      </c>
      <c r="N478" s="79"/>
      <c r="O478" s="79"/>
      <c r="P478" s="80">
        <f t="shared" si="63"/>
        <v>0</v>
      </c>
      <c r="Q478" s="80">
        <f t="shared" si="64"/>
        <v>0</v>
      </c>
      <c r="R478" s="80">
        <f t="shared" si="65"/>
        <v>0</v>
      </c>
      <c r="S478" s="89"/>
    </row>
    <row r="479" spans="2:19" x14ac:dyDescent="0.4">
      <c r="B479" s="77">
        <v>44499</v>
      </c>
      <c r="C479" s="64"/>
      <c r="D479" s="64"/>
      <c r="E479" s="64" t="s">
        <v>471</v>
      </c>
      <c r="F479" s="64" t="s">
        <v>900</v>
      </c>
      <c r="G479" s="71" t="s">
        <v>264</v>
      </c>
      <c r="H479" s="78">
        <v>0.08</v>
      </c>
      <c r="I479" s="79">
        <f>12*6</f>
        <v>72</v>
      </c>
      <c r="J479" s="94">
        <f>(5616-648)/I479</f>
        <v>69</v>
      </c>
      <c r="K479" s="80">
        <f t="shared" si="59"/>
        <v>74.52000000000001</v>
      </c>
      <c r="L479" s="80"/>
      <c r="M479" s="80">
        <f t="shared" si="62"/>
        <v>5365.4400000000005</v>
      </c>
      <c r="N479" s="79"/>
      <c r="O479" s="79"/>
      <c r="P479" s="80">
        <f t="shared" si="63"/>
        <v>0</v>
      </c>
      <c r="Q479" s="80">
        <f t="shared" si="64"/>
        <v>0</v>
      </c>
      <c r="R479" s="80">
        <f t="shared" si="65"/>
        <v>0</v>
      </c>
      <c r="S479" s="89"/>
    </row>
    <row r="480" spans="2:19" x14ac:dyDescent="0.4">
      <c r="B480" s="77">
        <v>44499</v>
      </c>
      <c r="C480" s="64"/>
      <c r="D480" s="64"/>
      <c r="E480" s="64" t="s">
        <v>471</v>
      </c>
      <c r="F480" s="64" t="s">
        <v>917</v>
      </c>
      <c r="G480" s="71" t="s">
        <v>938</v>
      </c>
      <c r="H480" s="78">
        <v>0.08</v>
      </c>
      <c r="I480" s="79">
        <f>12*4</f>
        <v>48</v>
      </c>
      <c r="J480" s="94">
        <v>94</v>
      </c>
      <c r="K480" s="80">
        <f t="shared" si="59"/>
        <v>101.52000000000001</v>
      </c>
      <c r="L480" s="80"/>
      <c r="M480" s="80">
        <f t="shared" si="62"/>
        <v>4872.9600000000009</v>
      </c>
      <c r="N480" s="79"/>
      <c r="O480" s="79"/>
      <c r="P480" s="80">
        <f t="shared" si="63"/>
        <v>0</v>
      </c>
      <c r="Q480" s="80">
        <f t="shared" si="64"/>
        <v>0</v>
      </c>
      <c r="R480" s="80">
        <f t="shared" si="65"/>
        <v>0</v>
      </c>
      <c r="S480" s="89"/>
    </row>
    <row r="481" spans="2:19" x14ac:dyDescent="0.4">
      <c r="B481" s="77">
        <v>44499</v>
      </c>
      <c r="C481" s="64"/>
      <c r="D481" s="64"/>
      <c r="E481" s="64" t="s">
        <v>471</v>
      </c>
      <c r="F481" s="64" t="s">
        <v>810</v>
      </c>
      <c r="G481" s="71" t="s">
        <v>265</v>
      </c>
      <c r="H481" s="78">
        <v>0.08</v>
      </c>
      <c r="I481" s="79">
        <f>12*6</f>
        <v>72</v>
      </c>
      <c r="J481" s="94">
        <f>(5616-432)/I481</f>
        <v>72</v>
      </c>
      <c r="K481" s="80">
        <f t="shared" ref="K481:K482" si="66">J481*108%</f>
        <v>77.760000000000005</v>
      </c>
      <c r="L481" s="80"/>
      <c r="M481" s="80">
        <f t="shared" si="62"/>
        <v>5598.72</v>
      </c>
      <c r="N481" s="79"/>
      <c r="O481" s="79"/>
      <c r="P481" s="80">
        <f t="shared" si="63"/>
        <v>0</v>
      </c>
      <c r="Q481" s="80">
        <f t="shared" si="64"/>
        <v>0</v>
      </c>
      <c r="R481" s="80">
        <f t="shared" si="65"/>
        <v>0</v>
      </c>
      <c r="S481" s="89"/>
    </row>
    <row r="482" spans="2:19" x14ac:dyDescent="0.4">
      <c r="B482" s="77">
        <v>44499</v>
      </c>
      <c r="C482" s="64"/>
      <c r="D482" s="64"/>
      <c r="E482" s="64" t="s">
        <v>471</v>
      </c>
      <c r="F482" s="64" t="s">
        <v>918</v>
      </c>
      <c r="G482" s="71" t="s">
        <v>939</v>
      </c>
      <c r="H482" s="78">
        <v>0.08</v>
      </c>
      <c r="I482" s="79">
        <f>12*4</f>
        <v>48</v>
      </c>
      <c r="J482" s="94">
        <v>94</v>
      </c>
      <c r="K482" s="80">
        <f t="shared" si="66"/>
        <v>101.52000000000001</v>
      </c>
      <c r="L482" s="80"/>
      <c r="M482" s="80">
        <f t="shared" si="62"/>
        <v>4872.9600000000009</v>
      </c>
      <c r="N482" s="79"/>
      <c r="O482" s="79"/>
      <c r="P482" s="80">
        <f t="shared" si="63"/>
        <v>0</v>
      </c>
      <c r="Q482" s="80">
        <f t="shared" si="64"/>
        <v>0</v>
      </c>
      <c r="R482" s="80">
        <f t="shared" si="65"/>
        <v>0</v>
      </c>
      <c r="S482" s="89">
        <f>SUM(M477:M482)</f>
        <v>33346.080000000002</v>
      </c>
    </row>
    <row r="483" spans="2:19" x14ac:dyDescent="0.4">
      <c r="B483" s="77">
        <v>44499</v>
      </c>
      <c r="C483" s="64"/>
      <c r="D483" s="64"/>
      <c r="E483" s="64" t="s">
        <v>471</v>
      </c>
      <c r="F483" s="64" t="s">
        <v>940</v>
      </c>
      <c r="G483" s="71" t="s">
        <v>942</v>
      </c>
      <c r="H483" s="78">
        <v>0.08</v>
      </c>
      <c r="I483" s="79">
        <f>20*3</f>
        <v>60</v>
      </c>
      <c r="J483" s="94">
        <v>86</v>
      </c>
      <c r="K483" s="80">
        <f t="shared" ref="K483:K544" si="67">J483*108%</f>
        <v>92.88000000000001</v>
      </c>
      <c r="L483" s="80"/>
      <c r="M483" s="80">
        <f t="shared" ref="M483:M540" si="68">K483*I483</f>
        <v>5572.8</v>
      </c>
      <c r="N483" s="79"/>
      <c r="O483" s="79"/>
      <c r="P483" s="80">
        <f t="shared" si="63"/>
        <v>0</v>
      </c>
      <c r="Q483" s="80">
        <f t="shared" si="64"/>
        <v>0</v>
      </c>
      <c r="R483" s="80">
        <f t="shared" si="65"/>
        <v>0</v>
      </c>
      <c r="S483" s="89"/>
    </row>
    <row r="484" spans="2:19" x14ac:dyDescent="0.4">
      <c r="B484" s="77">
        <v>44499</v>
      </c>
      <c r="C484" s="64"/>
      <c r="D484" s="64"/>
      <c r="E484" s="64" t="s">
        <v>471</v>
      </c>
      <c r="F484" s="64" t="s">
        <v>480</v>
      </c>
      <c r="G484" s="71" t="s">
        <v>271</v>
      </c>
      <c r="H484" s="78">
        <v>0.08</v>
      </c>
      <c r="I484" s="79">
        <f>12*6</f>
        <v>72</v>
      </c>
      <c r="J484" s="94">
        <v>99</v>
      </c>
      <c r="K484" s="80">
        <f t="shared" si="67"/>
        <v>106.92</v>
      </c>
      <c r="L484" s="80"/>
      <c r="M484" s="80">
        <f t="shared" si="68"/>
        <v>7698.24</v>
      </c>
      <c r="N484" s="79"/>
      <c r="O484" s="79"/>
      <c r="P484" s="80">
        <f t="shared" si="63"/>
        <v>0</v>
      </c>
      <c r="Q484" s="80">
        <f t="shared" si="64"/>
        <v>0</v>
      </c>
      <c r="R484" s="80">
        <f t="shared" si="65"/>
        <v>0</v>
      </c>
      <c r="S484" s="89"/>
    </row>
    <row r="485" spans="2:19" x14ac:dyDescent="0.4">
      <c r="B485" s="77">
        <v>44499</v>
      </c>
      <c r="C485" s="64"/>
      <c r="D485" s="64"/>
      <c r="E485" s="64" t="s">
        <v>471</v>
      </c>
      <c r="F485" s="64" t="s">
        <v>808</v>
      </c>
      <c r="G485" s="71" t="s">
        <v>277</v>
      </c>
      <c r="H485" s="78">
        <v>0.08</v>
      </c>
      <c r="I485" s="79">
        <f>18*8</f>
        <v>144</v>
      </c>
      <c r="J485" s="94">
        <v>135</v>
      </c>
      <c r="K485" s="80">
        <f t="shared" si="67"/>
        <v>145.80000000000001</v>
      </c>
      <c r="L485" s="80"/>
      <c r="M485" s="80">
        <f t="shared" si="68"/>
        <v>20995.200000000001</v>
      </c>
      <c r="N485" s="79"/>
      <c r="O485" s="79"/>
      <c r="P485" s="80">
        <f t="shared" si="63"/>
        <v>0</v>
      </c>
      <c r="Q485" s="80">
        <f t="shared" si="64"/>
        <v>0</v>
      </c>
      <c r="R485" s="80">
        <f t="shared" si="65"/>
        <v>0</v>
      </c>
      <c r="S485" s="89"/>
    </row>
    <row r="486" spans="2:19" x14ac:dyDescent="0.4">
      <c r="B486" s="77">
        <v>44499</v>
      </c>
      <c r="C486" s="64"/>
      <c r="D486" s="64"/>
      <c r="E486" s="64" t="s">
        <v>471</v>
      </c>
      <c r="F486" s="64" t="s">
        <v>479</v>
      </c>
      <c r="G486" s="71" t="s">
        <v>482</v>
      </c>
      <c r="H486" s="78">
        <v>0.08</v>
      </c>
      <c r="I486" s="79">
        <f>20*6</f>
        <v>120</v>
      </c>
      <c r="J486" s="94">
        <v>126</v>
      </c>
      <c r="K486" s="80">
        <f t="shared" si="67"/>
        <v>136.08000000000001</v>
      </c>
      <c r="L486" s="80"/>
      <c r="M486" s="80">
        <f t="shared" si="68"/>
        <v>16329.600000000002</v>
      </c>
      <c r="N486" s="79"/>
      <c r="O486" s="79"/>
      <c r="P486" s="80">
        <f t="shared" si="63"/>
        <v>0</v>
      </c>
      <c r="Q486" s="80">
        <f t="shared" si="64"/>
        <v>0</v>
      </c>
      <c r="R486" s="80">
        <f t="shared" si="65"/>
        <v>0</v>
      </c>
      <c r="S486" s="89"/>
    </row>
    <row r="487" spans="2:19" x14ac:dyDescent="0.4">
      <c r="B487" s="77">
        <v>44499</v>
      </c>
      <c r="C487" s="64"/>
      <c r="D487" s="64"/>
      <c r="E487" s="64" t="s">
        <v>471</v>
      </c>
      <c r="F487" s="64" t="s">
        <v>476</v>
      </c>
      <c r="G487" s="71" t="s">
        <v>477</v>
      </c>
      <c r="H487" s="78">
        <v>0.08</v>
      </c>
      <c r="I487" s="79">
        <f>20*2</f>
        <v>40</v>
      </c>
      <c r="J487" s="94">
        <v>126</v>
      </c>
      <c r="K487" s="80">
        <f t="shared" si="67"/>
        <v>136.08000000000001</v>
      </c>
      <c r="L487" s="80"/>
      <c r="M487" s="80">
        <f t="shared" si="68"/>
        <v>5443.2000000000007</v>
      </c>
      <c r="N487" s="79"/>
      <c r="O487" s="79"/>
      <c r="P487" s="80">
        <f t="shared" si="63"/>
        <v>0</v>
      </c>
      <c r="Q487" s="80">
        <f t="shared" si="64"/>
        <v>0</v>
      </c>
      <c r="R487" s="80">
        <f t="shared" si="65"/>
        <v>0</v>
      </c>
      <c r="S487" s="89"/>
    </row>
    <row r="488" spans="2:19" x14ac:dyDescent="0.4">
      <c r="B488" s="77">
        <v>44499</v>
      </c>
      <c r="C488" s="64"/>
      <c r="D488" s="64"/>
      <c r="E488" s="64" t="s">
        <v>471</v>
      </c>
      <c r="F488" s="64" t="s">
        <v>941</v>
      </c>
      <c r="G488" s="71" t="s">
        <v>943</v>
      </c>
      <c r="H488" s="78">
        <v>0.08</v>
      </c>
      <c r="I488" s="79">
        <f>12*6</f>
        <v>72</v>
      </c>
      <c r="J488" s="94">
        <v>131</v>
      </c>
      <c r="K488" s="80">
        <f t="shared" si="67"/>
        <v>141.48000000000002</v>
      </c>
      <c r="L488" s="80"/>
      <c r="M488" s="80">
        <f t="shared" si="68"/>
        <v>10186.560000000001</v>
      </c>
      <c r="N488" s="79"/>
      <c r="O488" s="79"/>
      <c r="P488" s="80">
        <f t="shared" si="63"/>
        <v>0</v>
      </c>
      <c r="Q488" s="80">
        <f t="shared" si="64"/>
        <v>0</v>
      </c>
      <c r="R488" s="80">
        <f t="shared" si="65"/>
        <v>0</v>
      </c>
      <c r="S488" s="89"/>
    </row>
    <row r="489" spans="2:19" x14ac:dyDescent="0.4">
      <c r="B489" s="77">
        <v>44499</v>
      </c>
      <c r="C489" s="64"/>
      <c r="D489" s="64"/>
      <c r="E489" s="64" t="s">
        <v>471</v>
      </c>
      <c r="F489" s="64" t="s">
        <v>478</v>
      </c>
      <c r="G489" s="71" t="s">
        <v>481</v>
      </c>
      <c r="H489" s="78">
        <v>0.08</v>
      </c>
      <c r="I489" s="79">
        <f>20*6</f>
        <v>120</v>
      </c>
      <c r="J489" s="94">
        <v>126</v>
      </c>
      <c r="K489" s="80">
        <f t="shared" si="67"/>
        <v>136.08000000000001</v>
      </c>
      <c r="L489" s="80"/>
      <c r="M489" s="80">
        <f t="shared" si="68"/>
        <v>16329.600000000002</v>
      </c>
      <c r="N489" s="79"/>
      <c r="O489" s="79"/>
      <c r="P489" s="80">
        <f t="shared" si="63"/>
        <v>0</v>
      </c>
      <c r="Q489" s="80">
        <f t="shared" si="64"/>
        <v>0</v>
      </c>
      <c r="R489" s="80">
        <f t="shared" si="65"/>
        <v>0</v>
      </c>
      <c r="S489" s="89"/>
    </row>
    <row r="490" spans="2:19" x14ac:dyDescent="0.4">
      <c r="B490" s="77">
        <v>44499</v>
      </c>
      <c r="C490" s="64"/>
      <c r="D490" s="64"/>
      <c r="E490" s="64" t="s">
        <v>471</v>
      </c>
      <c r="F490" s="64" t="s">
        <v>484</v>
      </c>
      <c r="G490" s="71" t="s">
        <v>272</v>
      </c>
      <c r="H490" s="78">
        <v>0.08</v>
      </c>
      <c r="I490" s="79">
        <f>12*6</f>
        <v>72</v>
      </c>
      <c r="J490" s="94">
        <v>99</v>
      </c>
      <c r="K490" s="80">
        <f t="shared" si="67"/>
        <v>106.92</v>
      </c>
      <c r="L490" s="80"/>
      <c r="M490" s="80">
        <f t="shared" si="68"/>
        <v>7698.24</v>
      </c>
      <c r="N490" s="79"/>
      <c r="O490" s="79"/>
      <c r="P490" s="80">
        <f t="shared" si="63"/>
        <v>0</v>
      </c>
      <c r="Q490" s="80">
        <f t="shared" si="64"/>
        <v>0</v>
      </c>
      <c r="R490" s="80">
        <f t="shared" si="65"/>
        <v>0</v>
      </c>
      <c r="S490" s="89">
        <f>SUM(M483:M491)</f>
        <v>96318.720000000016</v>
      </c>
    </row>
    <row r="491" spans="2:19" x14ac:dyDescent="0.4">
      <c r="B491" s="77">
        <v>44499</v>
      </c>
      <c r="C491" s="64"/>
      <c r="D491" s="64"/>
      <c r="E491" s="64" t="s">
        <v>471</v>
      </c>
      <c r="F491" s="64" t="s">
        <v>944</v>
      </c>
      <c r="G491" s="71" t="s">
        <v>950</v>
      </c>
      <c r="H491" s="78">
        <v>0.08</v>
      </c>
      <c r="I491" s="79">
        <f>12*6</f>
        <v>72</v>
      </c>
      <c r="J491" s="94">
        <v>78</v>
      </c>
      <c r="K491" s="80">
        <f t="shared" si="67"/>
        <v>84.240000000000009</v>
      </c>
      <c r="L491" s="80"/>
      <c r="M491" s="80">
        <f t="shared" si="68"/>
        <v>6065.2800000000007</v>
      </c>
      <c r="N491" s="79"/>
      <c r="O491" s="79"/>
      <c r="P491" s="80">
        <f t="shared" si="63"/>
        <v>0</v>
      </c>
      <c r="Q491" s="80">
        <f t="shared" si="64"/>
        <v>0</v>
      </c>
      <c r="R491" s="80">
        <f t="shared" si="65"/>
        <v>0</v>
      </c>
      <c r="S491" s="89"/>
    </row>
    <row r="492" spans="2:19" x14ac:dyDescent="0.4">
      <c r="B492" s="77">
        <v>44499</v>
      </c>
      <c r="C492" s="64"/>
      <c r="D492" s="64"/>
      <c r="E492" s="64" t="s">
        <v>471</v>
      </c>
      <c r="F492" s="64" t="s">
        <v>945</v>
      </c>
      <c r="G492" s="71" t="s">
        <v>951</v>
      </c>
      <c r="H492" s="78">
        <v>0.08</v>
      </c>
      <c r="I492" s="79">
        <f>12*6</f>
        <v>72</v>
      </c>
      <c r="J492" s="94">
        <v>163</v>
      </c>
      <c r="K492" s="80">
        <f t="shared" si="67"/>
        <v>176.04000000000002</v>
      </c>
      <c r="L492" s="80"/>
      <c r="M492" s="80">
        <f t="shared" si="68"/>
        <v>12674.880000000001</v>
      </c>
      <c r="N492" s="79"/>
      <c r="O492" s="79"/>
      <c r="P492" s="80">
        <f t="shared" si="63"/>
        <v>0</v>
      </c>
      <c r="Q492" s="80">
        <f t="shared" si="64"/>
        <v>0</v>
      </c>
      <c r="R492" s="80">
        <f t="shared" si="65"/>
        <v>0</v>
      </c>
      <c r="S492" s="89"/>
    </row>
    <row r="493" spans="2:19" x14ac:dyDescent="0.4">
      <c r="B493" s="77">
        <v>44499</v>
      </c>
      <c r="C493" s="64"/>
      <c r="D493" s="64"/>
      <c r="E493" s="64" t="s">
        <v>471</v>
      </c>
      <c r="F493" s="64" t="s">
        <v>897</v>
      </c>
      <c r="G493" s="71" t="s">
        <v>276</v>
      </c>
      <c r="H493" s="78">
        <v>0.08</v>
      </c>
      <c r="I493" s="79">
        <f>24*3</f>
        <v>72</v>
      </c>
      <c r="J493" s="94">
        <f>(5184-216)/I492</f>
        <v>69</v>
      </c>
      <c r="K493" s="80">
        <f t="shared" si="67"/>
        <v>74.52000000000001</v>
      </c>
      <c r="L493" s="80"/>
      <c r="M493" s="80">
        <f t="shared" si="68"/>
        <v>5365.4400000000005</v>
      </c>
      <c r="N493" s="79"/>
      <c r="O493" s="79"/>
      <c r="P493" s="80">
        <f t="shared" si="63"/>
        <v>0</v>
      </c>
      <c r="Q493" s="80">
        <f t="shared" si="64"/>
        <v>0</v>
      </c>
      <c r="R493" s="80">
        <f t="shared" si="65"/>
        <v>0</v>
      </c>
      <c r="S493" s="89"/>
    </row>
    <row r="494" spans="2:19" x14ac:dyDescent="0.4">
      <c r="B494" s="77">
        <v>44499</v>
      </c>
      <c r="C494" s="64"/>
      <c r="D494" s="64"/>
      <c r="E494" s="64" t="s">
        <v>471</v>
      </c>
      <c r="F494" s="64" t="s">
        <v>946</v>
      </c>
      <c r="G494" s="71" t="s">
        <v>952</v>
      </c>
      <c r="H494" s="78">
        <v>0.08</v>
      </c>
      <c r="I494" s="79">
        <f>12*6</f>
        <v>72</v>
      </c>
      <c r="J494" s="94">
        <v>78</v>
      </c>
      <c r="K494" s="80">
        <f t="shared" si="67"/>
        <v>84.240000000000009</v>
      </c>
      <c r="L494" s="80"/>
      <c r="M494" s="80">
        <f t="shared" si="68"/>
        <v>6065.2800000000007</v>
      </c>
      <c r="N494" s="79"/>
      <c r="O494" s="79"/>
      <c r="P494" s="80">
        <f t="shared" si="63"/>
        <v>0</v>
      </c>
      <c r="Q494" s="80">
        <f t="shared" si="64"/>
        <v>0</v>
      </c>
      <c r="R494" s="80">
        <f t="shared" si="65"/>
        <v>0</v>
      </c>
      <c r="S494" s="89"/>
    </row>
    <row r="495" spans="2:19" x14ac:dyDescent="0.4">
      <c r="B495" s="77">
        <v>44499</v>
      </c>
      <c r="C495" s="64"/>
      <c r="D495" s="64"/>
      <c r="E495" s="64" t="s">
        <v>471</v>
      </c>
      <c r="F495" s="64" t="s">
        <v>947</v>
      </c>
      <c r="G495" s="71" t="s">
        <v>953</v>
      </c>
      <c r="H495" s="78">
        <v>0.08</v>
      </c>
      <c r="I495" s="79">
        <f>24*2</f>
        <v>48</v>
      </c>
      <c r="J495" s="94">
        <v>114</v>
      </c>
      <c r="K495" s="80">
        <f t="shared" si="67"/>
        <v>123.12</v>
      </c>
      <c r="L495" s="80"/>
      <c r="M495" s="80">
        <f t="shared" si="68"/>
        <v>5909.76</v>
      </c>
      <c r="N495" s="79"/>
      <c r="O495" s="79"/>
      <c r="P495" s="80">
        <f t="shared" si="63"/>
        <v>0</v>
      </c>
      <c r="Q495" s="80">
        <f t="shared" si="64"/>
        <v>0</v>
      </c>
      <c r="R495" s="80">
        <f t="shared" si="65"/>
        <v>0</v>
      </c>
      <c r="S495" s="89"/>
    </row>
    <row r="496" spans="2:19" x14ac:dyDescent="0.4">
      <c r="B496" s="77">
        <v>44499</v>
      </c>
      <c r="C496" s="64"/>
      <c r="D496" s="64"/>
      <c r="E496" s="64" t="s">
        <v>471</v>
      </c>
      <c r="F496" s="64" t="s">
        <v>948</v>
      </c>
      <c r="G496" s="71" t="s">
        <v>954</v>
      </c>
      <c r="H496" s="78">
        <v>0.08</v>
      </c>
      <c r="I496" s="79">
        <f>10*4</f>
        <v>40</v>
      </c>
      <c r="J496" s="94">
        <v>68</v>
      </c>
      <c r="K496" s="80">
        <f t="shared" si="67"/>
        <v>73.44</v>
      </c>
      <c r="L496" s="80"/>
      <c r="M496" s="80">
        <f t="shared" si="68"/>
        <v>2937.6</v>
      </c>
      <c r="N496" s="79"/>
      <c r="O496" s="79"/>
      <c r="P496" s="80">
        <f t="shared" si="63"/>
        <v>0</v>
      </c>
      <c r="Q496" s="80">
        <f t="shared" si="64"/>
        <v>0</v>
      </c>
      <c r="R496" s="80">
        <f t="shared" si="65"/>
        <v>0</v>
      </c>
      <c r="S496" s="89"/>
    </row>
    <row r="497" spans="2:19" x14ac:dyDescent="0.4">
      <c r="B497" s="77">
        <v>44499</v>
      </c>
      <c r="C497" s="64"/>
      <c r="D497" s="64"/>
      <c r="E497" s="64" t="s">
        <v>471</v>
      </c>
      <c r="F497" s="64" t="s">
        <v>949</v>
      </c>
      <c r="G497" s="71" t="s">
        <v>955</v>
      </c>
      <c r="H497" s="78">
        <v>0.08</v>
      </c>
      <c r="I497" s="79">
        <f>24*3</f>
        <v>72</v>
      </c>
      <c r="J497" s="94">
        <v>58</v>
      </c>
      <c r="K497" s="80">
        <f t="shared" si="67"/>
        <v>62.64</v>
      </c>
      <c r="L497" s="80"/>
      <c r="M497" s="80">
        <f t="shared" si="68"/>
        <v>4510.08</v>
      </c>
      <c r="N497" s="79"/>
      <c r="O497" s="79"/>
      <c r="P497" s="80">
        <f t="shared" si="63"/>
        <v>0</v>
      </c>
      <c r="Q497" s="80">
        <f t="shared" si="64"/>
        <v>0</v>
      </c>
      <c r="R497" s="80">
        <f t="shared" si="65"/>
        <v>0</v>
      </c>
      <c r="S497" s="89">
        <f>SUM(M491:M497)</f>
        <v>43528.320000000007</v>
      </c>
    </row>
    <row r="498" spans="2:19" x14ac:dyDescent="0.4">
      <c r="B498" s="77">
        <v>44499</v>
      </c>
      <c r="C498" s="64"/>
      <c r="D498" s="64"/>
      <c r="E498" s="64" t="s">
        <v>471</v>
      </c>
      <c r="F498" s="64" t="s">
        <v>720</v>
      </c>
      <c r="G498" s="71" t="s">
        <v>733</v>
      </c>
      <c r="H498" s="78">
        <v>0.08</v>
      </c>
      <c r="I498" s="79">
        <f>10*2</f>
        <v>20</v>
      </c>
      <c r="J498" s="94">
        <v>69</v>
      </c>
      <c r="K498" s="80">
        <f t="shared" si="67"/>
        <v>74.52000000000001</v>
      </c>
      <c r="L498" s="80"/>
      <c r="M498" s="80">
        <f t="shared" si="68"/>
        <v>1490.4</v>
      </c>
      <c r="N498" s="79"/>
      <c r="O498" s="79"/>
      <c r="P498" s="80">
        <f t="shared" si="63"/>
        <v>0</v>
      </c>
      <c r="Q498" s="80">
        <f t="shared" si="64"/>
        <v>0</v>
      </c>
      <c r="R498" s="80">
        <f t="shared" si="65"/>
        <v>0</v>
      </c>
      <c r="S498" s="89"/>
    </row>
    <row r="499" spans="2:19" x14ac:dyDescent="0.4">
      <c r="B499" s="77">
        <v>44499</v>
      </c>
      <c r="C499" s="64"/>
      <c r="D499" s="64"/>
      <c r="E499" s="64" t="s">
        <v>471</v>
      </c>
      <c r="F499" s="64" t="s">
        <v>719</v>
      </c>
      <c r="G499" s="71" t="s">
        <v>732</v>
      </c>
      <c r="H499" s="78">
        <v>0.08</v>
      </c>
      <c r="I499" s="79">
        <f>10*2</f>
        <v>20</v>
      </c>
      <c r="J499" s="94">
        <v>69</v>
      </c>
      <c r="K499" s="80">
        <f t="shared" si="67"/>
        <v>74.52000000000001</v>
      </c>
      <c r="L499" s="80"/>
      <c r="M499" s="80">
        <f t="shared" si="68"/>
        <v>1490.4</v>
      </c>
      <c r="N499" s="79"/>
      <c r="O499" s="79"/>
      <c r="P499" s="80">
        <f t="shared" si="63"/>
        <v>0</v>
      </c>
      <c r="Q499" s="80">
        <f t="shared" si="64"/>
        <v>0</v>
      </c>
      <c r="R499" s="80">
        <f t="shared" si="65"/>
        <v>0</v>
      </c>
      <c r="S499" s="89"/>
    </row>
    <row r="500" spans="2:19" x14ac:dyDescent="0.4">
      <c r="B500" s="77">
        <v>44499</v>
      </c>
      <c r="C500" s="64"/>
      <c r="D500" s="64"/>
      <c r="E500" s="64" t="s">
        <v>471</v>
      </c>
      <c r="F500" s="64" t="s">
        <v>850</v>
      </c>
      <c r="G500" s="71" t="s">
        <v>267</v>
      </c>
      <c r="H500" s="78">
        <v>0.08</v>
      </c>
      <c r="I500" s="79">
        <f>20*2</f>
        <v>40</v>
      </c>
      <c r="J500" s="94">
        <v>225</v>
      </c>
      <c r="K500" s="80">
        <f t="shared" si="67"/>
        <v>243.00000000000003</v>
      </c>
      <c r="L500" s="80"/>
      <c r="M500" s="80">
        <f t="shared" si="68"/>
        <v>9720.0000000000018</v>
      </c>
      <c r="N500" s="79"/>
      <c r="O500" s="79"/>
      <c r="P500" s="80">
        <f t="shared" si="63"/>
        <v>0</v>
      </c>
      <c r="Q500" s="80">
        <f t="shared" si="64"/>
        <v>0</v>
      </c>
      <c r="R500" s="80">
        <f t="shared" si="65"/>
        <v>0</v>
      </c>
      <c r="S500" s="89"/>
    </row>
    <row r="501" spans="2:19" x14ac:dyDescent="0.4">
      <c r="B501" s="77">
        <v>44499</v>
      </c>
      <c r="C501" s="64"/>
      <c r="D501" s="64"/>
      <c r="E501" s="64" t="s">
        <v>471</v>
      </c>
      <c r="F501" s="64" t="s">
        <v>956</v>
      </c>
      <c r="G501" s="71" t="s">
        <v>968</v>
      </c>
      <c r="H501" s="78">
        <v>0.08</v>
      </c>
      <c r="I501" s="79">
        <f>20*2</f>
        <v>40</v>
      </c>
      <c r="J501" s="94">
        <v>147</v>
      </c>
      <c r="K501" s="80">
        <f t="shared" si="67"/>
        <v>158.76000000000002</v>
      </c>
      <c r="L501" s="80"/>
      <c r="M501" s="80">
        <f t="shared" si="68"/>
        <v>6350.4000000000005</v>
      </c>
      <c r="N501" s="79"/>
      <c r="O501" s="79"/>
      <c r="P501" s="80">
        <f t="shared" si="63"/>
        <v>0</v>
      </c>
      <c r="Q501" s="80">
        <f t="shared" si="64"/>
        <v>0</v>
      </c>
      <c r="R501" s="80">
        <f t="shared" si="65"/>
        <v>0</v>
      </c>
      <c r="S501" s="89"/>
    </row>
    <row r="502" spans="2:19" x14ac:dyDescent="0.4">
      <c r="B502" s="77">
        <v>44499</v>
      </c>
      <c r="C502" s="64"/>
      <c r="D502" s="64"/>
      <c r="E502" s="64" t="s">
        <v>471</v>
      </c>
      <c r="F502" s="64" t="s">
        <v>957</v>
      </c>
      <c r="G502" s="71" t="s">
        <v>969</v>
      </c>
      <c r="H502" s="78">
        <v>0.08</v>
      </c>
      <c r="I502" s="79">
        <f>12*4</f>
        <v>48</v>
      </c>
      <c r="J502" s="94">
        <v>138</v>
      </c>
      <c r="K502" s="80">
        <f t="shared" si="67"/>
        <v>149.04000000000002</v>
      </c>
      <c r="L502" s="80"/>
      <c r="M502" s="80">
        <f t="shared" si="68"/>
        <v>7153.920000000001</v>
      </c>
      <c r="N502" s="79"/>
      <c r="O502" s="79"/>
      <c r="P502" s="80">
        <f t="shared" si="63"/>
        <v>0</v>
      </c>
      <c r="Q502" s="80">
        <f t="shared" si="64"/>
        <v>0</v>
      </c>
      <c r="R502" s="80">
        <f t="shared" si="65"/>
        <v>0</v>
      </c>
      <c r="S502" s="89"/>
    </row>
    <row r="503" spans="2:19" x14ac:dyDescent="0.4">
      <c r="B503" s="77">
        <v>44499</v>
      </c>
      <c r="C503" s="64"/>
      <c r="D503" s="64"/>
      <c r="E503" s="64" t="s">
        <v>471</v>
      </c>
      <c r="F503" s="64" t="s">
        <v>708</v>
      </c>
      <c r="G503" s="71" t="s">
        <v>631</v>
      </c>
      <c r="H503" s="78">
        <v>0.08</v>
      </c>
      <c r="I503" s="79">
        <f>10*2</f>
        <v>20</v>
      </c>
      <c r="J503" s="94">
        <v>69</v>
      </c>
      <c r="K503" s="80">
        <f t="shared" si="67"/>
        <v>74.52000000000001</v>
      </c>
      <c r="L503" s="80"/>
      <c r="M503" s="80">
        <f t="shared" si="68"/>
        <v>1490.4</v>
      </c>
      <c r="N503" s="79"/>
      <c r="O503" s="79"/>
      <c r="P503" s="80">
        <f t="shared" si="63"/>
        <v>0</v>
      </c>
      <c r="Q503" s="80">
        <f t="shared" si="64"/>
        <v>0</v>
      </c>
      <c r="R503" s="80">
        <f t="shared" si="65"/>
        <v>0</v>
      </c>
      <c r="S503" s="89"/>
    </row>
    <row r="504" spans="2:19" x14ac:dyDescent="0.4">
      <c r="B504" s="77">
        <v>44499</v>
      </c>
      <c r="C504" s="64"/>
      <c r="D504" s="64"/>
      <c r="E504" s="64" t="s">
        <v>471</v>
      </c>
      <c r="F504" s="64" t="s">
        <v>958</v>
      </c>
      <c r="G504" s="71" t="s">
        <v>970</v>
      </c>
      <c r="H504" s="78">
        <v>0.1</v>
      </c>
      <c r="I504" s="79">
        <f>1*4</f>
        <v>4</v>
      </c>
      <c r="J504" s="94">
        <v>324</v>
      </c>
      <c r="K504" s="80">
        <f>J504*110%</f>
        <v>356.40000000000003</v>
      </c>
      <c r="L504" s="80"/>
      <c r="M504" s="80">
        <f t="shared" si="68"/>
        <v>1425.6000000000001</v>
      </c>
      <c r="N504" s="79"/>
      <c r="O504" s="79"/>
      <c r="P504" s="80">
        <f t="shared" si="63"/>
        <v>0</v>
      </c>
      <c r="Q504" s="80">
        <f t="shared" si="64"/>
        <v>0</v>
      </c>
      <c r="R504" s="80">
        <f t="shared" si="65"/>
        <v>0</v>
      </c>
      <c r="S504" s="89"/>
    </row>
    <row r="505" spans="2:19" x14ac:dyDescent="0.4">
      <c r="B505" s="77">
        <v>44499</v>
      </c>
      <c r="C505" s="64"/>
      <c r="D505" s="64"/>
      <c r="E505" s="64" t="s">
        <v>471</v>
      </c>
      <c r="F505" s="64" t="s">
        <v>959</v>
      </c>
      <c r="G505" s="71" t="s">
        <v>651</v>
      </c>
      <c r="H505" s="78">
        <v>0.1</v>
      </c>
      <c r="I505" s="79">
        <f>5*4</f>
        <v>20</v>
      </c>
      <c r="J505" s="94">
        <v>145</v>
      </c>
      <c r="K505" s="80">
        <f t="shared" ref="K505:K510" si="69">J505*110%</f>
        <v>159.5</v>
      </c>
      <c r="L505" s="80"/>
      <c r="M505" s="80">
        <f t="shared" si="68"/>
        <v>3190</v>
      </c>
      <c r="N505" s="79"/>
      <c r="O505" s="79"/>
      <c r="P505" s="80">
        <f t="shared" si="63"/>
        <v>0</v>
      </c>
      <c r="Q505" s="80">
        <f t="shared" si="64"/>
        <v>0</v>
      </c>
      <c r="R505" s="80">
        <f t="shared" si="65"/>
        <v>0</v>
      </c>
      <c r="S505" s="89"/>
    </row>
    <row r="506" spans="2:19" x14ac:dyDescent="0.4">
      <c r="B506" s="77">
        <v>44499</v>
      </c>
      <c r="C506" s="64"/>
      <c r="D506" s="64"/>
      <c r="E506" s="64" t="s">
        <v>471</v>
      </c>
      <c r="F506" s="64" t="s">
        <v>625</v>
      </c>
      <c r="G506" s="71" t="s">
        <v>631</v>
      </c>
      <c r="H506" s="78">
        <v>0.1</v>
      </c>
      <c r="I506" s="79">
        <f>1*6</f>
        <v>6</v>
      </c>
      <c r="J506" s="94">
        <v>242</v>
      </c>
      <c r="K506" s="80">
        <f t="shared" si="69"/>
        <v>266.20000000000005</v>
      </c>
      <c r="L506" s="80"/>
      <c r="M506" s="80">
        <f t="shared" si="68"/>
        <v>1597.2000000000003</v>
      </c>
      <c r="N506" s="79"/>
      <c r="O506" s="79"/>
      <c r="P506" s="80">
        <f t="shared" si="63"/>
        <v>0</v>
      </c>
      <c r="Q506" s="80">
        <f t="shared" si="64"/>
        <v>0</v>
      </c>
      <c r="R506" s="80">
        <f t="shared" si="65"/>
        <v>0</v>
      </c>
      <c r="S506" s="89"/>
    </row>
    <row r="507" spans="2:19" x14ac:dyDescent="0.4">
      <c r="B507" s="77">
        <v>44499</v>
      </c>
      <c r="C507" s="64"/>
      <c r="D507" s="64"/>
      <c r="E507" s="64" t="s">
        <v>471</v>
      </c>
      <c r="F507" s="64" t="s">
        <v>960</v>
      </c>
      <c r="G507" s="71" t="s">
        <v>970</v>
      </c>
      <c r="H507" s="78">
        <v>0.1</v>
      </c>
      <c r="I507" s="79">
        <f>1*4</f>
        <v>4</v>
      </c>
      <c r="J507" s="94">
        <v>411</v>
      </c>
      <c r="K507" s="80">
        <f t="shared" si="69"/>
        <v>452.1</v>
      </c>
      <c r="L507" s="80"/>
      <c r="M507" s="80">
        <f t="shared" si="68"/>
        <v>1808.4</v>
      </c>
      <c r="N507" s="79"/>
      <c r="O507" s="79"/>
      <c r="P507" s="80">
        <f t="shared" si="63"/>
        <v>0</v>
      </c>
      <c r="Q507" s="80">
        <f t="shared" si="64"/>
        <v>0</v>
      </c>
      <c r="R507" s="80">
        <f t="shared" si="65"/>
        <v>0</v>
      </c>
      <c r="S507" s="89"/>
    </row>
    <row r="508" spans="2:19" x14ac:dyDescent="0.4">
      <c r="B508" s="77">
        <v>44499</v>
      </c>
      <c r="C508" s="64"/>
      <c r="D508" s="64"/>
      <c r="E508" s="64" t="s">
        <v>471</v>
      </c>
      <c r="F508" s="64" t="s">
        <v>644</v>
      </c>
      <c r="G508" s="71" t="s">
        <v>651</v>
      </c>
      <c r="H508" s="78">
        <v>0.1</v>
      </c>
      <c r="I508" s="79">
        <f>1*4</f>
        <v>4</v>
      </c>
      <c r="J508" s="94">
        <v>162</v>
      </c>
      <c r="K508" s="80">
        <f t="shared" si="69"/>
        <v>178.20000000000002</v>
      </c>
      <c r="L508" s="80"/>
      <c r="M508" s="80">
        <f t="shared" si="68"/>
        <v>712.80000000000007</v>
      </c>
      <c r="N508" s="79"/>
      <c r="O508" s="79"/>
      <c r="P508" s="80">
        <f t="shared" si="63"/>
        <v>0</v>
      </c>
      <c r="Q508" s="80">
        <f t="shared" si="64"/>
        <v>0</v>
      </c>
      <c r="R508" s="80">
        <f t="shared" si="65"/>
        <v>0</v>
      </c>
      <c r="S508" s="89"/>
    </row>
    <row r="509" spans="2:19" x14ac:dyDescent="0.4">
      <c r="B509" s="77">
        <v>44499</v>
      </c>
      <c r="C509" s="64"/>
      <c r="D509" s="64"/>
      <c r="E509" s="64" t="s">
        <v>471</v>
      </c>
      <c r="F509" s="64" t="s">
        <v>668</v>
      </c>
      <c r="G509" s="71" t="s">
        <v>673</v>
      </c>
      <c r="H509" s="78">
        <v>0.1</v>
      </c>
      <c r="I509" s="79">
        <f>1*8</f>
        <v>8</v>
      </c>
      <c r="J509" s="94">
        <v>129</v>
      </c>
      <c r="K509" s="80">
        <f t="shared" si="69"/>
        <v>141.9</v>
      </c>
      <c r="L509" s="80"/>
      <c r="M509" s="80">
        <f t="shared" si="68"/>
        <v>1135.2</v>
      </c>
      <c r="N509" s="79"/>
      <c r="O509" s="79"/>
      <c r="P509" s="80">
        <f t="shared" si="63"/>
        <v>0</v>
      </c>
      <c r="Q509" s="80">
        <f t="shared" si="64"/>
        <v>0</v>
      </c>
      <c r="R509" s="80">
        <f t="shared" si="65"/>
        <v>0</v>
      </c>
      <c r="S509" s="89"/>
    </row>
    <row r="510" spans="2:19" x14ac:dyDescent="0.4">
      <c r="B510" s="77">
        <v>44499</v>
      </c>
      <c r="C510" s="64"/>
      <c r="D510" s="64"/>
      <c r="E510" s="64" t="s">
        <v>471</v>
      </c>
      <c r="F510" s="64" t="s">
        <v>961</v>
      </c>
      <c r="G510" s="71" t="s">
        <v>971</v>
      </c>
      <c r="H510" s="78">
        <v>0.1</v>
      </c>
      <c r="I510" s="79">
        <f>1*8</f>
        <v>8</v>
      </c>
      <c r="J510" s="94">
        <v>129</v>
      </c>
      <c r="K510" s="80">
        <f t="shared" si="69"/>
        <v>141.9</v>
      </c>
      <c r="L510" s="80"/>
      <c r="M510" s="80">
        <f t="shared" si="68"/>
        <v>1135.2</v>
      </c>
      <c r="N510" s="79"/>
      <c r="O510" s="79"/>
      <c r="P510" s="80">
        <f t="shared" si="63"/>
        <v>0</v>
      </c>
      <c r="Q510" s="80">
        <f t="shared" si="64"/>
        <v>0</v>
      </c>
      <c r="R510" s="80">
        <f t="shared" si="65"/>
        <v>0</v>
      </c>
      <c r="S510" s="89"/>
    </row>
    <row r="511" spans="2:19" x14ac:dyDescent="0.4">
      <c r="B511" s="77">
        <v>44499</v>
      </c>
      <c r="C511" s="64"/>
      <c r="D511" s="64"/>
      <c r="E511" s="64" t="s">
        <v>471</v>
      </c>
      <c r="F511" s="64" t="s">
        <v>832</v>
      </c>
      <c r="G511" s="71" t="s">
        <v>842</v>
      </c>
      <c r="H511" s="78">
        <v>0.08</v>
      </c>
      <c r="I511" s="79">
        <f>12*4</f>
        <v>48</v>
      </c>
      <c r="J511" s="94">
        <v>138</v>
      </c>
      <c r="K511" s="80">
        <f t="shared" si="67"/>
        <v>149.04000000000002</v>
      </c>
      <c r="L511" s="80"/>
      <c r="M511" s="80">
        <f t="shared" si="68"/>
        <v>7153.920000000001</v>
      </c>
      <c r="N511" s="79"/>
      <c r="O511" s="79"/>
      <c r="P511" s="80">
        <f t="shared" si="63"/>
        <v>0</v>
      </c>
      <c r="Q511" s="80">
        <f t="shared" si="64"/>
        <v>0</v>
      </c>
      <c r="R511" s="80">
        <f t="shared" si="65"/>
        <v>0</v>
      </c>
      <c r="S511" s="89"/>
    </row>
    <row r="512" spans="2:19" x14ac:dyDescent="0.4">
      <c r="B512" s="77">
        <v>44499</v>
      </c>
      <c r="C512" s="64"/>
      <c r="D512" s="64"/>
      <c r="E512" s="64" t="s">
        <v>471</v>
      </c>
      <c r="F512" s="64" t="s">
        <v>962</v>
      </c>
      <c r="G512" s="71" t="s">
        <v>972</v>
      </c>
      <c r="H512" s="78">
        <v>0.08</v>
      </c>
      <c r="I512" s="79">
        <f>10*4</f>
        <v>40</v>
      </c>
      <c r="J512" s="94">
        <v>66</v>
      </c>
      <c r="K512" s="80">
        <f t="shared" si="67"/>
        <v>71.28</v>
      </c>
      <c r="L512" s="80"/>
      <c r="M512" s="80">
        <f t="shared" si="68"/>
        <v>2851.2</v>
      </c>
      <c r="N512" s="79"/>
      <c r="O512" s="79"/>
      <c r="P512" s="80">
        <f t="shared" si="63"/>
        <v>0</v>
      </c>
      <c r="Q512" s="80">
        <f t="shared" si="64"/>
        <v>0</v>
      </c>
      <c r="R512" s="80">
        <f t="shared" si="65"/>
        <v>0</v>
      </c>
      <c r="S512" s="89"/>
    </row>
    <row r="513" spans="2:19" x14ac:dyDescent="0.4">
      <c r="B513" s="77">
        <v>44499</v>
      </c>
      <c r="C513" s="64"/>
      <c r="D513" s="64"/>
      <c r="E513" s="64" t="s">
        <v>471</v>
      </c>
      <c r="F513" s="64" t="s">
        <v>963</v>
      </c>
      <c r="G513" s="71" t="s">
        <v>662</v>
      </c>
      <c r="H513" s="78">
        <v>0.08</v>
      </c>
      <c r="I513" s="79">
        <f>1*4</f>
        <v>4</v>
      </c>
      <c r="J513" s="94">
        <v>321</v>
      </c>
      <c r="K513" s="80">
        <f t="shared" si="67"/>
        <v>346.68</v>
      </c>
      <c r="L513" s="80"/>
      <c r="M513" s="80">
        <f t="shared" si="68"/>
        <v>1386.72</v>
      </c>
      <c r="N513" s="79"/>
      <c r="O513" s="79"/>
      <c r="P513" s="80">
        <f t="shared" si="63"/>
        <v>0</v>
      </c>
      <c r="Q513" s="80">
        <f t="shared" si="64"/>
        <v>0</v>
      </c>
      <c r="R513" s="80">
        <f t="shared" si="65"/>
        <v>0</v>
      </c>
      <c r="S513" s="89"/>
    </row>
    <row r="514" spans="2:19" x14ac:dyDescent="0.4">
      <c r="B514" s="77">
        <v>44499</v>
      </c>
      <c r="C514" s="64"/>
      <c r="D514" s="64"/>
      <c r="E514" s="64" t="s">
        <v>471</v>
      </c>
      <c r="F514" s="64" t="s">
        <v>964</v>
      </c>
      <c r="G514" s="71" t="s">
        <v>650</v>
      </c>
      <c r="H514" s="78">
        <v>0.08</v>
      </c>
      <c r="I514" s="79">
        <f>1*4</f>
        <v>4</v>
      </c>
      <c r="J514" s="94">
        <v>208</v>
      </c>
      <c r="K514" s="80">
        <f t="shared" si="67"/>
        <v>224.64000000000001</v>
      </c>
      <c r="L514" s="80"/>
      <c r="M514" s="80">
        <f t="shared" si="68"/>
        <v>898.56000000000006</v>
      </c>
      <c r="N514" s="79"/>
      <c r="O514" s="79"/>
      <c r="P514" s="80">
        <f t="shared" si="63"/>
        <v>0</v>
      </c>
      <c r="Q514" s="80">
        <f t="shared" si="64"/>
        <v>0</v>
      </c>
      <c r="R514" s="80">
        <f t="shared" si="65"/>
        <v>0</v>
      </c>
      <c r="S514" s="89"/>
    </row>
    <row r="515" spans="2:19" x14ac:dyDescent="0.4">
      <c r="B515" s="77">
        <v>44499</v>
      </c>
      <c r="C515" s="64"/>
      <c r="D515" s="64"/>
      <c r="E515" s="64" t="s">
        <v>471</v>
      </c>
      <c r="F515" s="64" t="s">
        <v>965</v>
      </c>
      <c r="G515" s="71" t="s">
        <v>973</v>
      </c>
      <c r="H515" s="78">
        <v>0.08</v>
      </c>
      <c r="I515" s="79">
        <f>10*2</f>
        <v>20</v>
      </c>
      <c r="J515" s="94">
        <v>69</v>
      </c>
      <c r="K515" s="80">
        <f t="shared" si="67"/>
        <v>74.52000000000001</v>
      </c>
      <c r="L515" s="80"/>
      <c r="M515" s="80">
        <f t="shared" si="68"/>
        <v>1490.4</v>
      </c>
      <c r="N515" s="79"/>
      <c r="O515" s="79"/>
      <c r="P515" s="80">
        <f t="shared" si="63"/>
        <v>0</v>
      </c>
      <c r="Q515" s="80">
        <f t="shared" si="64"/>
        <v>0</v>
      </c>
      <c r="R515" s="80">
        <f t="shared" si="65"/>
        <v>0</v>
      </c>
      <c r="S515" s="89"/>
    </row>
    <row r="516" spans="2:19" x14ac:dyDescent="0.4">
      <c r="B516" s="77">
        <v>44499</v>
      </c>
      <c r="C516" s="64"/>
      <c r="D516" s="64"/>
      <c r="E516" s="64" t="s">
        <v>471</v>
      </c>
      <c r="F516" s="64" t="s">
        <v>966</v>
      </c>
      <c r="G516" s="71" t="s">
        <v>974</v>
      </c>
      <c r="H516" s="78">
        <v>0.08</v>
      </c>
      <c r="I516" s="79">
        <f>10*2</f>
        <v>20</v>
      </c>
      <c r="J516" s="94">
        <v>69</v>
      </c>
      <c r="K516" s="80">
        <f t="shared" si="67"/>
        <v>74.52000000000001</v>
      </c>
      <c r="L516" s="80"/>
      <c r="M516" s="80">
        <f t="shared" si="68"/>
        <v>1490.4</v>
      </c>
      <c r="N516" s="79"/>
      <c r="O516" s="79"/>
      <c r="P516" s="80">
        <f t="shared" si="63"/>
        <v>0</v>
      </c>
      <c r="Q516" s="80">
        <f t="shared" si="64"/>
        <v>0</v>
      </c>
      <c r="R516" s="80">
        <f t="shared" si="65"/>
        <v>0</v>
      </c>
      <c r="S516" s="89"/>
    </row>
    <row r="517" spans="2:19" x14ac:dyDescent="0.4">
      <c r="B517" s="77">
        <v>44499</v>
      </c>
      <c r="C517" s="64"/>
      <c r="D517" s="64"/>
      <c r="E517" s="64" t="s">
        <v>471</v>
      </c>
      <c r="F517" s="64" t="s">
        <v>967</v>
      </c>
      <c r="G517" s="71" t="s">
        <v>975</v>
      </c>
      <c r="H517" s="78">
        <v>0.08</v>
      </c>
      <c r="I517" s="79">
        <f>10*2</f>
        <v>20</v>
      </c>
      <c r="J517" s="94">
        <v>69</v>
      </c>
      <c r="K517" s="80">
        <f t="shared" si="67"/>
        <v>74.52000000000001</v>
      </c>
      <c r="L517" s="80"/>
      <c r="M517" s="80">
        <f t="shared" si="68"/>
        <v>1490.4</v>
      </c>
      <c r="N517" s="79"/>
      <c r="O517" s="79"/>
      <c r="P517" s="80">
        <f t="shared" si="63"/>
        <v>0</v>
      </c>
      <c r="Q517" s="80">
        <f t="shared" si="64"/>
        <v>0</v>
      </c>
      <c r="R517" s="80">
        <f t="shared" si="65"/>
        <v>0</v>
      </c>
      <c r="S517" s="99">
        <f>SUM(M498:M517)</f>
        <v>55461.520000000004</v>
      </c>
    </row>
    <row r="518" spans="2:19" x14ac:dyDescent="0.4">
      <c r="B518" s="77">
        <v>44499</v>
      </c>
      <c r="C518" s="64"/>
      <c r="D518" s="64"/>
      <c r="E518" s="64" t="s">
        <v>471</v>
      </c>
      <c r="F518" s="64" t="s">
        <v>879</v>
      </c>
      <c r="G518" s="71" t="s">
        <v>890</v>
      </c>
      <c r="H518" s="78">
        <v>0.08</v>
      </c>
      <c r="I518" s="79">
        <f>5*3</f>
        <v>15</v>
      </c>
      <c r="J518" s="94">
        <v>160</v>
      </c>
      <c r="K518" s="80">
        <f t="shared" si="67"/>
        <v>172.8</v>
      </c>
      <c r="L518" s="80"/>
      <c r="M518" s="80">
        <f t="shared" si="68"/>
        <v>2592</v>
      </c>
      <c r="N518" s="79"/>
      <c r="O518" s="79"/>
      <c r="P518" s="80">
        <f t="shared" si="63"/>
        <v>0</v>
      </c>
      <c r="Q518" s="80">
        <f t="shared" si="64"/>
        <v>0</v>
      </c>
      <c r="R518" s="80">
        <f t="shared" si="65"/>
        <v>0</v>
      </c>
      <c r="S518" s="89"/>
    </row>
    <row r="519" spans="2:19" x14ac:dyDescent="0.4">
      <c r="B519" s="77">
        <v>44499</v>
      </c>
      <c r="C519" s="64"/>
      <c r="D519" s="64"/>
      <c r="E519" s="64" t="s">
        <v>471</v>
      </c>
      <c r="F519" s="64" t="s">
        <v>882</v>
      </c>
      <c r="G519" s="71" t="s">
        <v>280</v>
      </c>
      <c r="H519" s="78">
        <v>0.08</v>
      </c>
      <c r="I519" s="79">
        <f>5*3</f>
        <v>15</v>
      </c>
      <c r="J519" s="94">
        <v>160</v>
      </c>
      <c r="K519" s="80">
        <f t="shared" si="67"/>
        <v>172.8</v>
      </c>
      <c r="L519" s="80"/>
      <c r="M519" s="80">
        <f t="shared" si="68"/>
        <v>2592</v>
      </c>
      <c r="N519" s="79"/>
      <c r="O519" s="79"/>
      <c r="P519" s="80">
        <f t="shared" ref="P519:P582" si="70">IFERROR(O519*J519,"")</f>
        <v>0</v>
      </c>
      <c r="Q519" s="80">
        <f t="shared" ref="Q519:Q582" si="71">IFERROR(P519*O519,"")</f>
        <v>0</v>
      </c>
      <c r="R519" s="80">
        <f t="shared" ref="R519:R582" si="72">IFERROR(Q519-P519,"")</f>
        <v>0</v>
      </c>
      <c r="S519" s="89"/>
    </row>
    <row r="520" spans="2:19" x14ac:dyDescent="0.4">
      <c r="B520" s="77">
        <v>44499</v>
      </c>
      <c r="C520" s="64"/>
      <c r="D520" s="64"/>
      <c r="E520" s="64" t="s">
        <v>471</v>
      </c>
      <c r="F520" s="64" t="s">
        <v>976</v>
      </c>
      <c r="G520" s="71" t="s">
        <v>579</v>
      </c>
      <c r="H520" s="78">
        <v>0.08</v>
      </c>
      <c r="I520" s="79">
        <f>20*2</f>
        <v>40</v>
      </c>
      <c r="J520" s="94">
        <v>259</v>
      </c>
      <c r="K520" s="80">
        <f t="shared" si="67"/>
        <v>279.72000000000003</v>
      </c>
      <c r="L520" s="80"/>
      <c r="M520" s="80">
        <f t="shared" si="68"/>
        <v>11188.800000000001</v>
      </c>
      <c r="N520" s="79"/>
      <c r="O520" s="79"/>
      <c r="P520" s="80">
        <f t="shared" si="70"/>
        <v>0</v>
      </c>
      <c r="Q520" s="80">
        <f t="shared" si="71"/>
        <v>0</v>
      </c>
      <c r="R520" s="80">
        <f t="shared" si="72"/>
        <v>0</v>
      </c>
      <c r="S520" s="89"/>
    </row>
    <row r="521" spans="2:19" x14ac:dyDescent="0.4">
      <c r="B521" s="77">
        <v>44499</v>
      </c>
      <c r="C521" s="64"/>
      <c r="D521" s="64"/>
      <c r="E521" s="64" t="s">
        <v>471</v>
      </c>
      <c r="F521" s="64" t="s">
        <v>815</v>
      </c>
      <c r="G521" s="71" t="s">
        <v>818</v>
      </c>
      <c r="H521" s="78">
        <v>0.08</v>
      </c>
      <c r="I521" s="79">
        <f>24*3</f>
        <v>72</v>
      </c>
      <c r="J521" s="94">
        <v>247</v>
      </c>
      <c r="K521" s="80">
        <f t="shared" si="67"/>
        <v>266.76</v>
      </c>
      <c r="L521" s="80"/>
      <c r="M521" s="80">
        <f t="shared" si="68"/>
        <v>19206.72</v>
      </c>
      <c r="N521" s="79"/>
      <c r="O521" s="79"/>
      <c r="P521" s="80">
        <f t="shared" si="70"/>
        <v>0</v>
      </c>
      <c r="Q521" s="80">
        <f t="shared" si="71"/>
        <v>0</v>
      </c>
      <c r="R521" s="80">
        <f t="shared" si="72"/>
        <v>0</v>
      </c>
      <c r="S521" s="89"/>
    </row>
    <row r="522" spans="2:19" x14ac:dyDescent="0.4">
      <c r="B522" s="77">
        <v>44499</v>
      </c>
      <c r="C522" s="64"/>
      <c r="D522" s="64"/>
      <c r="E522" s="64" t="s">
        <v>471</v>
      </c>
      <c r="F522" s="64" t="s">
        <v>573</v>
      </c>
      <c r="G522" s="71" t="s">
        <v>582</v>
      </c>
      <c r="H522" s="78">
        <v>0.08</v>
      </c>
      <c r="I522" s="79">
        <f>10*4</f>
        <v>40</v>
      </c>
      <c r="J522" s="94">
        <v>242</v>
      </c>
      <c r="K522" s="80">
        <f t="shared" si="67"/>
        <v>261.36</v>
      </c>
      <c r="L522" s="80"/>
      <c r="M522" s="80">
        <f t="shared" si="68"/>
        <v>10454.400000000001</v>
      </c>
      <c r="N522" s="79"/>
      <c r="O522" s="79"/>
      <c r="P522" s="80">
        <f t="shared" si="70"/>
        <v>0</v>
      </c>
      <c r="Q522" s="80">
        <f t="shared" si="71"/>
        <v>0</v>
      </c>
      <c r="R522" s="80">
        <f t="shared" si="72"/>
        <v>0</v>
      </c>
      <c r="S522" s="89"/>
    </row>
    <row r="523" spans="2:19" x14ac:dyDescent="0.4">
      <c r="B523" s="77">
        <v>44499</v>
      </c>
      <c r="C523" s="64"/>
      <c r="D523" s="64"/>
      <c r="E523" s="64" t="s">
        <v>471</v>
      </c>
      <c r="F523" s="64" t="s">
        <v>857</v>
      </c>
      <c r="G523" s="71" t="s">
        <v>266</v>
      </c>
      <c r="H523" s="78">
        <v>0.08</v>
      </c>
      <c r="I523" s="79">
        <f>12*4</f>
        <v>48</v>
      </c>
      <c r="J523" s="94">
        <v>153</v>
      </c>
      <c r="K523" s="80">
        <f t="shared" si="67"/>
        <v>165.24</v>
      </c>
      <c r="L523" s="80"/>
      <c r="M523" s="80">
        <f t="shared" si="68"/>
        <v>7931.52</v>
      </c>
      <c r="N523" s="79"/>
      <c r="O523" s="79"/>
      <c r="P523" s="80">
        <f t="shared" si="70"/>
        <v>0</v>
      </c>
      <c r="Q523" s="80">
        <f t="shared" si="71"/>
        <v>0</v>
      </c>
      <c r="R523" s="80">
        <f t="shared" si="72"/>
        <v>0</v>
      </c>
      <c r="S523" s="89"/>
    </row>
    <row r="524" spans="2:19" x14ac:dyDescent="0.4">
      <c r="B524" s="77">
        <v>44499</v>
      </c>
      <c r="C524" s="64"/>
      <c r="D524" s="64"/>
      <c r="E524" s="64" t="s">
        <v>471</v>
      </c>
      <c r="F524" s="64" t="s">
        <v>977</v>
      </c>
      <c r="G524" s="71" t="s">
        <v>981</v>
      </c>
      <c r="H524" s="78">
        <v>0.08</v>
      </c>
      <c r="I524" s="79">
        <f>1*6</f>
        <v>6</v>
      </c>
      <c r="J524" s="94">
        <v>720</v>
      </c>
      <c r="K524" s="80">
        <f t="shared" si="67"/>
        <v>777.6</v>
      </c>
      <c r="L524" s="80"/>
      <c r="M524" s="80">
        <f t="shared" si="68"/>
        <v>4665.6000000000004</v>
      </c>
      <c r="N524" s="79"/>
      <c r="O524" s="79"/>
      <c r="P524" s="80">
        <f t="shared" si="70"/>
        <v>0</v>
      </c>
      <c r="Q524" s="80">
        <f t="shared" si="71"/>
        <v>0</v>
      </c>
      <c r="R524" s="80">
        <f t="shared" si="72"/>
        <v>0</v>
      </c>
      <c r="S524" s="89"/>
    </row>
    <row r="525" spans="2:19" x14ac:dyDescent="0.4">
      <c r="B525" s="77">
        <v>44499</v>
      </c>
      <c r="C525" s="64"/>
      <c r="D525" s="64"/>
      <c r="E525" s="64" t="s">
        <v>471</v>
      </c>
      <c r="F525" s="64" t="s">
        <v>978</v>
      </c>
      <c r="G525" s="71" t="s">
        <v>983</v>
      </c>
      <c r="H525" s="78">
        <v>0.08</v>
      </c>
      <c r="I525" s="79">
        <f>1*4</f>
        <v>4</v>
      </c>
      <c r="J525" s="94">
        <v>735</v>
      </c>
      <c r="K525" s="80">
        <f t="shared" si="67"/>
        <v>793.80000000000007</v>
      </c>
      <c r="L525" s="80"/>
      <c r="M525" s="80">
        <f t="shared" si="68"/>
        <v>3175.2000000000003</v>
      </c>
      <c r="N525" s="79"/>
      <c r="O525" s="79"/>
      <c r="P525" s="80">
        <f t="shared" si="70"/>
        <v>0</v>
      </c>
      <c r="Q525" s="80">
        <f t="shared" si="71"/>
        <v>0</v>
      </c>
      <c r="R525" s="80">
        <f t="shared" si="72"/>
        <v>0</v>
      </c>
      <c r="S525" s="89"/>
    </row>
    <row r="526" spans="2:19" x14ac:dyDescent="0.4">
      <c r="B526" s="77">
        <v>44499</v>
      </c>
      <c r="C526" s="64"/>
      <c r="D526" s="64"/>
      <c r="E526" s="64" t="s">
        <v>471</v>
      </c>
      <c r="F526" s="64" t="s">
        <v>979</v>
      </c>
      <c r="G526" s="71" t="s">
        <v>598</v>
      </c>
      <c r="H526" s="78">
        <v>0.08</v>
      </c>
      <c r="I526" s="79">
        <f>30*2</f>
        <v>60</v>
      </c>
      <c r="J526" s="94">
        <v>267</v>
      </c>
      <c r="K526" s="80">
        <f t="shared" si="67"/>
        <v>288.36</v>
      </c>
      <c r="L526" s="80"/>
      <c r="M526" s="80">
        <f t="shared" si="68"/>
        <v>17301.600000000002</v>
      </c>
      <c r="N526" s="79"/>
      <c r="O526" s="79"/>
      <c r="P526" s="80">
        <f t="shared" si="70"/>
        <v>0</v>
      </c>
      <c r="Q526" s="80">
        <f t="shared" si="71"/>
        <v>0</v>
      </c>
      <c r="R526" s="80">
        <f t="shared" si="72"/>
        <v>0</v>
      </c>
      <c r="S526" s="89"/>
    </row>
    <row r="527" spans="2:19" x14ac:dyDescent="0.4">
      <c r="B527" s="77">
        <v>44499</v>
      </c>
      <c r="C527" s="64"/>
      <c r="D527" s="64"/>
      <c r="E527" s="64" t="s">
        <v>471</v>
      </c>
      <c r="F527" s="64" t="s">
        <v>980</v>
      </c>
      <c r="G527" s="71" t="s">
        <v>982</v>
      </c>
      <c r="H527" s="78">
        <v>0.08</v>
      </c>
      <c r="I527" s="79">
        <f>1*10</f>
        <v>10</v>
      </c>
      <c r="J527" s="94">
        <v>238</v>
      </c>
      <c r="K527" s="80">
        <f t="shared" si="67"/>
        <v>257.04000000000002</v>
      </c>
      <c r="L527" s="80"/>
      <c r="M527" s="80">
        <f t="shared" si="68"/>
        <v>2570.4</v>
      </c>
      <c r="N527" s="79"/>
      <c r="O527" s="79"/>
      <c r="P527" s="80">
        <f t="shared" si="70"/>
        <v>0</v>
      </c>
      <c r="Q527" s="80">
        <f t="shared" si="71"/>
        <v>0</v>
      </c>
      <c r="R527" s="80">
        <f t="shared" si="72"/>
        <v>0</v>
      </c>
      <c r="S527" s="89"/>
    </row>
    <row r="528" spans="2:19" x14ac:dyDescent="0.4">
      <c r="B528" s="77">
        <v>44499</v>
      </c>
      <c r="C528" s="64"/>
      <c r="D528" s="64"/>
      <c r="E528" s="64" t="s">
        <v>471</v>
      </c>
      <c r="F528" s="64" t="s">
        <v>611</v>
      </c>
      <c r="G528" s="71" t="s">
        <v>617</v>
      </c>
      <c r="H528" s="78">
        <v>0.08</v>
      </c>
      <c r="I528" s="79">
        <f>10*1</f>
        <v>10</v>
      </c>
      <c r="J528" s="94">
        <v>285</v>
      </c>
      <c r="K528" s="80">
        <f t="shared" si="67"/>
        <v>307.8</v>
      </c>
      <c r="L528" s="80"/>
      <c r="M528" s="80">
        <f t="shared" si="68"/>
        <v>3078</v>
      </c>
      <c r="N528" s="79"/>
      <c r="O528" s="79"/>
      <c r="P528" s="80">
        <f t="shared" si="70"/>
        <v>0</v>
      </c>
      <c r="Q528" s="80">
        <f t="shared" si="71"/>
        <v>0</v>
      </c>
      <c r="R528" s="80">
        <f t="shared" si="72"/>
        <v>0</v>
      </c>
      <c r="S528" s="89">
        <f>SUM(M518:M528)</f>
        <v>84756.239999999991</v>
      </c>
    </row>
    <row r="529" spans="2:19" x14ac:dyDescent="0.4">
      <c r="B529" s="77">
        <v>44499</v>
      </c>
      <c r="C529" s="64"/>
      <c r="D529" s="64"/>
      <c r="E529" s="64" t="s">
        <v>471</v>
      </c>
      <c r="F529" s="64" t="s">
        <v>763</v>
      </c>
      <c r="G529" s="71" t="s">
        <v>775</v>
      </c>
      <c r="H529" s="78">
        <v>0.08</v>
      </c>
      <c r="I529" s="79">
        <f>24*1</f>
        <v>24</v>
      </c>
      <c r="J529" s="94">
        <v>135</v>
      </c>
      <c r="K529" s="80">
        <f t="shared" si="67"/>
        <v>145.80000000000001</v>
      </c>
      <c r="L529" s="80"/>
      <c r="M529" s="80">
        <f t="shared" si="68"/>
        <v>3499.2000000000003</v>
      </c>
      <c r="N529" s="79"/>
      <c r="O529" s="79"/>
      <c r="P529" s="80">
        <f t="shared" si="70"/>
        <v>0</v>
      </c>
      <c r="Q529" s="80">
        <f t="shared" si="71"/>
        <v>0</v>
      </c>
      <c r="R529" s="80">
        <f t="shared" si="72"/>
        <v>0</v>
      </c>
      <c r="S529" s="89"/>
    </row>
    <row r="530" spans="2:19" x14ac:dyDescent="0.4">
      <c r="B530" s="77">
        <v>44499</v>
      </c>
      <c r="C530" s="64"/>
      <c r="D530" s="64"/>
      <c r="E530" s="64" t="s">
        <v>471</v>
      </c>
      <c r="F530" s="64" t="s">
        <v>763</v>
      </c>
      <c r="G530" s="71" t="s">
        <v>775</v>
      </c>
      <c r="H530" s="78">
        <v>0.08</v>
      </c>
      <c r="I530" s="79">
        <f>6*2</f>
        <v>12</v>
      </c>
      <c r="J530" s="94">
        <v>135</v>
      </c>
      <c r="K530" s="80">
        <f t="shared" si="67"/>
        <v>145.80000000000001</v>
      </c>
      <c r="L530" s="80"/>
      <c r="M530" s="80">
        <f t="shared" si="68"/>
        <v>1749.6000000000001</v>
      </c>
      <c r="N530" s="79"/>
      <c r="O530" s="79"/>
      <c r="P530" s="80">
        <f t="shared" si="70"/>
        <v>0</v>
      </c>
      <c r="Q530" s="80">
        <f t="shared" si="71"/>
        <v>0</v>
      </c>
      <c r="R530" s="80">
        <f t="shared" si="72"/>
        <v>0</v>
      </c>
      <c r="S530" s="89"/>
    </row>
    <row r="531" spans="2:19" x14ac:dyDescent="0.4">
      <c r="B531" s="77">
        <v>44499</v>
      </c>
      <c r="C531" s="64"/>
      <c r="D531" s="64"/>
      <c r="E531" s="64" t="s">
        <v>471</v>
      </c>
      <c r="F531" s="64" t="s">
        <v>984</v>
      </c>
      <c r="G531" s="71" t="s">
        <v>989</v>
      </c>
      <c r="H531" s="78">
        <v>0.08</v>
      </c>
      <c r="I531" s="79">
        <f>24*5</f>
        <v>120</v>
      </c>
      <c r="J531" s="94">
        <v>78</v>
      </c>
      <c r="K531" s="80">
        <f t="shared" si="67"/>
        <v>84.240000000000009</v>
      </c>
      <c r="L531" s="80"/>
      <c r="M531" s="80">
        <f t="shared" si="68"/>
        <v>10108.800000000001</v>
      </c>
      <c r="N531" s="79"/>
      <c r="O531" s="79"/>
      <c r="P531" s="80">
        <f t="shared" si="70"/>
        <v>0</v>
      </c>
      <c r="Q531" s="80">
        <f t="shared" si="71"/>
        <v>0</v>
      </c>
      <c r="R531" s="80">
        <f t="shared" si="72"/>
        <v>0</v>
      </c>
      <c r="S531" s="89"/>
    </row>
    <row r="532" spans="2:19" x14ac:dyDescent="0.4">
      <c r="B532" s="77">
        <v>44499</v>
      </c>
      <c r="C532" s="64"/>
      <c r="D532" s="64"/>
      <c r="E532" s="64" t="s">
        <v>471</v>
      </c>
      <c r="F532" s="64" t="s">
        <v>985</v>
      </c>
      <c r="G532" s="71" t="s">
        <v>990</v>
      </c>
      <c r="H532" s="78">
        <v>0.08</v>
      </c>
      <c r="I532" s="79">
        <f>24*5</f>
        <v>120</v>
      </c>
      <c r="J532" s="94">
        <v>78</v>
      </c>
      <c r="K532" s="80">
        <f t="shared" si="67"/>
        <v>84.240000000000009</v>
      </c>
      <c r="L532" s="80"/>
      <c r="M532" s="80">
        <f t="shared" si="68"/>
        <v>10108.800000000001</v>
      </c>
      <c r="N532" s="79"/>
      <c r="O532" s="79"/>
      <c r="P532" s="80">
        <f t="shared" si="70"/>
        <v>0</v>
      </c>
      <c r="Q532" s="80">
        <f t="shared" si="71"/>
        <v>0</v>
      </c>
      <c r="R532" s="80">
        <f t="shared" si="72"/>
        <v>0</v>
      </c>
      <c r="S532" s="89"/>
    </row>
    <row r="533" spans="2:19" x14ac:dyDescent="0.4">
      <c r="B533" s="77">
        <v>44499</v>
      </c>
      <c r="C533" s="64"/>
      <c r="D533" s="64"/>
      <c r="E533" s="64" t="s">
        <v>471</v>
      </c>
      <c r="F533" s="64" t="s">
        <v>986</v>
      </c>
      <c r="G533" s="71" t="s">
        <v>991</v>
      </c>
      <c r="H533" s="78">
        <v>0.08</v>
      </c>
      <c r="I533" s="79">
        <f>24*1</f>
        <v>24</v>
      </c>
      <c r="J533" s="94">
        <v>79</v>
      </c>
      <c r="K533" s="80">
        <f t="shared" si="67"/>
        <v>85.320000000000007</v>
      </c>
      <c r="L533" s="80"/>
      <c r="M533" s="80">
        <f t="shared" si="68"/>
        <v>2047.6800000000003</v>
      </c>
      <c r="N533" s="79"/>
      <c r="O533" s="79"/>
      <c r="P533" s="80">
        <f t="shared" si="70"/>
        <v>0</v>
      </c>
      <c r="Q533" s="80">
        <f t="shared" si="71"/>
        <v>0</v>
      </c>
      <c r="R533" s="80">
        <f t="shared" si="72"/>
        <v>0</v>
      </c>
      <c r="S533" s="89"/>
    </row>
    <row r="534" spans="2:19" x14ac:dyDescent="0.4">
      <c r="B534" s="77">
        <v>44499</v>
      </c>
      <c r="C534" s="64"/>
      <c r="D534" s="64"/>
      <c r="E534" s="64" t="s">
        <v>471</v>
      </c>
      <c r="F534" s="64" t="s">
        <v>987</v>
      </c>
      <c r="G534" s="71" t="s">
        <v>992</v>
      </c>
      <c r="H534" s="78">
        <v>0.08</v>
      </c>
      <c r="I534" s="79">
        <f>24*4</f>
        <v>96</v>
      </c>
      <c r="J534" s="94">
        <v>76</v>
      </c>
      <c r="K534" s="80">
        <f t="shared" si="67"/>
        <v>82.080000000000013</v>
      </c>
      <c r="L534" s="80"/>
      <c r="M534" s="80">
        <f t="shared" si="68"/>
        <v>7879.6800000000012</v>
      </c>
      <c r="N534" s="79"/>
      <c r="O534" s="79"/>
      <c r="P534" s="80">
        <f t="shared" si="70"/>
        <v>0</v>
      </c>
      <c r="Q534" s="80">
        <f t="shared" si="71"/>
        <v>0</v>
      </c>
      <c r="R534" s="80">
        <f t="shared" si="72"/>
        <v>0</v>
      </c>
      <c r="S534" s="89"/>
    </row>
    <row r="535" spans="2:19" x14ac:dyDescent="0.4">
      <c r="B535" s="77">
        <v>44499</v>
      </c>
      <c r="C535" s="64"/>
      <c r="D535" s="64"/>
      <c r="E535" s="64" t="s">
        <v>471</v>
      </c>
      <c r="F535" s="64" t="s">
        <v>988</v>
      </c>
      <c r="G535" s="71" t="s">
        <v>993</v>
      </c>
      <c r="H535" s="78">
        <v>0.08</v>
      </c>
      <c r="I535" s="79">
        <f>24*5</f>
        <v>120</v>
      </c>
      <c r="J535" s="94">
        <v>89</v>
      </c>
      <c r="K535" s="80">
        <f t="shared" si="67"/>
        <v>96.12</v>
      </c>
      <c r="L535" s="80"/>
      <c r="M535" s="80">
        <f t="shared" si="68"/>
        <v>11534.400000000001</v>
      </c>
      <c r="N535" s="79"/>
      <c r="O535" s="79"/>
      <c r="P535" s="80">
        <f t="shared" si="70"/>
        <v>0</v>
      </c>
      <c r="Q535" s="80">
        <f t="shared" si="71"/>
        <v>0</v>
      </c>
      <c r="R535" s="80">
        <f t="shared" si="72"/>
        <v>0</v>
      </c>
      <c r="S535" s="89">
        <f>SUM(M529:M535)</f>
        <v>46928.160000000003</v>
      </c>
    </row>
    <row r="536" spans="2:19" x14ac:dyDescent="0.4">
      <c r="B536" s="77">
        <v>44499</v>
      </c>
      <c r="C536" s="64"/>
      <c r="D536" s="64"/>
      <c r="E536" s="64" t="s">
        <v>471</v>
      </c>
      <c r="F536" s="64" t="s">
        <v>994</v>
      </c>
      <c r="G536" s="71" t="s">
        <v>998</v>
      </c>
      <c r="H536" s="78">
        <v>0.08</v>
      </c>
      <c r="I536" s="79">
        <f>30*4</f>
        <v>120</v>
      </c>
      <c r="J536" s="94">
        <v>65</v>
      </c>
      <c r="K536" s="80">
        <f t="shared" si="67"/>
        <v>70.2</v>
      </c>
      <c r="L536" s="80"/>
      <c r="M536" s="80">
        <f t="shared" si="68"/>
        <v>8424</v>
      </c>
      <c r="N536" s="79"/>
      <c r="O536" s="79"/>
      <c r="P536" s="80">
        <f t="shared" si="70"/>
        <v>0</v>
      </c>
      <c r="Q536" s="80">
        <f t="shared" si="71"/>
        <v>0</v>
      </c>
      <c r="R536" s="80">
        <f t="shared" si="72"/>
        <v>0</v>
      </c>
      <c r="S536" s="89"/>
    </row>
    <row r="537" spans="2:19" x14ac:dyDescent="0.4">
      <c r="B537" s="77">
        <v>44499</v>
      </c>
      <c r="C537" s="64"/>
      <c r="D537" s="64"/>
      <c r="E537" s="64" t="s">
        <v>471</v>
      </c>
      <c r="F537" s="64" t="s">
        <v>995</v>
      </c>
      <c r="G537" s="71" t="s">
        <v>270</v>
      </c>
      <c r="H537" s="78">
        <v>0.08</v>
      </c>
      <c r="I537" s="79">
        <f>24*4</f>
        <v>96</v>
      </c>
      <c r="J537" s="94">
        <v>57</v>
      </c>
      <c r="K537" s="80">
        <f t="shared" si="67"/>
        <v>61.56</v>
      </c>
      <c r="L537" s="80"/>
      <c r="M537" s="80">
        <f t="shared" si="68"/>
        <v>5909.76</v>
      </c>
      <c r="N537" s="79"/>
      <c r="O537" s="79"/>
      <c r="P537" s="80">
        <f t="shared" si="70"/>
        <v>0</v>
      </c>
      <c r="Q537" s="80">
        <f t="shared" si="71"/>
        <v>0</v>
      </c>
      <c r="R537" s="80">
        <f t="shared" si="72"/>
        <v>0</v>
      </c>
      <c r="S537" s="89"/>
    </row>
    <row r="538" spans="2:19" x14ac:dyDescent="0.4">
      <c r="B538" s="77">
        <v>44499</v>
      </c>
      <c r="C538" s="64"/>
      <c r="D538" s="64"/>
      <c r="E538" s="64" t="s">
        <v>471</v>
      </c>
      <c r="F538" s="64" t="s">
        <v>996</v>
      </c>
      <c r="G538" s="71" t="s">
        <v>999</v>
      </c>
      <c r="H538" s="78">
        <v>0.08</v>
      </c>
      <c r="I538" s="79">
        <f>24*6</f>
        <v>144</v>
      </c>
      <c r="J538" s="94">
        <v>49</v>
      </c>
      <c r="K538" s="80">
        <f t="shared" si="67"/>
        <v>52.92</v>
      </c>
      <c r="L538" s="80"/>
      <c r="M538" s="80">
        <f t="shared" si="68"/>
        <v>7620.4800000000005</v>
      </c>
      <c r="N538" s="79"/>
      <c r="O538" s="79"/>
      <c r="P538" s="80">
        <f t="shared" si="70"/>
        <v>0</v>
      </c>
      <c r="Q538" s="80">
        <f t="shared" si="71"/>
        <v>0</v>
      </c>
      <c r="R538" s="80">
        <f t="shared" si="72"/>
        <v>0</v>
      </c>
      <c r="S538" s="89"/>
    </row>
    <row r="539" spans="2:19" x14ac:dyDescent="0.4">
      <c r="B539" s="77">
        <v>44499</v>
      </c>
      <c r="C539" s="64"/>
      <c r="D539" s="64"/>
      <c r="E539" s="64" t="s">
        <v>471</v>
      </c>
      <c r="F539" s="64" t="s">
        <v>997</v>
      </c>
      <c r="G539" s="71" t="s">
        <v>260</v>
      </c>
      <c r="H539" s="78">
        <v>0.08</v>
      </c>
      <c r="I539" s="79">
        <f>30*6</f>
        <v>180</v>
      </c>
      <c r="J539" s="94">
        <v>65</v>
      </c>
      <c r="K539" s="80">
        <f t="shared" si="67"/>
        <v>70.2</v>
      </c>
      <c r="L539" s="80"/>
      <c r="M539" s="80">
        <f t="shared" si="68"/>
        <v>12636</v>
      </c>
      <c r="N539" s="79"/>
      <c r="O539" s="79"/>
      <c r="P539" s="80">
        <f t="shared" si="70"/>
        <v>0</v>
      </c>
      <c r="Q539" s="80">
        <f t="shared" si="71"/>
        <v>0</v>
      </c>
      <c r="R539" s="80">
        <f t="shared" si="72"/>
        <v>0</v>
      </c>
      <c r="S539" s="89"/>
    </row>
    <row r="540" spans="2:19" x14ac:dyDescent="0.4">
      <c r="B540" s="77">
        <v>44499</v>
      </c>
      <c r="C540" s="64"/>
      <c r="D540" s="64"/>
      <c r="E540" s="64" t="s">
        <v>471</v>
      </c>
      <c r="F540" s="64" t="s">
        <v>678</v>
      </c>
      <c r="G540" s="71" t="s">
        <v>685</v>
      </c>
      <c r="H540" s="78">
        <v>0.08</v>
      </c>
      <c r="I540" s="79">
        <f>24*6</f>
        <v>144</v>
      </c>
      <c r="J540" s="94">
        <v>105</v>
      </c>
      <c r="K540" s="80">
        <f t="shared" si="67"/>
        <v>113.4</v>
      </c>
      <c r="L540" s="80"/>
      <c r="M540" s="80">
        <f t="shared" si="68"/>
        <v>16329.6</v>
      </c>
      <c r="N540" s="79"/>
      <c r="O540" s="79"/>
      <c r="P540" s="80">
        <f t="shared" si="70"/>
        <v>0</v>
      </c>
      <c r="Q540" s="80">
        <f t="shared" si="71"/>
        <v>0</v>
      </c>
      <c r="R540" s="80">
        <f t="shared" si="72"/>
        <v>0</v>
      </c>
      <c r="S540" s="89">
        <f>SUM(M536:M540)</f>
        <v>50919.840000000004</v>
      </c>
    </row>
    <row r="541" spans="2:19" x14ac:dyDescent="0.4">
      <c r="B541" s="77">
        <v>44499</v>
      </c>
      <c r="C541" s="64"/>
      <c r="D541" s="64"/>
      <c r="E541" s="64" t="s">
        <v>471</v>
      </c>
      <c r="F541" s="64" t="s">
        <v>1000</v>
      </c>
      <c r="G541" s="71" t="s">
        <v>1003</v>
      </c>
      <c r="H541" s="78">
        <v>0.08</v>
      </c>
      <c r="I541" s="79">
        <f>12*3</f>
        <v>36</v>
      </c>
      <c r="J541" s="94">
        <v>164</v>
      </c>
      <c r="K541" s="80">
        <f t="shared" si="67"/>
        <v>177.12</v>
      </c>
      <c r="L541" s="80"/>
      <c r="M541" s="80">
        <f t="shared" ref="M541:M604" si="73">K541*I541</f>
        <v>6376.32</v>
      </c>
      <c r="N541" s="79"/>
      <c r="O541" s="79"/>
      <c r="P541" s="80">
        <f t="shared" si="70"/>
        <v>0</v>
      </c>
      <c r="Q541" s="80">
        <f t="shared" si="71"/>
        <v>0</v>
      </c>
      <c r="R541" s="80">
        <f t="shared" si="72"/>
        <v>0</v>
      </c>
      <c r="S541" s="89"/>
    </row>
    <row r="542" spans="2:19" x14ac:dyDescent="0.4">
      <c r="B542" s="77">
        <v>44499</v>
      </c>
      <c r="C542" s="64"/>
      <c r="D542" s="64"/>
      <c r="E542" s="64" t="s">
        <v>471</v>
      </c>
      <c r="F542" s="64" t="s">
        <v>1001</v>
      </c>
      <c r="G542" s="71" t="s">
        <v>1004</v>
      </c>
      <c r="H542" s="78">
        <v>0.08</v>
      </c>
      <c r="I542" s="79">
        <f>24*6</f>
        <v>144</v>
      </c>
      <c r="J542" s="94">
        <v>69</v>
      </c>
      <c r="K542" s="80">
        <f t="shared" si="67"/>
        <v>74.52000000000001</v>
      </c>
      <c r="L542" s="80"/>
      <c r="M542" s="80">
        <f t="shared" si="73"/>
        <v>10730.880000000001</v>
      </c>
      <c r="N542" s="79"/>
      <c r="O542" s="79"/>
      <c r="P542" s="80">
        <f t="shared" si="70"/>
        <v>0</v>
      </c>
      <c r="Q542" s="80">
        <f t="shared" si="71"/>
        <v>0</v>
      </c>
      <c r="R542" s="80">
        <f t="shared" si="72"/>
        <v>0</v>
      </c>
      <c r="S542" s="89"/>
    </row>
    <row r="543" spans="2:19" x14ac:dyDescent="0.4">
      <c r="B543" s="77">
        <v>44499</v>
      </c>
      <c r="C543" s="64"/>
      <c r="D543" s="64"/>
      <c r="E543" s="64" t="s">
        <v>471</v>
      </c>
      <c r="F543" s="64" t="s">
        <v>806</v>
      </c>
      <c r="G543" s="71" t="s">
        <v>261</v>
      </c>
      <c r="H543" s="78">
        <v>0.08</v>
      </c>
      <c r="I543" s="79">
        <f>24*6</f>
        <v>144</v>
      </c>
      <c r="J543" s="94">
        <v>70</v>
      </c>
      <c r="K543" s="80">
        <f t="shared" si="67"/>
        <v>75.600000000000009</v>
      </c>
      <c r="L543" s="80"/>
      <c r="M543" s="80">
        <f t="shared" si="73"/>
        <v>10886.400000000001</v>
      </c>
      <c r="N543" s="79"/>
      <c r="O543" s="79"/>
      <c r="P543" s="80">
        <f t="shared" si="70"/>
        <v>0</v>
      </c>
      <c r="Q543" s="80">
        <f t="shared" si="71"/>
        <v>0</v>
      </c>
      <c r="R543" s="80">
        <f t="shared" si="72"/>
        <v>0</v>
      </c>
      <c r="S543" s="89"/>
    </row>
    <row r="544" spans="2:19" x14ac:dyDescent="0.4">
      <c r="B544" s="77">
        <v>44499</v>
      </c>
      <c r="C544" s="64"/>
      <c r="D544" s="64"/>
      <c r="E544" s="64" t="s">
        <v>471</v>
      </c>
      <c r="F544" s="64" t="s">
        <v>1002</v>
      </c>
      <c r="G544" s="71" t="s">
        <v>1005</v>
      </c>
      <c r="H544" s="78">
        <v>0.08</v>
      </c>
      <c r="I544" s="79">
        <f>12*3</f>
        <v>36</v>
      </c>
      <c r="J544" s="94">
        <v>164</v>
      </c>
      <c r="K544" s="80">
        <f t="shared" si="67"/>
        <v>177.12</v>
      </c>
      <c r="L544" s="80"/>
      <c r="M544" s="80">
        <f t="shared" si="73"/>
        <v>6376.32</v>
      </c>
      <c r="N544" s="79"/>
      <c r="O544" s="79"/>
      <c r="P544" s="80">
        <f t="shared" si="70"/>
        <v>0</v>
      </c>
      <c r="Q544" s="80">
        <f t="shared" si="71"/>
        <v>0</v>
      </c>
      <c r="R544" s="80">
        <f t="shared" si="72"/>
        <v>0</v>
      </c>
      <c r="S544" s="89">
        <f>SUM(M541:M544)</f>
        <v>34369.919999999998</v>
      </c>
    </row>
    <row r="545" spans="2:19" x14ac:dyDescent="0.4">
      <c r="B545" s="77">
        <v>44499</v>
      </c>
      <c r="C545" s="64"/>
      <c r="D545" s="64"/>
      <c r="E545" s="64" t="s">
        <v>471</v>
      </c>
      <c r="F545" s="64" t="s">
        <v>1006</v>
      </c>
      <c r="G545" s="71" t="s">
        <v>1008</v>
      </c>
      <c r="H545" s="78">
        <v>0.1</v>
      </c>
      <c r="I545" s="79">
        <f>1*8</f>
        <v>8</v>
      </c>
      <c r="J545" s="94">
        <v>83</v>
      </c>
      <c r="K545" s="80">
        <f>J545*110%</f>
        <v>91.300000000000011</v>
      </c>
      <c r="L545" s="80"/>
      <c r="M545" s="80">
        <f t="shared" si="73"/>
        <v>730.40000000000009</v>
      </c>
      <c r="N545" s="79"/>
      <c r="O545" s="79"/>
      <c r="P545" s="80">
        <f t="shared" si="70"/>
        <v>0</v>
      </c>
      <c r="Q545" s="80">
        <f t="shared" si="71"/>
        <v>0</v>
      </c>
      <c r="R545" s="80">
        <f t="shared" si="72"/>
        <v>0</v>
      </c>
      <c r="S545" s="89"/>
    </row>
    <row r="546" spans="2:19" x14ac:dyDescent="0.4">
      <c r="B546" s="77">
        <v>44499</v>
      </c>
      <c r="C546" s="64"/>
      <c r="D546" s="64"/>
      <c r="E546" s="64" t="s">
        <v>471</v>
      </c>
      <c r="F546" s="64" t="s">
        <v>1007</v>
      </c>
      <c r="G546" s="71" t="s">
        <v>1009</v>
      </c>
      <c r="H546" s="78">
        <v>0.1</v>
      </c>
      <c r="I546" s="79">
        <f>1*6</f>
        <v>6</v>
      </c>
      <c r="J546" s="94">
        <v>171</v>
      </c>
      <c r="K546" s="80">
        <f>J546*110%</f>
        <v>188.10000000000002</v>
      </c>
      <c r="L546" s="80"/>
      <c r="M546" s="80">
        <f t="shared" si="73"/>
        <v>1128.6000000000001</v>
      </c>
      <c r="N546" s="79"/>
      <c r="O546" s="79"/>
      <c r="P546" s="80">
        <f t="shared" si="70"/>
        <v>0</v>
      </c>
      <c r="Q546" s="80">
        <f t="shared" si="71"/>
        <v>0</v>
      </c>
      <c r="R546" s="80">
        <f t="shared" si="72"/>
        <v>0</v>
      </c>
      <c r="S546" s="89">
        <f>SUM(M545:M546)</f>
        <v>1859.0000000000002</v>
      </c>
    </row>
    <row r="547" spans="2:19" x14ac:dyDescent="0.4">
      <c r="B547" s="77">
        <v>44500</v>
      </c>
      <c r="C547" s="64"/>
      <c r="D547" s="64"/>
      <c r="E547" s="64" t="s">
        <v>471</v>
      </c>
      <c r="F547" s="64" t="s">
        <v>1010</v>
      </c>
      <c r="G547" s="71" t="s">
        <v>1012</v>
      </c>
      <c r="H547" s="78">
        <v>0.08</v>
      </c>
      <c r="I547" s="79">
        <f>48*3</f>
        <v>144</v>
      </c>
      <c r="J547" s="94">
        <v>69</v>
      </c>
      <c r="K547" s="80">
        <f t="shared" ref="K547:K608" si="74">J547*108%</f>
        <v>74.52000000000001</v>
      </c>
      <c r="L547" s="80"/>
      <c r="M547" s="80">
        <f t="shared" si="73"/>
        <v>10730.880000000001</v>
      </c>
      <c r="N547" s="79"/>
      <c r="O547" s="79"/>
      <c r="P547" s="80">
        <f t="shared" si="70"/>
        <v>0</v>
      </c>
      <c r="Q547" s="80">
        <f t="shared" si="71"/>
        <v>0</v>
      </c>
      <c r="R547" s="80">
        <f t="shared" si="72"/>
        <v>0</v>
      </c>
      <c r="S547" s="89"/>
    </row>
    <row r="548" spans="2:19" x14ac:dyDescent="0.4">
      <c r="B548" s="77">
        <v>44500</v>
      </c>
      <c r="C548" s="64"/>
      <c r="D548" s="64"/>
      <c r="E548" s="64" t="s">
        <v>471</v>
      </c>
      <c r="F548" s="64" t="s">
        <v>1011</v>
      </c>
      <c r="G548" s="71" t="s">
        <v>1013</v>
      </c>
      <c r="H548" s="78">
        <v>0.08</v>
      </c>
      <c r="I548" s="79">
        <f>120*3</f>
        <v>360</v>
      </c>
      <c r="J548" s="94">
        <v>104</v>
      </c>
      <c r="K548" s="80">
        <f t="shared" si="74"/>
        <v>112.32000000000001</v>
      </c>
      <c r="L548" s="80"/>
      <c r="M548" s="80">
        <f t="shared" si="73"/>
        <v>40435.200000000004</v>
      </c>
      <c r="N548" s="79"/>
      <c r="O548" s="79"/>
      <c r="P548" s="80">
        <f t="shared" si="70"/>
        <v>0</v>
      </c>
      <c r="Q548" s="80">
        <f t="shared" si="71"/>
        <v>0</v>
      </c>
      <c r="R548" s="80">
        <f t="shared" si="72"/>
        <v>0</v>
      </c>
      <c r="S548" s="89">
        <f>SUM(M547:M549)</f>
        <v>55015.200000000004</v>
      </c>
    </row>
    <row r="549" spans="2:19" x14ac:dyDescent="0.4">
      <c r="B549" s="77">
        <v>44500</v>
      </c>
      <c r="C549" s="64"/>
      <c r="D549" s="64"/>
      <c r="E549" s="64" t="s">
        <v>471</v>
      </c>
      <c r="F549" s="64" t="s">
        <v>1014</v>
      </c>
      <c r="G549" s="71" t="s">
        <v>1017</v>
      </c>
      <c r="H549" s="78">
        <v>0.08</v>
      </c>
      <c r="I549" s="79">
        <f>12*3</f>
        <v>36</v>
      </c>
      <c r="J549" s="94">
        <v>99</v>
      </c>
      <c r="K549" s="80">
        <f t="shared" si="74"/>
        <v>106.92</v>
      </c>
      <c r="L549" s="80"/>
      <c r="M549" s="80">
        <f t="shared" si="73"/>
        <v>3849.12</v>
      </c>
      <c r="N549" s="79"/>
      <c r="O549" s="79"/>
      <c r="P549" s="80">
        <f t="shared" si="70"/>
        <v>0</v>
      </c>
      <c r="Q549" s="80">
        <f t="shared" si="71"/>
        <v>0</v>
      </c>
      <c r="R549" s="80">
        <f t="shared" si="72"/>
        <v>0</v>
      </c>
      <c r="S549" s="89"/>
    </row>
    <row r="550" spans="2:19" x14ac:dyDescent="0.4">
      <c r="B550" s="77">
        <v>44500</v>
      </c>
      <c r="C550" s="64"/>
      <c r="D550" s="64"/>
      <c r="E550" s="64" t="s">
        <v>471</v>
      </c>
      <c r="F550" s="64" t="s">
        <v>1015</v>
      </c>
      <c r="G550" s="71" t="s">
        <v>1018</v>
      </c>
      <c r="H550" s="78">
        <v>0.08</v>
      </c>
      <c r="I550" s="79">
        <f>15*6</f>
        <v>90</v>
      </c>
      <c r="J550" s="94">
        <v>173</v>
      </c>
      <c r="K550" s="80">
        <f t="shared" si="74"/>
        <v>186.84</v>
      </c>
      <c r="L550" s="80"/>
      <c r="M550" s="80">
        <f t="shared" si="73"/>
        <v>16815.599999999999</v>
      </c>
      <c r="N550" s="79"/>
      <c r="O550" s="79"/>
      <c r="P550" s="80">
        <f t="shared" si="70"/>
        <v>0</v>
      </c>
      <c r="Q550" s="80">
        <f t="shared" si="71"/>
        <v>0</v>
      </c>
      <c r="R550" s="80">
        <f t="shared" si="72"/>
        <v>0</v>
      </c>
      <c r="S550" s="89"/>
    </row>
    <row r="551" spans="2:19" x14ac:dyDescent="0.4">
      <c r="B551" s="77">
        <v>44500</v>
      </c>
      <c r="C551" s="64"/>
      <c r="D551" s="64"/>
      <c r="E551" s="64" t="s">
        <v>471</v>
      </c>
      <c r="F551" s="64" t="s">
        <v>1016</v>
      </c>
      <c r="G551" s="71" t="s">
        <v>567</v>
      </c>
      <c r="H551" s="78">
        <v>0.08</v>
      </c>
      <c r="I551" s="79">
        <f>60*3</f>
        <v>180</v>
      </c>
      <c r="J551" s="94">
        <v>169</v>
      </c>
      <c r="K551" s="80">
        <f t="shared" si="74"/>
        <v>182.52</v>
      </c>
      <c r="L551" s="80"/>
      <c r="M551" s="80">
        <f t="shared" si="73"/>
        <v>32853.599999999999</v>
      </c>
      <c r="N551" s="79"/>
      <c r="O551" s="79"/>
      <c r="P551" s="80">
        <f t="shared" si="70"/>
        <v>0</v>
      </c>
      <c r="Q551" s="80">
        <f t="shared" si="71"/>
        <v>0</v>
      </c>
      <c r="R551" s="80">
        <f t="shared" si="72"/>
        <v>0</v>
      </c>
      <c r="S551" s="89">
        <f>SUM(M549:M551)</f>
        <v>53518.319999999992</v>
      </c>
    </row>
    <row r="552" spans="2:19" x14ac:dyDescent="0.4">
      <c r="B552" s="77">
        <v>44500</v>
      </c>
      <c r="C552" s="64"/>
      <c r="D552" s="64"/>
      <c r="E552" s="64" t="s">
        <v>471</v>
      </c>
      <c r="F552" s="64" t="s">
        <v>1019</v>
      </c>
      <c r="G552" s="71" t="s">
        <v>1023</v>
      </c>
      <c r="H552" s="78">
        <v>0.08</v>
      </c>
      <c r="I552" s="79">
        <f>24*3</f>
        <v>72</v>
      </c>
      <c r="J552" s="94">
        <v>41.2</v>
      </c>
      <c r="K552" s="80">
        <f t="shared" si="74"/>
        <v>44.496000000000009</v>
      </c>
      <c r="L552" s="80"/>
      <c r="M552" s="80">
        <f t="shared" si="73"/>
        <v>3203.7120000000004</v>
      </c>
      <c r="N552" s="79"/>
      <c r="O552" s="79"/>
      <c r="P552" s="80">
        <f t="shared" si="70"/>
        <v>0</v>
      </c>
      <c r="Q552" s="80">
        <f t="shared" si="71"/>
        <v>0</v>
      </c>
      <c r="R552" s="80">
        <f t="shared" si="72"/>
        <v>0</v>
      </c>
      <c r="S552" s="89"/>
    </row>
    <row r="553" spans="2:19" x14ac:dyDescent="0.4">
      <c r="B553" s="77">
        <v>44500</v>
      </c>
      <c r="C553" s="64"/>
      <c r="D553" s="64"/>
      <c r="E553" s="64" t="s">
        <v>471</v>
      </c>
      <c r="F553" s="64" t="s">
        <v>810</v>
      </c>
      <c r="G553" s="71" t="s">
        <v>265</v>
      </c>
      <c r="H553" s="78">
        <v>0.08</v>
      </c>
      <c r="I553" s="79">
        <f>12*3</f>
        <v>36</v>
      </c>
      <c r="J553" s="94">
        <v>78</v>
      </c>
      <c r="K553" s="80">
        <f t="shared" si="74"/>
        <v>84.240000000000009</v>
      </c>
      <c r="L553" s="80"/>
      <c r="M553" s="80">
        <f t="shared" si="73"/>
        <v>3032.6400000000003</v>
      </c>
      <c r="N553" s="79"/>
      <c r="O553" s="79"/>
      <c r="P553" s="80">
        <f t="shared" si="70"/>
        <v>0</v>
      </c>
      <c r="Q553" s="80">
        <f t="shared" si="71"/>
        <v>0</v>
      </c>
      <c r="R553" s="80">
        <f t="shared" si="72"/>
        <v>0</v>
      </c>
      <c r="S553" s="89"/>
    </row>
    <row r="554" spans="2:19" x14ac:dyDescent="0.4">
      <c r="B554" s="77">
        <v>44500</v>
      </c>
      <c r="C554" s="64"/>
      <c r="D554" s="64"/>
      <c r="E554" s="64" t="s">
        <v>471</v>
      </c>
      <c r="F554" s="64" t="s">
        <v>1020</v>
      </c>
      <c r="G554" s="71" t="s">
        <v>1024</v>
      </c>
      <c r="H554" s="78">
        <v>0.08</v>
      </c>
      <c r="I554" s="79">
        <f>12*3</f>
        <v>36</v>
      </c>
      <c r="J554" s="94">
        <v>80</v>
      </c>
      <c r="K554" s="80">
        <f t="shared" si="74"/>
        <v>86.4</v>
      </c>
      <c r="L554" s="80"/>
      <c r="M554" s="80">
        <f t="shared" si="73"/>
        <v>3110.4</v>
      </c>
      <c r="N554" s="79"/>
      <c r="O554" s="79"/>
      <c r="P554" s="80">
        <f t="shared" si="70"/>
        <v>0</v>
      </c>
      <c r="Q554" s="80">
        <f t="shared" si="71"/>
        <v>0</v>
      </c>
      <c r="R554" s="80">
        <f t="shared" si="72"/>
        <v>0</v>
      </c>
      <c r="S554" s="89"/>
    </row>
    <row r="555" spans="2:19" x14ac:dyDescent="0.4">
      <c r="B555" s="77">
        <v>44500</v>
      </c>
      <c r="C555" s="64"/>
      <c r="D555" s="64"/>
      <c r="E555" s="64" t="s">
        <v>471</v>
      </c>
      <c r="F555" s="64" t="s">
        <v>949</v>
      </c>
      <c r="G555" s="71" t="s">
        <v>955</v>
      </c>
      <c r="H555" s="78">
        <v>0.08</v>
      </c>
      <c r="I555" s="79">
        <f>24*1</f>
        <v>24</v>
      </c>
      <c r="J555" s="94">
        <v>62</v>
      </c>
      <c r="K555" s="80">
        <f t="shared" si="74"/>
        <v>66.960000000000008</v>
      </c>
      <c r="L555" s="80"/>
      <c r="M555" s="80">
        <f t="shared" si="73"/>
        <v>1607.0400000000002</v>
      </c>
      <c r="N555" s="79"/>
      <c r="O555" s="79"/>
      <c r="P555" s="80">
        <f t="shared" si="70"/>
        <v>0</v>
      </c>
      <c r="Q555" s="80">
        <f t="shared" si="71"/>
        <v>0</v>
      </c>
      <c r="R555" s="80">
        <f t="shared" si="72"/>
        <v>0</v>
      </c>
      <c r="S555" s="89"/>
    </row>
    <row r="556" spans="2:19" x14ac:dyDescent="0.4">
      <c r="B556" s="77">
        <v>44500</v>
      </c>
      <c r="C556" s="64"/>
      <c r="D556" s="64"/>
      <c r="E556" s="64" t="s">
        <v>471</v>
      </c>
      <c r="F556" s="64" t="s">
        <v>949</v>
      </c>
      <c r="G556" s="71" t="s">
        <v>955</v>
      </c>
      <c r="H556" s="78">
        <v>0.08</v>
      </c>
      <c r="I556" s="79">
        <f>12*1</f>
        <v>12</v>
      </c>
      <c r="J556" s="94">
        <v>62</v>
      </c>
      <c r="K556" s="80">
        <f t="shared" si="74"/>
        <v>66.960000000000008</v>
      </c>
      <c r="L556" s="80"/>
      <c r="M556" s="80">
        <f t="shared" si="73"/>
        <v>803.5200000000001</v>
      </c>
      <c r="N556" s="79"/>
      <c r="O556" s="79"/>
      <c r="P556" s="80">
        <f t="shared" si="70"/>
        <v>0</v>
      </c>
      <c r="Q556" s="80">
        <f t="shared" si="71"/>
        <v>0</v>
      </c>
      <c r="R556" s="80">
        <f t="shared" si="72"/>
        <v>0</v>
      </c>
      <c r="S556" s="89"/>
    </row>
    <row r="557" spans="2:19" x14ac:dyDescent="0.4">
      <c r="B557" s="77">
        <v>44500</v>
      </c>
      <c r="C557" s="64"/>
      <c r="D557" s="64"/>
      <c r="E557" s="64" t="s">
        <v>471</v>
      </c>
      <c r="F557" s="64" t="s">
        <v>897</v>
      </c>
      <c r="G557" s="71" t="s">
        <v>276</v>
      </c>
      <c r="H557" s="78">
        <v>0.08</v>
      </c>
      <c r="I557" s="79">
        <f>24*1</f>
        <v>24</v>
      </c>
      <c r="J557" s="94">
        <v>77</v>
      </c>
      <c r="K557" s="80">
        <f t="shared" si="74"/>
        <v>83.160000000000011</v>
      </c>
      <c r="L557" s="80"/>
      <c r="M557" s="80">
        <f t="shared" si="73"/>
        <v>1995.8400000000001</v>
      </c>
      <c r="N557" s="79"/>
      <c r="O557" s="79"/>
      <c r="P557" s="80">
        <f t="shared" si="70"/>
        <v>0</v>
      </c>
      <c r="Q557" s="80">
        <f t="shared" si="71"/>
        <v>0</v>
      </c>
      <c r="R557" s="80">
        <f t="shared" si="72"/>
        <v>0</v>
      </c>
      <c r="S557" s="89"/>
    </row>
    <row r="558" spans="2:19" x14ac:dyDescent="0.4">
      <c r="B558" s="77">
        <v>44500</v>
      </c>
      <c r="C558" s="64"/>
      <c r="D558" s="64"/>
      <c r="E558" s="64" t="s">
        <v>471</v>
      </c>
      <c r="F558" s="64" t="s">
        <v>897</v>
      </c>
      <c r="G558" s="71" t="s">
        <v>276</v>
      </c>
      <c r="H558" s="78">
        <v>0.08</v>
      </c>
      <c r="I558" s="79">
        <f>12*1</f>
        <v>12</v>
      </c>
      <c r="J558" s="94">
        <v>77</v>
      </c>
      <c r="K558" s="80">
        <f t="shared" si="74"/>
        <v>83.160000000000011</v>
      </c>
      <c r="L558" s="80"/>
      <c r="M558" s="80">
        <f t="shared" si="73"/>
        <v>997.92000000000007</v>
      </c>
      <c r="N558" s="79"/>
      <c r="O558" s="79"/>
      <c r="P558" s="80">
        <f t="shared" si="70"/>
        <v>0</v>
      </c>
      <c r="Q558" s="80">
        <f t="shared" si="71"/>
        <v>0</v>
      </c>
      <c r="R558" s="80">
        <f t="shared" si="72"/>
        <v>0</v>
      </c>
      <c r="S558" s="89"/>
    </row>
    <row r="559" spans="2:19" x14ac:dyDescent="0.4">
      <c r="B559" s="77">
        <v>44500</v>
      </c>
      <c r="C559" s="64"/>
      <c r="D559" s="64"/>
      <c r="E559" s="64" t="s">
        <v>471</v>
      </c>
      <c r="F559" s="64" t="s">
        <v>1021</v>
      </c>
      <c r="G559" s="71" t="s">
        <v>1025</v>
      </c>
      <c r="H559" s="78">
        <v>0.08</v>
      </c>
      <c r="I559" s="79">
        <f>12*3</f>
        <v>36</v>
      </c>
      <c r="J559" s="94">
        <v>66</v>
      </c>
      <c r="K559" s="80">
        <f t="shared" si="74"/>
        <v>71.28</v>
      </c>
      <c r="L559" s="80"/>
      <c r="M559" s="80">
        <f t="shared" si="73"/>
        <v>2566.08</v>
      </c>
      <c r="N559" s="79"/>
      <c r="O559" s="79"/>
      <c r="P559" s="80">
        <f t="shared" si="70"/>
        <v>0</v>
      </c>
      <c r="Q559" s="80">
        <f t="shared" si="71"/>
        <v>0</v>
      </c>
      <c r="R559" s="80">
        <f t="shared" si="72"/>
        <v>0</v>
      </c>
      <c r="S559" s="89"/>
    </row>
    <row r="560" spans="2:19" x14ac:dyDescent="0.4">
      <c r="B560" s="77">
        <v>44500</v>
      </c>
      <c r="C560" s="64"/>
      <c r="D560" s="64"/>
      <c r="E560" s="64" t="s">
        <v>471</v>
      </c>
      <c r="F560" s="64" t="s">
        <v>1022</v>
      </c>
      <c r="G560" s="71" t="s">
        <v>263</v>
      </c>
      <c r="H560" s="78">
        <v>0.08</v>
      </c>
      <c r="I560" s="79">
        <f>12*3</f>
        <v>36</v>
      </c>
      <c r="J560" s="94">
        <v>78</v>
      </c>
      <c r="K560" s="80">
        <f t="shared" si="74"/>
        <v>84.240000000000009</v>
      </c>
      <c r="L560" s="80"/>
      <c r="M560" s="80">
        <f t="shared" si="73"/>
        <v>3032.6400000000003</v>
      </c>
      <c r="N560" s="79"/>
      <c r="O560" s="79"/>
      <c r="P560" s="80">
        <f t="shared" si="70"/>
        <v>0</v>
      </c>
      <c r="Q560" s="80">
        <f t="shared" si="71"/>
        <v>0</v>
      </c>
      <c r="R560" s="80">
        <f t="shared" si="72"/>
        <v>0</v>
      </c>
      <c r="S560" s="89">
        <f>SUM(M552:M560)</f>
        <v>20349.792000000001</v>
      </c>
    </row>
    <row r="561" spans="2:19" x14ac:dyDescent="0.4">
      <c r="B561" s="77">
        <v>44500</v>
      </c>
      <c r="C561" s="64"/>
      <c r="D561" s="64"/>
      <c r="E561" s="64" t="s">
        <v>471</v>
      </c>
      <c r="F561" s="64" t="s">
        <v>1026</v>
      </c>
      <c r="G561" s="71" t="s">
        <v>675</v>
      </c>
      <c r="H561" s="78">
        <v>0.1</v>
      </c>
      <c r="I561" s="79">
        <f>12*6</f>
        <v>72</v>
      </c>
      <c r="J561" s="94">
        <v>235</v>
      </c>
      <c r="K561" s="80">
        <f>J561*110%</f>
        <v>258.5</v>
      </c>
      <c r="L561" s="80"/>
      <c r="M561" s="80">
        <f t="shared" si="73"/>
        <v>18612</v>
      </c>
      <c r="N561" s="79"/>
      <c r="O561" s="79"/>
      <c r="P561" s="80">
        <f t="shared" si="70"/>
        <v>0</v>
      </c>
      <c r="Q561" s="80">
        <f t="shared" si="71"/>
        <v>0</v>
      </c>
      <c r="R561" s="80">
        <f t="shared" si="72"/>
        <v>0</v>
      </c>
      <c r="S561" s="89">
        <f>SUM(M561)</f>
        <v>18612</v>
      </c>
    </row>
    <row r="562" spans="2:19" x14ac:dyDescent="0.4">
      <c r="B562" s="77">
        <v>44500</v>
      </c>
      <c r="C562" s="64"/>
      <c r="D562" s="64"/>
      <c r="E562" s="64" t="s">
        <v>471</v>
      </c>
      <c r="F562" s="64" t="s">
        <v>667</v>
      </c>
      <c r="G562" s="71" t="s">
        <v>672</v>
      </c>
      <c r="H562" s="78">
        <v>0.1</v>
      </c>
      <c r="I562" s="79">
        <f>8*4</f>
        <v>32</v>
      </c>
      <c r="J562" s="94">
        <v>380</v>
      </c>
      <c r="K562" s="80">
        <f t="shared" si="74"/>
        <v>410.40000000000003</v>
      </c>
      <c r="L562" s="80"/>
      <c r="M562" s="80">
        <f>K562*I562</f>
        <v>13132.800000000001</v>
      </c>
      <c r="N562" s="79"/>
      <c r="O562" s="79"/>
      <c r="P562" s="80">
        <f t="shared" si="70"/>
        <v>0</v>
      </c>
      <c r="Q562" s="80">
        <f t="shared" si="71"/>
        <v>0</v>
      </c>
      <c r="R562" s="80">
        <f t="shared" si="72"/>
        <v>0</v>
      </c>
      <c r="S562" s="89">
        <f>SUM(M562)</f>
        <v>13132.800000000001</v>
      </c>
    </row>
    <row r="563" spans="2:19" x14ac:dyDescent="0.4">
      <c r="B563" s="77">
        <v>44500</v>
      </c>
      <c r="C563" s="64"/>
      <c r="D563" s="64"/>
      <c r="E563" s="64" t="s">
        <v>471</v>
      </c>
      <c r="F563" s="64" t="s">
        <v>1027</v>
      </c>
      <c r="G563" s="71" t="s">
        <v>294</v>
      </c>
      <c r="H563" s="78">
        <v>0.08</v>
      </c>
      <c r="I563" s="79">
        <f>36*2</f>
        <v>72</v>
      </c>
      <c r="J563" s="94">
        <f>(9360-144)/I563</f>
        <v>128</v>
      </c>
      <c r="K563" s="80">
        <f t="shared" si="74"/>
        <v>138.24</v>
      </c>
      <c r="L563" s="80"/>
      <c r="M563" s="80">
        <f t="shared" si="73"/>
        <v>9953.2800000000007</v>
      </c>
      <c r="N563" s="79"/>
      <c r="O563" s="79"/>
      <c r="P563" s="80">
        <f t="shared" si="70"/>
        <v>0</v>
      </c>
      <c r="Q563" s="80">
        <f t="shared" si="71"/>
        <v>0</v>
      </c>
      <c r="R563" s="80">
        <f t="shared" si="72"/>
        <v>0</v>
      </c>
      <c r="S563" s="100"/>
    </row>
    <row r="564" spans="2:19" x14ac:dyDescent="0.4">
      <c r="B564" s="77">
        <v>44500</v>
      </c>
      <c r="C564" s="64"/>
      <c r="D564" s="64"/>
      <c r="E564" s="64" t="s">
        <v>471</v>
      </c>
      <c r="F564" s="64" t="s">
        <v>476</v>
      </c>
      <c r="G564" s="71" t="s">
        <v>477</v>
      </c>
      <c r="H564" s="78">
        <v>0.08</v>
      </c>
      <c r="I564" s="79">
        <f>20*3</f>
        <v>60</v>
      </c>
      <c r="J564" s="94">
        <v>126</v>
      </c>
      <c r="K564" s="80">
        <f t="shared" si="74"/>
        <v>136.08000000000001</v>
      </c>
      <c r="L564" s="80"/>
      <c r="M564" s="80">
        <f t="shared" si="73"/>
        <v>8164.8000000000011</v>
      </c>
      <c r="N564" s="79"/>
      <c r="O564" s="79"/>
      <c r="P564" s="80">
        <f t="shared" si="70"/>
        <v>0</v>
      </c>
      <c r="Q564" s="80">
        <f t="shared" si="71"/>
        <v>0</v>
      </c>
      <c r="R564" s="80">
        <f t="shared" si="72"/>
        <v>0</v>
      </c>
    </row>
    <row r="565" spans="2:19" x14ac:dyDescent="0.4">
      <c r="B565" s="77">
        <v>44500</v>
      </c>
      <c r="C565" s="64"/>
      <c r="D565" s="64"/>
      <c r="E565" s="64" t="s">
        <v>471</v>
      </c>
      <c r="F565" s="64" t="s">
        <v>478</v>
      </c>
      <c r="G565" s="71" t="s">
        <v>481</v>
      </c>
      <c r="H565" s="78">
        <v>0.08</v>
      </c>
      <c r="I565" s="79">
        <f>20*3</f>
        <v>60</v>
      </c>
      <c r="J565" s="94">
        <v>126</v>
      </c>
      <c r="K565" s="80">
        <f t="shared" si="74"/>
        <v>136.08000000000001</v>
      </c>
      <c r="L565" s="80"/>
      <c r="M565" s="80">
        <f t="shared" si="73"/>
        <v>8164.8000000000011</v>
      </c>
      <c r="N565" s="79"/>
      <c r="O565" s="79"/>
      <c r="P565" s="80">
        <f t="shared" si="70"/>
        <v>0</v>
      </c>
      <c r="Q565" s="80">
        <f t="shared" si="71"/>
        <v>0</v>
      </c>
      <c r="R565" s="80">
        <f t="shared" si="72"/>
        <v>0</v>
      </c>
    </row>
    <row r="566" spans="2:19" x14ac:dyDescent="0.4">
      <c r="B566" s="77">
        <v>44500</v>
      </c>
      <c r="C566" s="64"/>
      <c r="D566" s="64"/>
      <c r="E566" s="64" t="s">
        <v>471</v>
      </c>
      <c r="F566" s="64" t="s">
        <v>910</v>
      </c>
      <c r="G566" s="71" t="s">
        <v>1029</v>
      </c>
      <c r="H566" s="78">
        <v>0.08</v>
      </c>
      <c r="I566" s="79">
        <f>20*4</f>
        <v>80</v>
      </c>
      <c r="J566" s="94">
        <v>86</v>
      </c>
      <c r="K566" s="80">
        <f t="shared" si="74"/>
        <v>92.88000000000001</v>
      </c>
      <c r="L566" s="80"/>
      <c r="M566" s="80">
        <f t="shared" si="73"/>
        <v>7430.4000000000005</v>
      </c>
      <c r="N566" s="79"/>
      <c r="O566" s="79"/>
      <c r="P566" s="80">
        <f t="shared" si="70"/>
        <v>0</v>
      </c>
      <c r="Q566" s="80">
        <f t="shared" si="71"/>
        <v>0</v>
      </c>
      <c r="R566" s="80">
        <f t="shared" si="72"/>
        <v>0</v>
      </c>
    </row>
    <row r="567" spans="2:19" x14ac:dyDescent="0.4">
      <c r="B567" s="77">
        <v>44500</v>
      </c>
      <c r="C567" s="64"/>
      <c r="D567" s="64"/>
      <c r="E567" s="64" t="s">
        <v>471</v>
      </c>
      <c r="F567" s="64" t="s">
        <v>1028</v>
      </c>
      <c r="G567" s="71" t="s">
        <v>794</v>
      </c>
      <c r="H567" s="78">
        <v>0.08</v>
      </c>
      <c r="I567" s="79">
        <f>24*6</f>
        <v>144</v>
      </c>
      <c r="J567" s="94">
        <v>59</v>
      </c>
      <c r="K567" s="80">
        <f t="shared" si="74"/>
        <v>63.720000000000006</v>
      </c>
      <c r="L567" s="80"/>
      <c r="M567" s="80">
        <f t="shared" si="73"/>
        <v>9175.68</v>
      </c>
      <c r="N567" s="79"/>
      <c r="O567" s="79"/>
      <c r="P567" s="80">
        <f t="shared" si="70"/>
        <v>0</v>
      </c>
      <c r="Q567" s="80">
        <f t="shared" si="71"/>
        <v>0</v>
      </c>
      <c r="R567" s="80">
        <f t="shared" si="72"/>
        <v>0</v>
      </c>
      <c r="S567" s="89">
        <f>SUM(M563:M567)</f>
        <v>42888.960000000006</v>
      </c>
    </row>
    <row r="568" spans="2:19" x14ac:dyDescent="0.4">
      <c r="B568" s="77">
        <v>44500</v>
      </c>
      <c r="C568" s="64"/>
      <c r="D568" s="64"/>
      <c r="E568" s="64" t="s">
        <v>471</v>
      </c>
      <c r="F568" s="64" t="s">
        <v>1030</v>
      </c>
      <c r="G568" s="71" t="s">
        <v>599</v>
      </c>
      <c r="H568" s="78">
        <v>0.08</v>
      </c>
      <c r="I568" s="79">
        <f>24*1</f>
        <v>24</v>
      </c>
      <c r="J568" s="94">
        <v>159</v>
      </c>
      <c r="K568" s="80">
        <f t="shared" si="74"/>
        <v>171.72</v>
      </c>
      <c r="L568" s="80"/>
      <c r="M568" s="80">
        <f t="shared" si="73"/>
        <v>4121.28</v>
      </c>
      <c r="N568" s="79"/>
      <c r="O568" s="79"/>
      <c r="P568" s="80">
        <f t="shared" si="70"/>
        <v>0</v>
      </c>
      <c r="Q568" s="80">
        <f t="shared" si="71"/>
        <v>0</v>
      </c>
      <c r="R568" s="80">
        <f t="shared" si="72"/>
        <v>0</v>
      </c>
    </row>
    <row r="569" spans="2:19" x14ac:dyDescent="0.4">
      <c r="B569" s="77">
        <v>44500</v>
      </c>
      <c r="C569" s="64"/>
      <c r="D569" s="64"/>
      <c r="E569" s="64" t="s">
        <v>471</v>
      </c>
      <c r="F569" s="64" t="s">
        <v>1030</v>
      </c>
      <c r="G569" s="71" t="s">
        <v>599</v>
      </c>
      <c r="H569" s="78">
        <v>0.08</v>
      </c>
      <c r="I569" s="79">
        <f>6*1</f>
        <v>6</v>
      </c>
      <c r="J569" s="94">
        <v>159</v>
      </c>
      <c r="K569" s="80">
        <f t="shared" si="74"/>
        <v>171.72</v>
      </c>
      <c r="L569" s="80"/>
      <c r="M569" s="80">
        <f t="shared" si="73"/>
        <v>1030.32</v>
      </c>
      <c r="N569" s="79"/>
      <c r="O569" s="79"/>
      <c r="P569" s="80">
        <f t="shared" si="70"/>
        <v>0</v>
      </c>
      <c r="Q569" s="80">
        <f t="shared" si="71"/>
        <v>0</v>
      </c>
      <c r="R569" s="80">
        <f t="shared" si="72"/>
        <v>0</v>
      </c>
    </row>
    <row r="570" spans="2:19" x14ac:dyDescent="0.4">
      <c r="B570" s="77">
        <v>44500</v>
      </c>
      <c r="C570" s="64"/>
      <c r="D570" s="64"/>
      <c r="E570" s="64" t="s">
        <v>471</v>
      </c>
      <c r="F570" s="64" t="s">
        <v>881</v>
      </c>
      <c r="G570" s="71" t="s">
        <v>278</v>
      </c>
      <c r="H570" s="78">
        <v>0.08</v>
      </c>
      <c r="I570" s="79">
        <f>5*1</f>
        <v>5</v>
      </c>
      <c r="J570" s="94">
        <v>160</v>
      </c>
      <c r="K570" s="80">
        <f t="shared" si="74"/>
        <v>172.8</v>
      </c>
      <c r="L570" s="80"/>
      <c r="M570" s="80">
        <f t="shared" si="73"/>
        <v>864</v>
      </c>
      <c r="N570" s="79"/>
      <c r="O570" s="79"/>
      <c r="P570" s="80">
        <f t="shared" si="70"/>
        <v>0</v>
      </c>
      <c r="Q570" s="80">
        <f t="shared" si="71"/>
        <v>0</v>
      </c>
      <c r="R570" s="80">
        <f t="shared" si="72"/>
        <v>0</v>
      </c>
    </row>
    <row r="571" spans="2:19" x14ac:dyDescent="0.4">
      <c r="B571" s="77">
        <v>44500</v>
      </c>
      <c r="C571" s="64"/>
      <c r="D571" s="64"/>
      <c r="E571" s="64" t="s">
        <v>471</v>
      </c>
      <c r="F571" s="64" t="s">
        <v>857</v>
      </c>
      <c r="G571" s="71" t="s">
        <v>266</v>
      </c>
      <c r="H571" s="78">
        <v>0.08</v>
      </c>
      <c r="I571" s="79">
        <f>12*2</f>
        <v>24</v>
      </c>
      <c r="J571" s="94">
        <v>153</v>
      </c>
      <c r="K571" s="80">
        <f t="shared" si="74"/>
        <v>165.24</v>
      </c>
      <c r="L571" s="80"/>
      <c r="M571" s="80">
        <f t="shared" si="73"/>
        <v>3965.76</v>
      </c>
      <c r="N571" s="79"/>
      <c r="O571" s="79"/>
      <c r="P571" s="80">
        <f t="shared" si="70"/>
        <v>0</v>
      </c>
      <c r="Q571" s="80">
        <f t="shared" si="71"/>
        <v>0</v>
      </c>
      <c r="R571" s="80">
        <f t="shared" si="72"/>
        <v>0</v>
      </c>
    </row>
    <row r="572" spans="2:19" x14ac:dyDescent="0.4">
      <c r="B572" s="77">
        <v>44500</v>
      </c>
      <c r="C572" s="64"/>
      <c r="D572" s="64"/>
      <c r="E572" s="64" t="s">
        <v>471</v>
      </c>
      <c r="F572" s="64" t="s">
        <v>857</v>
      </c>
      <c r="G572" s="71" t="s">
        <v>1035</v>
      </c>
      <c r="H572" s="78">
        <v>0.08</v>
      </c>
      <c r="I572" s="79">
        <f>3*2</f>
        <v>6</v>
      </c>
      <c r="J572" s="94">
        <v>153</v>
      </c>
      <c r="K572" s="80">
        <f t="shared" si="74"/>
        <v>165.24</v>
      </c>
      <c r="L572" s="80"/>
      <c r="M572" s="80">
        <f t="shared" si="73"/>
        <v>991.44</v>
      </c>
      <c r="N572" s="79"/>
      <c r="O572" s="79"/>
      <c r="P572" s="80">
        <f t="shared" si="70"/>
        <v>0</v>
      </c>
      <c r="Q572" s="80">
        <f t="shared" si="71"/>
        <v>0</v>
      </c>
      <c r="R572" s="80">
        <f t="shared" si="72"/>
        <v>0</v>
      </c>
    </row>
    <row r="573" spans="2:19" x14ac:dyDescent="0.4">
      <c r="B573" s="77">
        <v>44500</v>
      </c>
      <c r="C573" s="64"/>
      <c r="D573" s="64"/>
      <c r="E573" s="64" t="s">
        <v>471</v>
      </c>
      <c r="F573" s="64" t="s">
        <v>1031</v>
      </c>
      <c r="G573" s="71" t="s">
        <v>1034</v>
      </c>
      <c r="H573" s="78">
        <v>0.08</v>
      </c>
      <c r="I573" s="79">
        <f>24*6</f>
        <v>144</v>
      </c>
      <c r="J573" s="94">
        <v>49</v>
      </c>
      <c r="K573" s="80">
        <f t="shared" si="74"/>
        <v>52.92</v>
      </c>
      <c r="L573" s="80"/>
      <c r="M573" s="80">
        <f t="shared" si="73"/>
        <v>7620.4800000000005</v>
      </c>
      <c r="N573" s="79"/>
      <c r="O573" s="79"/>
      <c r="P573" s="80">
        <f t="shared" si="70"/>
        <v>0</v>
      </c>
      <c r="Q573" s="80">
        <f t="shared" si="71"/>
        <v>0</v>
      </c>
      <c r="R573" s="80">
        <f t="shared" si="72"/>
        <v>0</v>
      </c>
    </row>
    <row r="574" spans="2:19" x14ac:dyDescent="0.4">
      <c r="B574" s="77">
        <v>44500</v>
      </c>
      <c r="C574" s="64"/>
      <c r="D574" s="64"/>
      <c r="E574" s="64" t="s">
        <v>471</v>
      </c>
      <c r="F574" s="64" t="s">
        <v>1032</v>
      </c>
      <c r="G574" s="71" t="s">
        <v>789</v>
      </c>
      <c r="H574" s="78">
        <v>0.08</v>
      </c>
      <c r="I574" s="79">
        <f>24*4</f>
        <v>96</v>
      </c>
      <c r="J574" s="94">
        <f>(6912-216)/I574</f>
        <v>69.75</v>
      </c>
      <c r="K574" s="80">
        <f t="shared" si="74"/>
        <v>75.33</v>
      </c>
      <c r="L574" s="80"/>
      <c r="M574" s="80">
        <f t="shared" si="73"/>
        <v>7231.68</v>
      </c>
      <c r="N574" s="79"/>
      <c r="O574" s="79"/>
      <c r="P574" s="80">
        <f t="shared" si="70"/>
        <v>0</v>
      </c>
      <c r="Q574" s="80">
        <f t="shared" si="71"/>
        <v>0</v>
      </c>
      <c r="R574" s="80">
        <f t="shared" si="72"/>
        <v>0</v>
      </c>
    </row>
    <row r="575" spans="2:19" x14ac:dyDescent="0.4">
      <c r="B575" s="77">
        <v>44500</v>
      </c>
      <c r="C575" s="64"/>
      <c r="D575" s="64"/>
      <c r="E575" s="64" t="s">
        <v>471</v>
      </c>
      <c r="F575" s="64" t="s">
        <v>1033</v>
      </c>
      <c r="G575" s="71" t="s">
        <v>264</v>
      </c>
      <c r="H575" s="78">
        <v>0.08</v>
      </c>
      <c r="I575" s="79">
        <f>12*5</f>
        <v>60</v>
      </c>
      <c r="J575" s="94">
        <f>(4680-540)/I575</f>
        <v>69</v>
      </c>
      <c r="K575" s="80">
        <f t="shared" si="74"/>
        <v>74.52000000000001</v>
      </c>
      <c r="L575" s="80"/>
      <c r="M575" s="80">
        <f t="shared" si="73"/>
        <v>4471.2000000000007</v>
      </c>
      <c r="N575" s="79"/>
      <c r="O575" s="79"/>
      <c r="P575" s="80">
        <f t="shared" si="70"/>
        <v>0</v>
      </c>
      <c r="Q575" s="80">
        <f t="shared" si="71"/>
        <v>0</v>
      </c>
      <c r="R575" s="80">
        <f t="shared" si="72"/>
        <v>0</v>
      </c>
    </row>
    <row r="576" spans="2:19" x14ac:dyDescent="0.4">
      <c r="B576" s="77">
        <v>44500</v>
      </c>
      <c r="C576" s="64"/>
      <c r="D576" s="64"/>
      <c r="E576" s="64" t="s">
        <v>471</v>
      </c>
      <c r="F576" s="64" t="s">
        <v>810</v>
      </c>
      <c r="G576" s="71" t="s">
        <v>265</v>
      </c>
      <c r="H576" s="78">
        <v>0.08</v>
      </c>
      <c r="I576" s="79">
        <f>12*5</f>
        <v>60</v>
      </c>
      <c r="J576" s="94">
        <f>(4680-540)/I576</f>
        <v>69</v>
      </c>
      <c r="K576" s="80">
        <f t="shared" si="74"/>
        <v>74.52000000000001</v>
      </c>
      <c r="L576" s="80"/>
      <c r="M576" s="80">
        <f t="shared" si="73"/>
        <v>4471.2000000000007</v>
      </c>
      <c r="N576" s="79"/>
      <c r="O576" s="79"/>
      <c r="P576" s="80">
        <f t="shared" si="70"/>
        <v>0</v>
      </c>
      <c r="Q576" s="80">
        <f t="shared" si="71"/>
        <v>0</v>
      </c>
      <c r="R576" s="80">
        <f t="shared" si="72"/>
        <v>0</v>
      </c>
    </row>
    <row r="577" spans="2:19" x14ac:dyDescent="0.4">
      <c r="B577" s="77">
        <v>44500</v>
      </c>
      <c r="C577" s="64"/>
      <c r="D577" s="64"/>
      <c r="E577" s="64" t="s">
        <v>471</v>
      </c>
      <c r="F577" s="64" t="s">
        <v>904</v>
      </c>
      <c r="G577" s="71" t="s">
        <v>548</v>
      </c>
      <c r="H577" s="78">
        <v>0.08</v>
      </c>
      <c r="I577" s="79">
        <f>12*4</f>
        <v>48</v>
      </c>
      <c r="J577" s="94">
        <v>75</v>
      </c>
      <c r="K577" s="80">
        <f t="shared" si="74"/>
        <v>81</v>
      </c>
      <c r="L577" s="80"/>
      <c r="M577" s="80">
        <f t="shared" si="73"/>
        <v>3888</v>
      </c>
      <c r="N577" s="79"/>
      <c r="O577" s="79"/>
      <c r="P577" s="80">
        <f t="shared" si="70"/>
        <v>0</v>
      </c>
      <c r="Q577" s="80">
        <f t="shared" si="71"/>
        <v>0</v>
      </c>
      <c r="R577" s="80">
        <f t="shared" si="72"/>
        <v>0</v>
      </c>
      <c r="S577" s="89">
        <f>SUM(M568:M577)</f>
        <v>38655.360000000001</v>
      </c>
    </row>
    <row r="578" spans="2:19" x14ac:dyDescent="0.4">
      <c r="B578" s="77">
        <v>44500</v>
      </c>
      <c r="C578" s="64"/>
      <c r="D578" s="64"/>
      <c r="E578" s="64" t="s">
        <v>471</v>
      </c>
      <c r="F578" s="64" t="s">
        <v>734</v>
      </c>
      <c r="G578" s="71" t="s">
        <v>740</v>
      </c>
      <c r="H578" s="78">
        <v>0.08</v>
      </c>
      <c r="I578" s="79">
        <f>36*1</f>
        <v>36</v>
      </c>
      <c r="J578" s="94">
        <v>117</v>
      </c>
      <c r="K578" s="80">
        <f t="shared" si="74"/>
        <v>126.36000000000001</v>
      </c>
      <c r="L578" s="80"/>
      <c r="M578" s="80">
        <f t="shared" si="73"/>
        <v>4548.9600000000009</v>
      </c>
      <c r="N578" s="79"/>
      <c r="O578" s="79"/>
      <c r="P578" s="80">
        <f t="shared" si="70"/>
        <v>0</v>
      </c>
      <c r="Q578" s="80">
        <f t="shared" si="71"/>
        <v>0</v>
      </c>
      <c r="R578" s="80">
        <f t="shared" si="72"/>
        <v>0</v>
      </c>
      <c r="S578" s="89"/>
    </row>
    <row r="579" spans="2:19" x14ac:dyDescent="0.4">
      <c r="B579" s="77">
        <v>44500</v>
      </c>
      <c r="C579" s="64"/>
      <c r="D579" s="64"/>
      <c r="E579" s="64" t="s">
        <v>471</v>
      </c>
      <c r="F579" s="64" t="s">
        <v>902</v>
      </c>
      <c r="G579" s="71" t="s">
        <v>247</v>
      </c>
      <c r="H579" s="78">
        <v>0.08</v>
      </c>
      <c r="I579" s="79">
        <f>20*2</f>
        <v>40</v>
      </c>
      <c r="J579" s="94">
        <v>106</v>
      </c>
      <c r="K579" s="80">
        <f t="shared" si="74"/>
        <v>114.48</v>
      </c>
      <c r="L579" s="80"/>
      <c r="M579" s="80">
        <f t="shared" si="73"/>
        <v>4579.2</v>
      </c>
      <c r="N579" s="79"/>
      <c r="O579" s="79"/>
      <c r="P579" s="80">
        <f t="shared" si="70"/>
        <v>0</v>
      </c>
      <c r="Q579" s="80">
        <f t="shared" si="71"/>
        <v>0</v>
      </c>
      <c r="R579" s="80">
        <f t="shared" si="72"/>
        <v>0</v>
      </c>
    </row>
    <row r="580" spans="2:19" x14ac:dyDescent="0.4">
      <c r="B580" s="77">
        <v>44500</v>
      </c>
      <c r="C580" s="64"/>
      <c r="D580" s="64"/>
      <c r="E580" s="64" t="s">
        <v>471</v>
      </c>
      <c r="F580" s="64" t="s">
        <v>479</v>
      </c>
      <c r="G580" s="71" t="s">
        <v>482</v>
      </c>
      <c r="H580" s="78">
        <v>0.08</v>
      </c>
      <c r="I580" s="79">
        <f>20*5</f>
        <v>100</v>
      </c>
      <c r="J580" s="94">
        <v>126</v>
      </c>
      <c r="K580" s="80">
        <f t="shared" si="74"/>
        <v>136.08000000000001</v>
      </c>
      <c r="L580" s="80"/>
      <c r="M580" s="80">
        <f t="shared" si="73"/>
        <v>13608.000000000002</v>
      </c>
      <c r="N580" s="79"/>
      <c r="O580" s="79"/>
      <c r="P580" s="80">
        <f t="shared" si="70"/>
        <v>0</v>
      </c>
      <c r="Q580" s="80">
        <f t="shared" si="71"/>
        <v>0</v>
      </c>
      <c r="R580" s="80">
        <f t="shared" si="72"/>
        <v>0</v>
      </c>
    </row>
    <row r="581" spans="2:19" x14ac:dyDescent="0.4">
      <c r="B581" s="77">
        <v>44500</v>
      </c>
      <c r="C581" s="64"/>
      <c r="D581" s="64"/>
      <c r="E581" s="64" t="s">
        <v>471</v>
      </c>
      <c r="F581" s="64" t="s">
        <v>1036</v>
      </c>
      <c r="G581" s="71" t="s">
        <v>557</v>
      </c>
      <c r="H581" s="78">
        <v>0.08</v>
      </c>
      <c r="I581" s="79">
        <f>12*1</f>
        <v>12</v>
      </c>
      <c r="J581" s="94">
        <v>152</v>
      </c>
      <c r="K581" s="80">
        <f t="shared" si="74"/>
        <v>164.16000000000003</v>
      </c>
      <c r="L581" s="80"/>
      <c r="M581" s="80">
        <f t="shared" si="73"/>
        <v>1969.9200000000003</v>
      </c>
      <c r="N581" s="79"/>
      <c r="O581" s="79"/>
      <c r="P581" s="80">
        <f t="shared" si="70"/>
        <v>0</v>
      </c>
      <c r="Q581" s="80">
        <f t="shared" si="71"/>
        <v>0</v>
      </c>
      <c r="R581" s="80">
        <f t="shared" si="72"/>
        <v>0</v>
      </c>
    </row>
    <row r="582" spans="2:19" x14ac:dyDescent="0.4">
      <c r="B582" s="77">
        <v>44500</v>
      </c>
      <c r="C582" s="64"/>
      <c r="D582" s="64"/>
      <c r="E582" s="64" t="s">
        <v>471</v>
      </c>
      <c r="F582" s="64" t="s">
        <v>1037</v>
      </c>
      <c r="G582" s="71" t="s">
        <v>820</v>
      </c>
      <c r="H582" s="78">
        <v>0.08</v>
      </c>
      <c r="I582" s="79">
        <f>12*1</f>
        <v>12</v>
      </c>
      <c r="J582" s="94">
        <v>84</v>
      </c>
      <c r="K582" s="80">
        <f t="shared" si="74"/>
        <v>90.72</v>
      </c>
      <c r="L582" s="80"/>
      <c r="M582" s="80">
        <f t="shared" si="73"/>
        <v>1088.6399999999999</v>
      </c>
      <c r="N582" s="79"/>
      <c r="O582" s="79"/>
      <c r="P582" s="80">
        <f t="shared" si="70"/>
        <v>0</v>
      </c>
      <c r="Q582" s="80">
        <f t="shared" si="71"/>
        <v>0</v>
      </c>
      <c r="R582" s="80">
        <f t="shared" si="72"/>
        <v>0</v>
      </c>
    </row>
    <row r="583" spans="2:19" x14ac:dyDescent="0.4">
      <c r="B583" s="77">
        <v>44500</v>
      </c>
      <c r="C583" s="64"/>
      <c r="D583" s="64"/>
      <c r="E583" s="64" t="s">
        <v>471</v>
      </c>
      <c r="F583" s="64" t="s">
        <v>1038</v>
      </c>
      <c r="G583" s="71" t="s">
        <v>819</v>
      </c>
      <c r="H583" s="78">
        <v>0.08</v>
      </c>
      <c r="I583" s="79">
        <f>12*1</f>
        <v>12</v>
      </c>
      <c r="J583" s="94">
        <v>84</v>
      </c>
      <c r="K583" s="80">
        <f t="shared" si="74"/>
        <v>90.72</v>
      </c>
      <c r="L583" s="80"/>
      <c r="M583" s="80">
        <f t="shared" si="73"/>
        <v>1088.6399999999999</v>
      </c>
      <c r="N583" s="79"/>
      <c r="O583" s="79"/>
      <c r="P583" s="80">
        <f t="shared" ref="P583:P644" si="75">IFERROR(O583*J583,"")</f>
        <v>0</v>
      </c>
      <c r="Q583" s="80">
        <f t="shared" ref="Q583:Q644" si="76">IFERROR(P583*O583,"")</f>
        <v>0</v>
      </c>
      <c r="R583" s="80">
        <f t="shared" ref="R583:R644" si="77">IFERROR(Q583-P583,"")</f>
        <v>0</v>
      </c>
    </row>
    <row r="584" spans="2:19" x14ac:dyDescent="0.4">
      <c r="B584" s="77">
        <v>44500</v>
      </c>
      <c r="C584" s="64"/>
      <c r="D584" s="64"/>
      <c r="E584" s="64" t="s">
        <v>471</v>
      </c>
      <c r="F584" s="64" t="s">
        <v>1039</v>
      </c>
      <c r="G584" s="71" t="s">
        <v>555</v>
      </c>
      <c r="H584" s="78">
        <v>0.08</v>
      </c>
      <c r="I584" s="79">
        <f>12*1</f>
        <v>12</v>
      </c>
      <c r="J584" s="94">
        <v>152</v>
      </c>
      <c r="K584" s="80">
        <f t="shared" si="74"/>
        <v>164.16000000000003</v>
      </c>
      <c r="L584" s="80"/>
      <c r="M584" s="80">
        <f t="shared" si="73"/>
        <v>1969.9200000000003</v>
      </c>
      <c r="N584" s="79"/>
      <c r="O584" s="79"/>
      <c r="P584" s="80">
        <f t="shared" si="75"/>
        <v>0</v>
      </c>
      <c r="Q584" s="80">
        <f t="shared" si="76"/>
        <v>0</v>
      </c>
      <c r="R584" s="80">
        <f t="shared" si="77"/>
        <v>0</v>
      </c>
    </row>
    <row r="585" spans="2:19" x14ac:dyDescent="0.4">
      <c r="B585" s="77">
        <v>44500</v>
      </c>
      <c r="C585" s="64"/>
      <c r="D585" s="64"/>
      <c r="E585" s="64" t="s">
        <v>471</v>
      </c>
      <c r="F585" s="64" t="s">
        <v>1040</v>
      </c>
      <c r="G585" s="71" t="s">
        <v>1041</v>
      </c>
      <c r="H585" s="78">
        <v>0.08</v>
      </c>
      <c r="I585" s="79">
        <f>12*1</f>
        <v>12</v>
      </c>
      <c r="J585" s="94">
        <v>152</v>
      </c>
      <c r="K585" s="80">
        <f t="shared" si="74"/>
        <v>164.16000000000003</v>
      </c>
      <c r="L585" s="80"/>
      <c r="M585" s="80">
        <f t="shared" si="73"/>
        <v>1969.9200000000003</v>
      </c>
      <c r="N585" s="79"/>
      <c r="O585" s="79"/>
      <c r="P585" s="80">
        <f t="shared" si="75"/>
        <v>0</v>
      </c>
      <c r="Q585" s="80">
        <f t="shared" si="76"/>
        <v>0</v>
      </c>
      <c r="R585" s="80">
        <f t="shared" si="77"/>
        <v>0</v>
      </c>
    </row>
    <row r="586" spans="2:19" x14ac:dyDescent="0.4">
      <c r="B586" s="77">
        <v>44500</v>
      </c>
      <c r="C586" s="64"/>
      <c r="D586" s="64"/>
      <c r="E586" s="64" t="s">
        <v>471</v>
      </c>
      <c r="F586" s="64" t="s">
        <v>719</v>
      </c>
      <c r="G586" s="71" t="s">
        <v>732</v>
      </c>
      <c r="H586" s="78">
        <v>0.08</v>
      </c>
      <c r="I586" s="79">
        <f>120*1</f>
        <v>120</v>
      </c>
      <c r="J586" s="94">
        <v>69</v>
      </c>
      <c r="K586" s="80">
        <f t="shared" si="74"/>
        <v>74.52000000000001</v>
      </c>
      <c r="L586" s="80"/>
      <c r="M586" s="80">
        <f t="shared" si="73"/>
        <v>8942.4000000000015</v>
      </c>
      <c r="N586" s="79"/>
      <c r="O586" s="79"/>
      <c r="P586" s="80">
        <f t="shared" si="75"/>
        <v>0</v>
      </c>
      <c r="Q586" s="80">
        <f t="shared" si="76"/>
        <v>0</v>
      </c>
      <c r="R586" s="80">
        <f t="shared" si="77"/>
        <v>0</v>
      </c>
    </row>
    <row r="587" spans="2:19" x14ac:dyDescent="0.4">
      <c r="B587" s="77">
        <v>44500</v>
      </c>
      <c r="C587" s="64"/>
      <c r="D587" s="64"/>
      <c r="E587" s="64" t="s">
        <v>471</v>
      </c>
      <c r="F587" s="64" t="s">
        <v>476</v>
      </c>
      <c r="G587" s="71" t="s">
        <v>477</v>
      </c>
      <c r="H587" s="78">
        <v>0.08</v>
      </c>
      <c r="I587" s="79">
        <f>20*2</f>
        <v>40</v>
      </c>
      <c r="J587" s="94">
        <v>126</v>
      </c>
      <c r="K587" s="80">
        <f t="shared" si="74"/>
        <v>136.08000000000001</v>
      </c>
      <c r="L587" s="80"/>
      <c r="M587" s="80">
        <f t="shared" si="73"/>
        <v>5443.2000000000007</v>
      </c>
      <c r="N587" s="79"/>
      <c r="O587" s="79"/>
      <c r="P587" s="80">
        <f t="shared" si="75"/>
        <v>0</v>
      </c>
      <c r="Q587" s="80">
        <f t="shared" si="76"/>
        <v>0</v>
      </c>
      <c r="R587" s="80">
        <f t="shared" si="77"/>
        <v>0</v>
      </c>
    </row>
    <row r="588" spans="2:19" x14ac:dyDescent="0.4">
      <c r="B588" s="77">
        <v>44500</v>
      </c>
      <c r="C588" s="64"/>
      <c r="D588" s="64"/>
      <c r="E588" s="64" t="s">
        <v>471</v>
      </c>
      <c r="F588" s="64" t="s">
        <v>478</v>
      </c>
      <c r="G588" s="71" t="s">
        <v>481</v>
      </c>
      <c r="H588" s="78">
        <v>0.08</v>
      </c>
      <c r="I588" s="79">
        <f>20*2</f>
        <v>40</v>
      </c>
      <c r="J588" s="94">
        <v>126</v>
      </c>
      <c r="K588" s="80">
        <f t="shared" si="74"/>
        <v>136.08000000000001</v>
      </c>
      <c r="L588" s="80"/>
      <c r="M588" s="80">
        <f t="shared" si="73"/>
        <v>5443.2000000000007</v>
      </c>
      <c r="N588" s="79"/>
      <c r="O588" s="79"/>
      <c r="P588" s="80">
        <f t="shared" si="75"/>
        <v>0</v>
      </c>
      <c r="Q588" s="80">
        <f t="shared" si="76"/>
        <v>0</v>
      </c>
      <c r="R588" s="80">
        <f t="shared" si="77"/>
        <v>0</v>
      </c>
      <c r="S588" s="89">
        <f>SUM(M578:M588)</f>
        <v>50652</v>
      </c>
    </row>
    <row r="589" spans="2:19" x14ac:dyDescent="0.4">
      <c r="B589" s="77">
        <v>44500</v>
      </c>
      <c r="C589" s="64"/>
      <c r="D589" s="64"/>
      <c r="E589" s="64" t="s">
        <v>471</v>
      </c>
      <c r="F589" s="64" t="s">
        <v>1042</v>
      </c>
      <c r="G589" s="71" t="s">
        <v>1046</v>
      </c>
      <c r="H589" s="78">
        <v>0.08</v>
      </c>
      <c r="I589" s="79">
        <f>10*3</f>
        <v>30</v>
      </c>
      <c r="J589" s="94">
        <v>238</v>
      </c>
      <c r="K589" s="80">
        <f t="shared" si="74"/>
        <v>257.04000000000002</v>
      </c>
      <c r="L589" s="80"/>
      <c r="M589" s="80">
        <f t="shared" si="73"/>
        <v>7711.2000000000007</v>
      </c>
      <c r="N589" s="79"/>
      <c r="O589" s="79"/>
      <c r="P589" s="80">
        <f t="shared" si="75"/>
        <v>0</v>
      </c>
      <c r="Q589" s="80">
        <f t="shared" si="76"/>
        <v>0</v>
      </c>
      <c r="R589" s="80">
        <f t="shared" si="77"/>
        <v>0</v>
      </c>
    </row>
    <row r="590" spans="2:19" x14ac:dyDescent="0.4">
      <c r="B590" s="77">
        <v>44500</v>
      </c>
      <c r="C590" s="64"/>
      <c r="D590" s="64"/>
      <c r="E590" s="64" t="s">
        <v>471</v>
      </c>
      <c r="F590" s="64" t="s">
        <v>767</v>
      </c>
      <c r="G590" s="71" t="s">
        <v>780</v>
      </c>
      <c r="H590" s="78">
        <v>0.08</v>
      </c>
      <c r="I590" s="79">
        <f>10*6</f>
        <v>60</v>
      </c>
      <c r="J590" s="94">
        <v>73</v>
      </c>
      <c r="K590" s="80">
        <f t="shared" si="74"/>
        <v>78.84</v>
      </c>
      <c r="L590" s="80"/>
      <c r="M590" s="80">
        <f t="shared" si="73"/>
        <v>4730.4000000000005</v>
      </c>
      <c r="N590" s="79"/>
      <c r="O590" s="79"/>
      <c r="P590" s="80">
        <f t="shared" si="75"/>
        <v>0</v>
      </c>
      <c r="Q590" s="80">
        <f t="shared" si="76"/>
        <v>0</v>
      </c>
      <c r="R590" s="80">
        <f t="shared" si="77"/>
        <v>0</v>
      </c>
    </row>
    <row r="591" spans="2:19" x14ac:dyDescent="0.4">
      <c r="B591" s="77">
        <v>44500</v>
      </c>
      <c r="C591" s="64"/>
      <c r="D591" s="64"/>
      <c r="E591" s="64" t="s">
        <v>471</v>
      </c>
      <c r="F591" s="64" t="s">
        <v>1043</v>
      </c>
      <c r="G591" s="71" t="s">
        <v>1048</v>
      </c>
      <c r="H591" s="78">
        <v>0.08</v>
      </c>
      <c r="I591" s="79">
        <f>12*1</f>
        <v>12</v>
      </c>
      <c r="J591" s="94">
        <v>65</v>
      </c>
      <c r="K591" s="80">
        <f t="shared" si="74"/>
        <v>70.2</v>
      </c>
      <c r="L591" s="80"/>
      <c r="M591" s="80">
        <f t="shared" si="73"/>
        <v>842.40000000000009</v>
      </c>
      <c r="N591" s="79"/>
      <c r="O591" s="79"/>
      <c r="P591" s="80">
        <f t="shared" si="75"/>
        <v>0</v>
      </c>
      <c r="Q591" s="80">
        <f t="shared" si="76"/>
        <v>0</v>
      </c>
      <c r="R591" s="80">
        <f t="shared" si="77"/>
        <v>0</v>
      </c>
    </row>
    <row r="592" spans="2:19" x14ac:dyDescent="0.4">
      <c r="B592" s="77">
        <v>44500</v>
      </c>
      <c r="C592" s="64"/>
      <c r="D592" s="64"/>
      <c r="E592" s="64" t="s">
        <v>471</v>
      </c>
      <c r="F592" s="64" t="s">
        <v>1044</v>
      </c>
      <c r="G592" s="71" t="s">
        <v>273</v>
      </c>
      <c r="H592" s="78">
        <v>0.08</v>
      </c>
      <c r="I592" s="79">
        <f>12*2</f>
        <v>24</v>
      </c>
      <c r="J592" s="94">
        <v>60</v>
      </c>
      <c r="K592" s="80">
        <f t="shared" si="74"/>
        <v>64.800000000000011</v>
      </c>
      <c r="L592" s="80"/>
      <c r="M592" s="80">
        <f t="shared" si="73"/>
        <v>1555.2000000000003</v>
      </c>
      <c r="N592" s="79"/>
      <c r="O592" s="79"/>
      <c r="P592" s="80">
        <f t="shared" si="75"/>
        <v>0</v>
      </c>
      <c r="Q592" s="80">
        <f t="shared" si="76"/>
        <v>0</v>
      </c>
      <c r="R592" s="80">
        <f t="shared" si="77"/>
        <v>0</v>
      </c>
    </row>
    <row r="593" spans="2:19" x14ac:dyDescent="0.4">
      <c r="B593" s="77">
        <v>44500</v>
      </c>
      <c r="C593" s="64"/>
      <c r="D593" s="64"/>
      <c r="E593" s="64" t="s">
        <v>471</v>
      </c>
      <c r="F593" s="64" t="s">
        <v>1045</v>
      </c>
      <c r="G593" s="71" t="s">
        <v>1047</v>
      </c>
      <c r="H593" s="78">
        <v>0.08</v>
      </c>
      <c r="I593" s="79">
        <f>12*3</f>
        <v>36</v>
      </c>
      <c r="J593" s="94">
        <v>65</v>
      </c>
      <c r="K593" s="80">
        <f t="shared" si="74"/>
        <v>70.2</v>
      </c>
      <c r="L593" s="80"/>
      <c r="M593" s="80">
        <f t="shared" si="73"/>
        <v>2527.2000000000003</v>
      </c>
      <c r="N593" s="79"/>
      <c r="O593" s="79"/>
      <c r="P593" s="80">
        <f t="shared" si="75"/>
        <v>0</v>
      </c>
      <c r="Q593" s="80">
        <f t="shared" si="76"/>
        <v>0</v>
      </c>
      <c r="R593" s="80">
        <f t="shared" si="77"/>
        <v>0</v>
      </c>
    </row>
    <row r="594" spans="2:19" x14ac:dyDescent="0.4">
      <c r="B594" s="77">
        <v>44500</v>
      </c>
      <c r="C594" s="64"/>
      <c r="D594" s="64"/>
      <c r="E594" s="64" t="s">
        <v>471</v>
      </c>
      <c r="F594" s="64" t="s">
        <v>558</v>
      </c>
      <c r="G594" s="71" t="s">
        <v>559</v>
      </c>
      <c r="H594" s="78">
        <v>0.08</v>
      </c>
      <c r="I594" s="79">
        <f>24*2</f>
        <v>48</v>
      </c>
      <c r="J594" s="94">
        <v>209</v>
      </c>
      <c r="K594" s="80">
        <f t="shared" si="74"/>
        <v>225.72000000000003</v>
      </c>
      <c r="L594" s="80"/>
      <c r="M594" s="80">
        <f t="shared" si="73"/>
        <v>10834.560000000001</v>
      </c>
      <c r="N594" s="79"/>
      <c r="O594" s="79"/>
      <c r="P594" s="80">
        <f t="shared" si="75"/>
        <v>0</v>
      </c>
      <c r="Q594" s="80">
        <f t="shared" si="76"/>
        <v>0</v>
      </c>
      <c r="R594" s="80">
        <f t="shared" si="77"/>
        <v>0</v>
      </c>
      <c r="S594" s="89">
        <f>SUM(M589:M594)</f>
        <v>28200.960000000003</v>
      </c>
    </row>
    <row r="595" spans="2:19" x14ac:dyDescent="0.4">
      <c r="B595" s="77">
        <v>44500</v>
      </c>
      <c r="C595" s="64"/>
      <c r="D595" s="64"/>
      <c r="E595" s="64" t="s">
        <v>471</v>
      </c>
      <c r="F595" s="64" t="s">
        <v>476</v>
      </c>
      <c r="G595" s="71" t="s">
        <v>477</v>
      </c>
      <c r="H595" s="78">
        <v>0.08</v>
      </c>
      <c r="I595" s="79">
        <f>20*3</f>
        <v>60</v>
      </c>
      <c r="J595" s="94">
        <v>126</v>
      </c>
      <c r="K595" s="80">
        <f t="shared" si="74"/>
        <v>136.08000000000001</v>
      </c>
      <c r="L595" s="80"/>
      <c r="M595" s="80">
        <f t="shared" si="73"/>
        <v>8164.8000000000011</v>
      </c>
      <c r="N595" s="79"/>
      <c r="O595" s="79"/>
      <c r="P595" s="80">
        <f t="shared" si="75"/>
        <v>0</v>
      </c>
      <c r="Q595" s="80">
        <f t="shared" si="76"/>
        <v>0</v>
      </c>
      <c r="R595" s="80">
        <f t="shared" si="77"/>
        <v>0</v>
      </c>
    </row>
    <row r="596" spans="2:19" x14ac:dyDescent="0.4">
      <c r="B596" s="77">
        <v>44500</v>
      </c>
      <c r="C596" s="64"/>
      <c r="D596" s="64"/>
      <c r="E596" s="64" t="s">
        <v>471</v>
      </c>
      <c r="F596" s="64" t="s">
        <v>479</v>
      </c>
      <c r="G596" s="71" t="s">
        <v>482</v>
      </c>
      <c r="H596" s="78">
        <v>0.08</v>
      </c>
      <c r="I596" s="79">
        <f>20*3</f>
        <v>60</v>
      </c>
      <c r="J596" s="94">
        <v>126</v>
      </c>
      <c r="K596" s="80">
        <f t="shared" si="74"/>
        <v>136.08000000000001</v>
      </c>
      <c r="L596" s="80"/>
      <c r="M596" s="80">
        <f t="shared" si="73"/>
        <v>8164.8000000000011</v>
      </c>
      <c r="N596" s="79"/>
      <c r="O596" s="79"/>
      <c r="P596" s="80">
        <f t="shared" si="75"/>
        <v>0</v>
      </c>
      <c r="Q596" s="80">
        <f t="shared" si="76"/>
        <v>0</v>
      </c>
      <c r="R596" s="80">
        <f t="shared" si="77"/>
        <v>0</v>
      </c>
      <c r="S596" s="89"/>
    </row>
    <row r="597" spans="2:19" x14ac:dyDescent="0.4">
      <c r="B597" s="77">
        <v>44500</v>
      </c>
      <c r="C597" s="64"/>
      <c r="D597" s="64"/>
      <c r="E597" s="64" t="s">
        <v>471</v>
      </c>
      <c r="F597" s="64" t="s">
        <v>478</v>
      </c>
      <c r="G597" s="71" t="s">
        <v>481</v>
      </c>
      <c r="H597" s="78">
        <v>0.08</v>
      </c>
      <c r="I597" s="79">
        <f>20*3</f>
        <v>60</v>
      </c>
      <c r="J597" s="94">
        <v>126</v>
      </c>
      <c r="K597" s="80">
        <f t="shared" si="74"/>
        <v>136.08000000000001</v>
      </c>
      <c r="L597" s="80"/>
      <c r="M597" s="80">
        <f t="shared" si="73"/>
        <v>8164.8000000000011</v>
      </c>
      <c r="N597" s="79"/>
      <c r="O597" s="79"/>
      <c r="P597" s="80">
        <f t="shared" si="75"/>
        <v>0</v>
      </c>
      <c r="Q597" s="80">
        <f t="shared" si="76"/>
        <v>0</v>
      </c>
      <c r="R597" s="80">
        <f t="shared" si="77"/>
        <v>0</v>
      </c>
      <c r="S597" s="89"/>
    </row>
    <row r="598" spans="2:19" x14ac:dyDescent="0.4">
      <c r="B598" s="77">
        <v>44500</v>
      </c>
      <c r="C598" s="64"/>
      <c r="D598" s="64"/>
      <c r="E598" s="64" t="s">
        <v>471</v>
      </c>
      <c r="F598" s="64" t="s">
        <v>900</v>
      </c>
      <c r="G598" s="71" t="s">
        <v>264</v>
      </c>
      <c r="H598" s="78">
        <v>0.08</v>
      </c>
      <c r="I598" s="79">
        <f>12*3</f>
        <v>36</v>
      </c>
      <c r="J598" s="94">
        <v>78</v>
      </c>
      <c r="K598" s="80">
        <f t="shared" si="74"/>
        <v>84.240000000000009</v>
      </c>
      <c r="L598" s="80"/>
      <c r="M598" s="80">
        <f t="shared" si="73"/>
        <v>3032.6400000000003</v>
      </c>
      <c r="N598" s="79"/>
      <c r="O598" s="79"/>
      <c r="P598" s="80">
        <f t="shared" si="75"/>
        <v>0</v>
      </c>
      <c r="Q598" s="80">
        <f t="shared" si="76"/>
        <v>0</v>
      </c>
      <c r="R598" s="80">
        <f t="shared" si="77"/>
        <v>0</v>
      </c>
      <c r="S598" s="89"/>
    </row>
    <row r="599" spans="2:19" x14ac:dyDescent="0.4">
      <c r="B599" s="77">
        <v>44500</v>
      </c>
      <c r="C599" s="64"/>
      <c r="D599" s="64"/>
      <c r="E599" s="64" t="s">
        <v>471</v>
      </c>
      <c r="F599" s="64" t="s">
        <v>810</v>
      </c>
      <c r="G599" s="71" t="s">
        <v>265</v>
      </c>
      <c r="H599" s="78">
        <v>0.08</v>
      </c>
      <c r="I599" s="79">
        <f>12*4</f>
        <v>48</v>
      </c>
      <c r="J599" s="94">
        <v>78</v>
      </c>
      <c r="K599" s="80">
        <f t="shared" si="74"/>
        <v>84.240000000000009</v>
      </c>
      <c r="L599" s="80"/>
      <c r="M599" s="80">
        <f t="shared" si="73"/>
        <v>4043.5200000000004</v>
      </c>
      <c r="N599" s="79"/>
      <c r="O599" s="79"/>
      <c r="P599" s="80">
        <f t="shared" si="75"/>
        <v>0</v>
      </c>
      <c r="Q599" s="80">
        <f t="shared" si="76"/>
        <v>0</v>
      </c>
      <c r="R599" s="80">
        <f t="shared" si="77"/>
        <v>0</v>
      </c>
      <c r="S599" s="89">
        <f>SUM(M595:M599)</f>
        <v>31570.560000000001</v>
      </c>
    </row>
    <row r="600" spans="2:19" x14ac:dyDescent="0.4">
      <c r="B600" s="77">
        <v>44500</v>
      </c>
      <c r="C600" s="64"/>
      <c r="D600" s="64"/>
      <c r="E600" s="64" t="s">
        <v>471</v>
      </c>
      <c r="F600" s="64" t="s">
        <v>765</v>
      </c>
      <c r="G600" s="71" t="s">
        <v>777</v>
      </c>
      <c r="H600" s="78">
        <v>0.08</v>
      </c>
      <c r="I600" s="79">
        <f>10*6</f>
        <v>60</v>
      </c>
      <c r="J600" s="94">
        <v>73</v>
      </c>
      <c r="K600" s="80">
        <f t="shared" si="74"/>
        <v>78.84</v>
      </c>
      <c r="L600" s="80"/>
      <c r="M600" s="80">
        <f t="shared" si="73"/>
        <v>4730.4000000000005</v>
      </c>
      <c r="N600" s="79"/>
      <c r="O600" s="79"/>
      <c r="P600" s="80">
        <f t="shared" si="75"/>
        <v>0</v>
      </c>
      <c r="Q600" s="80">
        <f t="shared" si="76"/>
        <v>0</v>
      </c>
      <c r="R600" s="80">
        <f t="shared" si="77"/>
        <v>0</v>
      </c>
      <c r="S600" s="89"/>
    </row>
    <row r="601" spans="2:19" x14ac:dyDescent="0.4">
      <c r="B601" s="77">
        <v>44500</v>
      </c>
      <c r="C601" s="64"/>
      <c r="D601" s="64"/>
      <c r="E601" s="64" t="s">
        <v>471</v>
      </c>
      <c r="F601" s="64" t="s">
        <v>734</v>
      </c>
      <c r="G601" s="71" t="s">
        <v>740</v>
      </c>
      <c r="H601" s="78">
        <v>0.08</v>
      </c>
      <c r="I601" s="79">
        <f>12*3</f>
        <v>36</v>
      </c>
      <c r="J601" s="94">
        <v>124</v>
      </c>
      <c r="K601" s="80">
        <f t="shared" si="74"/>
        <v>133.92000000000002</v>
      </c>
      <c r="L601" s="80"/>
      <c r="M601" s="80">
        <f t="shared" si="73"/>
        <v>4821.1200000000008</v>
      </c>
      <c r="N601" s="79"/>
      <c r="O601" s="79"/>
      <c r="P601" s="80">
        <f t="shared" si="75"/>
        <v>0</v>
      </c>
      <c r="Q601" s="80">
        <f t="shared" si="76"/>
        <v>0</v>
      </c>
      <c r="R601" s="80">
        <f t="shared" si="77"/>
        <v>0</v>
      </c>
      <c r="S601" s="89"/>
    </row>
    <row r="602" spans="2:19" x14ac:dyDescent="0.4">
      <c r="B602" s="77">
        <v>44500</v>
      </c>
      <c r="C602" s="64"/>
      <c r="D602" s="64"/>
      <c r="E602" s="64" t="s">
        <v>471</v>
      </c>
      <c r="F602" s="64" t="s">
        <v>1049</v>
      </c>
      <c r="G602" s="71" t="s">
        <v>1051</v>
      </c>
      <c r="H602" s="78">
        <v>0.08</v>
      </c>
      <c r="I602" s="79">
        <f>10*3</f>
        <v>30</v>
      </c>
      <c r="J602" s="94">
        <v>102</v>
      </c>
      <c r="K602" s="80">
        <f t="shared" si="74"/>
        <v>110.16000000000001</v>
      </c>
      <c r="L602" s="80"/>
      <c r="M602" s="80">
        <f t="shared" si="73"/>
        <v>3304.8</v>
      </c>
      <c r="N602" s="79"/>
      <c r="O602" s="79"/>
      <c r="P602" s="80">
        <f t="shared" si="75"/>
        <v>0</v>
      </c>
      <c r="Q602" s="80">
        <f t="shared" si="76"/>
        <v>0</v>
      </c>
      <c r="R602" s="80">
        <f t="shared" si="77"/>
        <v>0</v>
      </c>
      <c r="S602" s="89"/>
    </row>
    <row r="603" spans="2:19" x14ac:dyDescent="0.4">
      <c r="B603" s="77">
        <v>44500</v>
      </c>
      <c r="C603" s="64"/>
      <c r="D603" s="64"/>
      <c r="E603" s="64" t="s">
        <v>471</v>
      </c>
      <c r="F603" s="64" t="s">
        <v>1050</v>
      </c>
      <c r="G603" s="71" t="s">
        <v>1052</v>
      </c>
      <c r="H603" s="78">
        <v>0.08</v>
      </c>
      <c r="I603" s="79">
        <f>12*3</f>
        <v>36</v>
      </c>
      <c r="J603" s="94">
        <v>160</v>
      </c>
      <c r="K603" s="80">
        <f t="shared" si="74"/>
        <v>172.8</v>
      </c>
      <c r="L603" s="80"/>
      <c r="M603" s="80">
        <f t="shared" si="73"/>
        <v>6220.8</v>
      </c>
      <c r="N603" s="79"/>
      <c r="O603" s="79"/>
      <c r="P603" s="80">
        <f t="shared" si="75"/>
        <v>0</v>
      </c>
      <c r="Q603" s="80">
        <f t="shared" si="76"/>
        <v>0</v>
      </c>
      <c r="R603" s="80">
        <f t="shared" si="77"/>
        <v>0</v>
      </c>
      <c r="S603" s="89"/>
    </row>
    <row r="604" spans="2:19" x14ac:dyDescent="0.4">
      <c r="B604" s="77">
        <v>44500</v>
      </c>
      <c r="C604" s="64"/>
      <c r="D604" s="64"/>
      <c r="E604" s="64" t="s">
        <v>471</v>
      </c>
      <c r="F604" s="64" t="s">
        <v>1043</v>
      </c>
      <c r="G604" s="71" t="s">
        <v>1053</v>
      </c>
      <c r="H604" s="78">
        <v>0.08</v>
      </c>
      <c r="I604" s="79">
        <f>12*2</f>
        <v>24</v>
      </c>
      <c r="J604" s="94">
        <v>65</v>
      </c>
      <c r="K604" s="80">
        <f t="shared" si="74"/>
        <v>70.2</v>
      </c>
      <c r="L604" s="80"/>
      <c r="M604" s="80">
        <f t="shared" si="73"/>
        <v>1684.8000000000002</v>
      </c>
      <c r="N604" s="79"/>
      <c r="O604" s="79"/>
      <c r="P604" s="80">
        <f t="shared" si="75"/>
        <v>0</v>
      </c>
      <c r="Q604" s="80">
        <f t="shared" si="76"/>
        <v>0</v>
      </c>
      <c r="R604" s="80">
        <f t="shared" si="77"/>
        <v>0</v>
      </c>
      <c r="S604" s="89">
        <f>SUM(M600:M604)</f>
        <v>20761.919999999998</v>
      </c>
    </row>
    <row r="605" spans="2:19" x14ac:dyDescent="0.4">
      <c r="B605" s="77">
        <v>44500</v>
      </c>
      <c r="C605" s="64"/>
      <c r="D605" s="64"/>
      <c r="E605" s="64" t="s">
        <v>471</v>
      </c>
      <c r="F605" s="64" t="s">
        <v>1054</v>
      </c>
      <c r="G605" s="71" t="s">
        <v>1059</v>
      </c>
      <c r="H605" s="78">
        <v>0.08</v>
      </c>
      <c r="I605" s="79">
        <f>6*5</f>
        <v>30</v>
      </c>
      <c r="J605" s="94">
        <v>71</v>
      </c>
      <c r="K605" s="80">
        <f t="shared" si="74"/>
        <v>76.680000000000007</v>
      </c>
      <c r="L605" s="80"/>
      <c r="M605" s="80">
        <f t="shared" ref="M605:M624" si="78">K605*I605</f>
        <v>2300.4</v>
      </c>
      <c r="N605" s="79"/>
      <c r="O605" s="79"/>
      <c r="P605" s="80">
        <f t="shared" si="75"/>
        <v>0</v>
      </c>
      <c r="Q605" s="80">
        <f t="shared" si="76"/>
        <v>0</v>
      </c>
      <c r="R605" s="80">
        <f t="shared" si="77"/>
        <v>0</v>
      </c>
      <c r="S605" s="89"/>
    </row>
    <row r="606" spans="2:19" x14ac:dyDescent="0.4">
      <c r="B606" s="77">
        <v>44500</v>
      </c>
      <c r="C606" s="64"/>
      <c r="D606" s="64"/>
      <c r="E606" s="64" t="s">
        <v>471</v>
      </c>
      <c r="F606" s="64" t="s">
        <v>1055</v>
      </c>
      <c r="G606" s="71" t="s">
        <v>1060</v>
      </c>
      <c r="H606" s="78">
        <v>0.08</v>
      </c>
      <c r="I606" s="79">
        <f>6*3</f>
        <v>18</v>
      </c>
      <c r="J606" s="94">
        <v>71</v>
      </c>
      <c r="K606" s="80">
        <f t="shared" si="74"/>
        <v>76.680000000000007</v>
      </c>
      <c r="L606" s="80"/>
      <c r="M606" s="80">
        <f t="shared" si="78"/>
        <v>1380.2400000000002</v>
      </c>
      <c r="N606" s="79"/>
      <c r="O606" s="79"/>
      <c r="P606" s="80">
        <f t="shared" si="75"/>
        <v>0</v>
      </c>
      <c r="Q606" s="80">
        <f t="shared" si="76"/>
        <v>0</v>
      </c>
      <c r="R606" s="80">
        <f t="shared" si="77"/>
        <v>0</v>
      </c>
      <c r="S606" s="89"/>
    </row>
    <row r="607" spans="2:19" x14ac:dyDescent="0.4">
      <c r="B607" s="77">
        <v>44500</v>
      </c>
      <c r="C607" s="64"/>
      <c r="D607" s="64"/>
      <c r="E607" s="64" t="s">
        <v>471</v>
      </c>
      <c r="F607" s="64" t="s">
        <v>1056</v>
      </c>
      <c r="G607" s="71" t="s">
        <v>1061</v>
      </c>
      <c r="H607" s="78">
        <v>0.08</v>
      </c>
      <c r="I607" s="79">
        <f>24*1</f>
        <v>24</v>
      </c>
      <c r="J607" s="94">
        <v>59</v>
      </c>
      <c r="K607" s="80">
        <f t="shared" si="74"/>
        <v>63.720000000000006</v>
      </c>
      <c r="L607" s="80"/>
      <c r="M607" s="80">
        <f t="shared" si="78"/>
        <v>1529.2800000000002</v>
      </c>
      <c r="N607" s="79"/>
      <c r="O607" s="79"/>
      <c r="P607" s="80">
        <f t="shared" si="75"/>
        <v>0</v>
      </c>
      <c r="Q607" s="80">
        <f t="shared" si="76"/>
        <v>0</v>
      </c>
      <c r="R607" s="80">
        <f t="shared" si="77"/>
        <v>0</v>
      </c>
      <c r="S607" s="89"/>
    </row>
    <row r="608" spans="2:19" x14ac:dyDescent="0.4">
      <c r="B608" s="77">
        <v>44500</v>
      </c>
      <c r="C608" s="64"/>
      <c r="D608" s="64"/>
      <c r="E608" s="64" t="s">
        <v>471</v>
      </c>
      <c r="F608" s="64" t="s">
        <v>1056</v>
      </c>
      <c r="G608" s="71" t="s">
        <v>1061</v>
      </c>
      <c r="H608" s="78">
        <v>0.08</v>
      </c>
      <c r="I608" s="79">
        <f>12*1</f>
        <v>12</v>
      </c>
      <c r="J608" s="94">
        <v>59</v>
      </c>
      <c r="K608" s="80">
        <f t="shared" si="74"/>
        <v>63.720000000000006</v>
      </c>
      <c r="L608" s="80"/>
      <c r="M608" s="80">
        <f t="shared" si="78"/>
        <v>764.6400000000001</v>
      </c>
      <c r="N608" s="79"/>
      <c r="O608" s="79"/>
      <c r="P608" s="80">
        <f t="shared" si="75"/>
        <v>0</v>
      </c>
      <c r="Q608" s="80">
        <f t="shared" si="76"/>
        <v>0</v>
      </c>
      <c r="R608" s="80">
        <f t="shared" si="77"/>
        <v>0</v>
      </c>
      <c r="S608" s="89"/>
    </row>
    <row r="609" spans="2:20" x14ac:dyDescent="0.4">
      <c r="B609" s="77">
        <v>44500</v>
      </c>
      <c r="C609" s="64"/>
      <c r="D609" s="64"/>
      <c r="E609" s="64" t="s">
        <v>471</v>
      </c>
      <c r="F609" s="64" t="s">
        <v>1057</v>
      </c>
      <c r="G609" s="71" t="s">
        <v>1062</v>
      </c>
      <c r="H609" s="78">
        <v>0.08</v>
      </c>
      <c r="I609" s="79">
        <f>24*1</f>
        <v>24</v>
      </c>
      <c r="J609" s="94">
        <v>59</v>
      </c>
      <c r="K609" s="80">
        <f t="shared" ref="K609:K622" si="79">J609*108%</f>
        <v>63.720000000000006</v>
      </c>
      <c r="L609" s="80"/>
      <c r="M609" s="80">
        <f t="shared" si="78"/>
        <v>1529.2800000000002</v>
      </c>
      <c r="N609" s="79"/>
      <c r="O609" s="79"/>
      <c r="P609" s="80">
        <f t="shared" si="75"/>
        <v>0</v>
      </c>
      <c r="Q609" s="80">
        <f t="shared" si="76"/>
        <v>0</v>
      </c>
      <c r="R609" s="80">
        <f t="shared" si="77"/>
        <v>0</v>
      </c>
      <c r="S609" s="89"/>
    </row>
    <row r="610" spans="2:20" x14ac:dyDescent="0.4">
      <c r="B610" s="77">
        <v>44500</v>
      </c>
      <c r="C610" s="64"/>
      <c r="D610" s="64"/>
      <c r="E610" s="64" t="s">
        <v>471</v>
      </c>
      <c r="F610" s="64" t="s">
        <v>1057</v>
      </c>
      <c r="G610" s="71" t="s">
        <v>1062</v>
      </c>
      <c r="H610" s="78">
        <v>0.08</v>
      </c>
      <c r="I610" s="79">
        <f>12*1</f>
        <v>12</v>
      </c>
      <c r="J610" s="94">
        <v>59</v>
      </c>
      <c r="K610" s="80">
        <f t="shared" si="79"/>
        <v>63.720000000000006</v>
      </c>
      <c r="L610" s="80"/>
      <c r="M610" s="80">
        <f t="shared" si="78"/>
        <v>764.6400000000001</v>
      </c>
      <c r="N610" s="79"/>
      <c r="O610" s="79"/>
      <c r="P610" s="80">
        <f t="shared" si="75"/>
        <v>0</v>
      </c>
      <c r="Q610" s="80">
        <f t="shared" si="76"/>
        <v>0</v>
      </c>
      <c r="R610" s="80">
        <f t="shared" si="77"/>
        <v>0</v>
      </c>
      <c r="S610" s="89"/>
    </row>
    <row r="611" spans="2:20" x14ac:dyDescent="0.4">
      <c r="B611" s="77">
        <v>44500</v>
      </c>
      <c r="C611" s="64"/>
      <c r="D611" s="64"/>
      <c r="E611" s="64" t="s">
        <v>471</v>
      </c>
      <c r="F611" s="64" t="s">
        <v>1058</v>
      </c>
      <c r="G611" s="71" t="s">
        <v>1063</v>
      </c>
      <c r="H611" s="78">
        <v>0.08</v>
      </c>
      <c r="I611" s="79">
        <f>12*3</f>
        <v>36</v>
      </c>
      <c r="J611" s="94">
        <v>120</v>
      </c>
      <c r="K611" s="80">
        <f t="shared" si="79"/>
        <v>129.60000000000002</v>
      </c>
      <c r="L611" s="80"/>
      <c r="M611" s="80">
        <f t="shared" si="78"/>
        <v>4665.6000000000004</v>
      </c>
      <c r="N611" s="79"/>
      <c r="O611" s="79"/>
      <c r="P611" s="80">
        <f t="shared" si="75"/>
        <v>0</v>
      </c>
      <c r="Q611" s="80">
        <f t="shared" si="76"/>
        <v>0</v>
      </c>
      <c r="R611" s="80">
        <f t="shared" si="77"/>
        <v>0</v>
      </c>
      <c r="S611" s="89">
        <f>SUM(L605:M612)</f>
        <v>21720.959999999999</v>
      </c>
    </row>
    <row r="612" spans="2:20" x14ac:dyDescent="0.4">
      <c r="B612" s="77">
        <v>44500</v>
      </c>
      <c r="C612" s="64"/>
      <c r="D612" s="64"/>
      <c r="E612" s="64" t="s">
        <v>471</v>
      </c>
      <c r="F612" s="64" t="s">
        <v>1064</v>
      </c>
      <c r="G612" s="71" t="s">
        <v>1070</v>
      </c>
      <c r="H612" s="78">
        <v>0.08</v>
      </c>
      <c r="I612" s="79">
        <f>12*6</f>
        <v>72</v>
      </c>
      <c r="J612" s="94">
        <v>113</v>
      </c>
      <c r="K612" s="80">
        <f t="shared" si="79"/>
        <v>122.04</v>
      </c>
      <c r="L612" s="80"/>
      <c r="M612" s="80">
        <f t="shared" si="78"/>
        <v>8786.880000000001</v>
      </c>
      <c r="N612" s="79"/>
      <c r="O612" s="79"/>
      <c r="P612" s="80">
        <f t="shared" si="75"/>
        <v>0</v>
      </c>
      <c r="Q612" s="80">
        <f t="shared" si="76"/>
        <v>0</v>
      </c>
      <c r="R612" s="80">
        <f t="shared" si="77"/>
        <v>0</v>
      </c>
      <c r="S612" s="89"/>
    </row>
    <row r="613" spans="2:20" x14ac:dyDescent="0.4">
      <c r="B613" s="77">
        <v>44500</v>
      </c>
      <c r="C613" s="64"/>
      <c r="D613" s="64"/>
      <c r="E613" s="64" t="s">
        <v>471</v>
      </c>
      <c r="F613" s="64" t="s">
        <v>897</v>
      </c>
      <c r="G613" s="71" t="s">
        <v>276</v>
      </c>
      <c r="H613" s="78">
        <v>0.08</v>
      </c>
      <c r="I613" s="79">
        <f>24*1</f>
        <v>24</v>
      </c>
      <c r="J613" s="94">
        <v>72</v>
      </c>
      <c r="K613" s="80">
        <f t="shared" si="79"/>
        <v>77.760000000000005</v>
      </c>
      <c r="L613" s="80"/>
      <c r="M613" s="80">
        <f t="shared" si="78"/>
        <v>1866.2400000000002</v>
      </c>
      <c r="N613" s="79"/>
      <c r="O613" s="79"/>
      <c r="P613" s="80">
        <f t="shared" si="75"/>
        <v>0</v>
      </c>
      <c r="Q613" s="80">
        <f t="shared" si="76"/>
        <v>0</v>
      </c>
      <c r="R613" s="80">
        <f t="shared" si="77"/>
        <v>0</v>
      </c>
      <c r="S613" s="89"/>
    </row>
    <row r="614" spans="2:20" x14ac:dyDescent="0.4">
      <c r="B614" s="77">
        <v>44500</v>
      </c>
      <c r="C614" s="64"/>
      <c r="D614" s="64"/>
      <c r="E614" s="64" t="s">
        <v>471</v>
      </c>
      <c r="F614" s="64" t="s">
        <v>808</v>
      </c>
      <c r="G614" s="71" t="s">
        <v>277</v>
      </c>
      <c r="H614" s="78">
        <v>0.08</v>
      </c>
      <c r="I614" s="79">
        <f>18*2</f>
        <v>36</v>
      </c>
      <c r="J614" s="94">
        <v>135</v>
      </c>
      <c r="K614" s="80">
        <f t="shared" si="79"/>
        <v>145.80000000000001</v>
      </c>
      <c r="L614" s="80"/>
      <c r="M614" s="80">
        <f t="shared" si="78"/>
        <v>5248.8</v>
      </c>
      <c r="N614" s="79"/>
      <c r="O614" s="79"/>
      <c r="P614" s="80">
        <f t="shared" si="75"/>
        <v>0</v>
      </c>
      <c r="Q614" s="80">
        <f t="shared" si="76"/>
        <v>0</v>
      </c>
      <c r="R614" s="80">
        <f t="shared" si="77"/>
        <v>0</v>
      </c>
      <c r="S614" s="89"/>
    </row>
    <row r="615" spans="2:20" x14ac:dyDescent="0.4">
      <c r="B615" s="77">
        <v>44500</v>
      </c>
      <c r="C615" s="64"/>
      <c r="D615" s="64"/>
      <c r="E615" s="64" t="s">
        <v>471</v>
      </c>
      <c r="F615" s="64" t="s">
        <v>941</v>
      </c>
      <c r="G615" s="71" t="s">
        <v>943</v>
      </c>
      <c r="H615" s="78">
        <v>0.08</v>
      </c>
      <c r="I615" s="79">
        <f>12*2</f>
        <v>24</v>
      </c>
      <c r="J615" s="94">
        <v>131</v>
      </c>
      <c r="K615" s="80">
        <f t="shared" si="79"/>
        <v>141.48000000000002</v>
      </c>
      <c r="L615" s="80"/>
      <c r="M615" s="80">
        <f t="shared" si="78"/>
        <v>3395.5200000000004</v>
      </c>
      <c r="N615" s="79"/>
      <c r="O615" s="79"/>
      <c r="P615" s="80">
        <f t="shared" si="75"/>
        <v>0</v>
      </c>
      <c r="Q615" s="80">
        <f t="shared" si="76"/>
        <v>0</v>
      </c>
      <c r="R615" s="80">
        <f t="shared" si="77"/>
        <v>0</v>
      </c>
      <c r="S615" s="89"/>
    </row>
    <row r="616" spans="2:20" x14ac:dyDescent="0.4">
      <c r="B616" s="77">
        <v>44500</v>
      </c>
      <c r="C616" s="64"/>
      <c r="D616" s="64"/>
      <c r="E616" s="64" t="s">
        <v>471</v>
      </c>
      <c r="F616" s="64" t="s">
        <v>1065</v>
      </c>
      <c r="G616" s="71" t="s">
        <v>1071</v>
      </c>
      <c r="H616" s="78">
        <v>0.08</v>
      </c>
      <c r="I616" s="79">
        <f>50*4</f>
        <v>200</v>
      </c>
      <c r="J616" s="94">
        <v>69</v>
      </c>
      <c r="K616" s="80">
        <f t="shared" si="79"/>
        <v>74.52000000000001</v>
      </c>
      <c r="L616" s="80"/>
      <c r="M616" s="80">
        <f t="shared" si="78"/>
        <v>14904.000000000002</v>
      </c>
      <c r="N616" s="79"/>
      <c r="O616" s="79"/>
      <c r="P616" s="80">
        <f t="shared" si="75"/>
        <v>0</v>
      </c>
      <c r="Q616" s="80">
        <f t="shared" si="76"/>
        <v>0</v>
      </c>
      <c r="R616" s="80">
        <f t="shared" si="77"/>
        <v>0</v>
      </c>
    </row>
    <row r="617" spans="2:20" x14ac:dyDescent="0.4">
      <c r="B617" s="77">
        <v>44500</v>
      </c>
      <c r="C617" s="64"/>
      <c r="D617" s="64"/>
      <c r="E617" s="64" t="s">
        <v>471</v>
      </c>
      <c r="F617" s="64" t="s">
        <v>1066</v>
      </c>
      <c r="G617" s="71" t="s">
        <v>1072</v>
      </c>
      <c r="H617" s="78">
        <v>0.08</v>
      </c>
      <c r="I617" s="79">
        <f>12*4</f>
        <v>48</v>
      </c>
      <c r="J617" s="94">
        <v>207</v>
      </c>
      <c r="K617" s="80">
        <f t="shared" si="79"/>
        <v>223.56</v>
      </c>
      <c r="L617" s="80"/>
      <c r="M617" s="80">
        <f t="shared" si="78"/>
        <v>10730.880000000001</v>
      </c>
      <c r="N617" s="79"/>
      <c r="O617" s="79"/>
      <c r="P617" s="80">
        <f t="shared" si="75"/>
        <v>0</v>
      </c>
      <c r="Q617" s="80">
        <f t="shared" si="76"/>
        <v>0</v>
      </c>
      <c r="R617" s="80">
        <f t="shared" si="77"/>
        <v>0</v>
      </c>
    </row>
    <row r="618" spans="2:20" x14ac:dyDescent="0.4">
      <c r="B618" s="77">
        <v>44500</v>
      </c>
      <c r="C618" s="64"/>
      <c r="D618" s="64"/>
      <c r="E618" s="64" t="s">
        <v>471</v>
      </c>
      <c r="F618" s="64" t="s">
        <v>613</v>
      </c>
      <c r="G618" s="71" t="s">
        <v>620</v>
      </c>
      <c r="H618" s="78">
        <v>0.08</v>
      </c>
      <c r="I618" s="79">
        <f>16*3</f>
        <v>48</v>
      </c>
      <c r="J618" s="94">
        <v>284</v>
      </c>
      <c r="K618" s="80">
        <f t="shared" si="79"/>
        <v>306.72000000000003</v>
      </c>
      <c r="L618" s="80"/>
      <c r="M618" s="80">
        <f t="shared" si="78"/>
        <v>14722.560000000001</v>
      </c>
      <c r="N618" s="79"/>
      <c r="O618" s="79"/>
      <c r="P618" s="80">
        <f t="shared" si="75"/>
        <v>0</v>
      </c>
      <c r="Q618" s="80">
        <f t="shared" si="76"/>
        <v>0</v>
      </c>
      <c r="R618" s="80">
        <f t="shared" si="77"/>
        <v>0</v>
      </c>
    </row>
    <row r="619" spans="2:20" x14ac:dyDescent="0.4">
      <c r="B619" s="77">
        <v>44500</v>
      </c>
      <c r="C619" s="64"/>
      <c r="D619" s="64"/>
      <c r="E619" s="64" t="s">
        <v>471</v>
      </c>
      <c r="F619" s="64" t="s">
        <v>680</v>
      </c>
      <c r="G619" s="71" t="s">
        <v>687</v>
      </c>
      <c r="H619" s="78">
        <v>0.08</v>
      </c>
      <c r="I619" s="79">
        <f>24*1</f>
        <v>24</v>
      </c>
      <c r="J619" s="94">
        <v>142</v>
      </c>
      <c r="K619" s="80">
        <f t="shared" si="79"/>
        <v>153.36000000000001</v>
      </c>
      <c r="L619" s="80"/>
      <c r="M619" s="80">
        <f t="shared" si="78"/>
        <v>3680.6400000000003</v>
      </c>
      <c r="N619" s="79"/>
      <c r="O619" s="79"/>
      <c r="P619" s="80">
        <f t="shared" si="75"/>
        <v>0</v>
      </c>
      <c r="Q619" s="80">
        <f t="shared" si="76"/>
        <v>0</v>
      </c>
      <c r="R619" s="80">
        <f t="shared" si="77"/>
        <v>0</v>
      </c>
    </row>
    <row r="620" spans="2:20" x14ac:dyDescent="0.4">
      <c r="B620" s="77">
        <v>44500</v>
      </c>
      <c r="C620" s="64"/>
      <c r="D620" s="64"/>
      <c r="E620" s="64" t="s">
        <v>471</v>
      </c>
      <c r="F620" s="64" t="s">
        <v>1067</v>
      </c>
      <c r="G620" s="71" t="s">
        <v>1073</v>
      </c>
      <c r="H620" s="78">
        <v>0.08</v>
      </c>
      <c r="I620" s="79">
        <f>24*1</f>
        <v>24</v>
      </c>
      <c r="J620" s="94">
        <v>142</v>
      </c>
      <c r="K620" s="80">
        <f t="shared" si="79"/>
        <v>153.36000000000001</v>
      </c>
      <c r="L620" s="80"/>
      <c r="M620" s="80">
        <f t="shared" si="78"/>
        <v>3680.6400000000003</v>
      </c>
      <c r="N620" s="79"/>
      <c r="O620" s="79"/>
      <c r="P620" s="80">
        <f t="shared" si="75"/>
        <v>0</v>
      </c>
      <c r="Q620" s="80">
        <f t="shared" si="76"/>
        <v>0</v>
      </c>
      <c r="R620" s="80">
        <f t="shared" si="77"/>
        <v>0</v>
      </c>
    </row>
    <row r="621" spans="2:20" x14ac:dyDescent="0.4">
      <c r="B621" s="77">
        <v>44500</v>
      </c>
      <c r="C621" s="64"/>
      <c r="D621" s="64"/>
      <c r="E621" s="64" t="s">
        <v>471</v>
      </c>
      <c r="F621" s="64" t="s">
        <v>1068</v>
      </c>
      <c r="G621" s="71" t="s">
        <v>1074</v>
      </c>
      <c r="H621" s="78">
        <v>0.08</v>
      </c>
      <c r="I621" s="79">
        <f>24*1</f>
        <v>24</v>
      </c>
      <c r="J621" s="94">
        <v>142</v>
      </c>
      <c r="K621" s="80">
        <f t="shared" si="79"/>
        <v>153.36000000000001</v>
      </c>
      <c r="L621" s="80"/>
      <c r="M621" s="80">
        <f t="shared" si="78"/>
        <v>3680.6400000000003</v>
      </c>
      <c r="N621" s="79"/>
      <c r="O621" s="79"/>
      <c r="P621" s="80">
        <f t="shared" si="75"/>
        <v>0</v>
      </c>
      <c r="Q621" s="80">
        <f t="shared" si="76"/>
        <v>0</v>
      </c>
      <c r="R621" s="80">
        <f t="shared" si="77"/>
        <v>0</v>
      </c>
    </row>
    <row r="622" spans="2:20" x14ac:dyDescent="0.4">
      <c r="B622" s="77">
        <v>44500</v>
      </c>
      <c r="C622" s="64"/>
      <c r="D622" s="64"/>
      <c r="E622" s="64" t="s">
        <v>471</v>
      </c>
      <c r="F622" s="64" t="s">
        <v>1069</v>
      </c>
      <c r="G622" s="71" t="s">
        <v>1075</v>
      </c>
      <c r="H622" s="78">
        <v>0.08</v>
      </c>
      <c r="I622" s="79">
        <f>24*4</f>
        <v>96</v>
      </c>
      <c r="J622" s="94">
        <v>142</v>
      </c>
      <c r="K622" s="80">
        <f t="shared" si="79"/>
        <v>153.36000000000001</v>
      </c>
      <c r="L622" s="80"/>
      <c r="M622" s="80">
        <f t="shared" si="78"/>
        <v>14722.560000000001</v>
      </c>
      <c r="N622" s="79"/>
      <c r="O622" s="79"/>
      <c r="P622" s="80">
        <f t="shared" si="75"/>
        <v>0</v>
      </c>
      <c r="Q622" s="80">
        <f t="shared" si="76"/>
        <v>0</v>
      </c>
      <c r="R622" s="80">
        <f t="shared" si="77"/>
        <v>0</v>
      </c>
      <c r="S622" s="89">
        <f>SUM(M612:M623)</f>
        <v>88164.96</v>
      </c>
    </row>
    <row r="623" spans="2:20" x14ac:dyDescent="0.4">
      <c r="B623" s="77">
        <v>44500</v>
      </c>
      <c r="C623" s="64"/>
      <c r="D623" s="64"/>
      <c r="E623" s="64" t="s">
        <v>471</v>
      </c>
      <c r="F623" s="64" t="s">
        <v>669</v>
      </c>
      <c r="G623" s="71" t="s">
        <v>674</v>
      </c>
      <c r="H623" s="78">
        <v>0.08</v>
      </c>
      <c r="I623" s="79">
        <f>1*13</f>
        <v>13</v>
      </c>
      <c r="J623" s="94">
        <v>192</v>
      </c>
      <c r="K623" s="80">
        <f>J623*110%</f>
        <v>211.20000000000002</v>
      </c>
      <c r="L623" s="80"/>
      <c r="M623" s="80">
        <f t="shared" si="78"/>
        <v>2745.6000000000004</v>
      </c>
      <c r="N623" s="79"/>
      <c r="O623" s="79"/>
      <c r="P623" s="80">
        <f t="shared" si="75"/>
        <v>0</v>
      </c>
      <c r="Q623" s="80">
        <f t="shared" si="76"/>
        <v>0</v>
      </c>
      <c r="R623" s="80">
        <f t="shared" si="77"/>
        <v>0</v>
      </c>
      <c r="S623" s="100">
        <f>M623</f>
        <v>2745.6000000000004</v>
      </c>
      <c r="T623" s="101">
        <f>S623*1.1</f>
        <v>3020.1600000000008</v>
      </c>
    </row>
    <row r="624" spans="2:20" x14ac:dyDescent="0.4">
      <c r="B624" s="77">
        <v>44500</v>
      </c>
      <c r="C624" s="64"/>
      <c r="D624" s="64"/>
      <c r="E624" s="64" t="s">
        <v>471</v>
      </c>
      <c r="F624" s="64" t="s">
        <v>1076</v>
      </c>
      <c r="G624" s="71" t="s">
        <v>1082</v>
      </c>
      <c r="H624" s="78">
        <v>0.08</v>
      </c>
      <c r="I624" s="79">
        <f>6*2</f>
        <v>12</v>
      </c>
      <c r="J624" s="94">
        <v>107</v>
      </c>
      <c r="K624" s="80">
        <f>J624*108%</f>
        <v>115.56</v>
      </c>
      <c r="L624" s="80"/>
      <c r="M624" s="80">
        <f t="shared" si="78"/>
        <v>1386.72</v>
      </c>
      <c r="N624" s="79"/>
      <c r="O624" s="79"/>
      <c r="P624" s="80">
        <f t="shared" si="75"/>
        <v>0</v>
      </c>
      <c r="Q624" s="80">
        <f t="shared" si="76"/>
        <v>0</v>
      </c>
      <c r="R624" s="80">
        <f t="shared" si="77"/>
        <v>0</v>
      </c>
    </row>
    <row r="625" spans="2:19" x14ac:dyDescent="0.4">
      <c r="B625" s="77">
        <v>44500</v>
      </c>
      <c r="C625" s="64"/>
      <c r="D625" s="64"/>
      <c r="E625" s="64" t="s">
        <v>471</v>
      </c>
      <c r="F625" s="64" t="s">
        <v>1077</v>
      </c>
      <c r="G625" s="71" t="s">
        <v>1083</v>
      </c>
      <c r="H625" s="78">
        <v>0.1</v>
      </c>
      <c r="I625" s="79">
        <f>6*5</f>
        <v>30</v>
      </c>
      <c r="J625" s="94">
        <v>402</v>
      </c>
      <c r="K625" s="80">
        <f>J625*110%</f>
        <v>442.20000000000005</v>
      </c>
      <c r="L625" s="80"/>
      <c r="M625" s="80">
        <f t="shared" ref="M625:M651" si="80">K625*I625</f>
        <v>13266.000000000002</v>
      </c>
      <c r="N625" s="79"/>
      <c r="O625" s="79"/>
      <c r="P625" s="80">
        <f t="shared" si="75"/>
        <v>0</v>
      </c>
      <c r="Q625" s="80">
        <f t="shared" si="76"/>
        <v>0</v>
      </c>
      <c r="R625" s="80">
        <f t="shared" si="77"/>
        <v>0</v>
      </c>
    </row>
    <row r="626" spans="2:19" x14ac:dyDescent="0.4">
      <c r="B626" s="77">
        <v>44500</v>
      </c>
      <c r="C626" s="64"/>
      <c r="D626" s="64"/>
      <c r="E626" s="64" t="s">
        <v>471</v>
      </c>
      <c r="F626" s="64" t="s">
        <v>1078</v>
      </c>
      <c r="G626" s="71" t="s">
        <v>1084</v>
      </c>
      <c r="H626" s="78">
        <v>0.1</v>
      </c>
      <c r="I626" s="79">
        <f>1*11</f>
        <v>11</v>
      </c>
      <c r="J626" s="94">
        <v>346</v>
      </c>
      <c r="K626" s="80">
        <f t="shared" ref="K626:K629" si="81">J626*110%</f>
        <v>380.6</v>
      </c>
      <c r="L626" s="80"/>
      <c r="M626" s="80">
        <f t="shared" si="80"/>
        <v>4186.6000000000004</v>
      </c>
      <c r="N626" s="79"/>
      <c r="O626" s="79"/>
      <c r="P626" s="80">
        <f t="shared" si="75"/>
        <v>0</v>
      </c>
      <c r="Q626" s="80">
        <f t="shared" si="76"/>
        <v>0</v>
      </c>
      <c r="R626" s="80">
        <f t="shared" si="77"/>
        <v>0</v>
      </c>
    </row>
    <row r="627" spans="2:19" x14ac:dyDescent="0.4">
      <c r="B627" s="77">
        <v>44500</v>
      </c>
      <c r="C627" s="64"/>
      <c r="D627" s="64"/>
      <c r="E627" s="64" t="s">
        <v>471</v>
      </c>
      <c r="F627" s="64" t="s">
        <v>1079</v>
      </c>
      <c r="G627" s="71" t="s">
        <v>1085</v>
      </c>
      <c r="H627" s="78">
        <v>0.08</v>
      </c>
      <c r="I627" s="79">
        <f>10*6</f>
        <v>60</v>
      </c>
      <c r="J627" s="94">
        <v>79</v>
      </c>
      <c r="K627" s="80">
        <f>J627*108%</f>
        <v>85.320000000000007</v>
      </c>
      <c r="L627" s="80"/>
      <c r="M627" s="80">
        <f t="shared" si="80"/>
        <v>5119.2000000000007</v>
      </c>
      <c r="N627" s="79"/>
      <c r="O627" s="79"/>
      <c r="P627" s="80">
        <f t="shared" si="75"/>
        <v>0</v>
      </c>
      <c r="Q627" s="80">
        <f t="shared" si="76"/>
        <v>0</v>
      </c>
      <c r="R627" s="80">
        <f t="shared" si="77"/>
        <v>0</v>
      </c>
    </row>
    <row r="628" spans="2:19" x14ac:dyDescent="0.4">
      <c r="B628" s="77">
        <v>44500</v>
      </c>
      <c r="C628" s="64"/>
      <c r="D628" s="64"/>
      <c r="E628" s="64" t="s">
        <v>471</v>
      </c>
      <c r="F628" s="64" t="s">
        <v>1080</v>
      </c>
      <c r="G628" s="71" t="s">
        <v>1086</v>
      </c>
      <c r="H628" s="78">
        <v>0.1</v>
      </c>
      <c r="I628" s="79">
        <f>5*7</f>
        <v>35</v>
      </c>
      <c r="J628" s="94">
        <v>148</v>
      </c>
      <c r="K628" s="80">
        <f t="shared" si="81"/>
        <v>162.80000000000001</v>
      </c>
      <c r="L628" s="80"/>
      <c r="M628" s="80">
        <f t="shared" si="80"/>
        <v>5698</v>
      </c>
      <c r="N628" s="79"/>
      <c r="O628" s="79"/>
      <c r="P628" s="80">
        <f t="shared" si="75"/>
        <v>0</v>
      </c>
      <c r="Q628" s="80">
        <f t="shared" si="76"/>
        <v>0</v>
      </c>
      <c r="R628" s="80">
        <f t="shared" si="77"/>
        <v>0</v>
      </c>
    </row>
    <row r="629" spans="2:19" x14ac:dyDescent="0.4">
      <c r="B629" s="77">
        <v>44500</v>
      </c>
      <c r="C629" s="64"/>
      <c r="D629" s="64"/>
      <c r="E629" s="64" t="s">
        <v>471</v>
      </c>
      <c r="F629" s="64" t="s">
        <v>1081</v>
      </c>
      <c r="G629" s="71" t="s">
        <v>1087</v>
      </c>
      <c r="H629" s="78">
        <v>0.1</v>
      </c>
      <c r="I629" s="79">
        <f>8*3</f>
        <v>24</v>
      </c>
      <c r="J629" s="94">
        <v>278</v>
      </c>
      <c r="K629" s="80">
        <f t="shared" si="81"/>
        <v>305.8</v>
      </c>
      <c r="L629" s="80"/>
      <c r="M629" s="80">
        <f t="shared" si="80"/>
        <v>7339.2000000000007</v>
      </c>
      <c r="N629" s="79"/>
      <c r="O629" s="79"/>
      <c r="P629" s="80">
        <f t="shared" si="75"/>
        <v>0</v>
      </c>
      <c r="Q629" s="80">
        <f t="shared" si="76"/>
        <v>0</v>
      </c>
      <c r="R629" s="80">
        <f t="shared" si="77"/>
        <v>0</v>
      </c>
      <c r="S629" s="89">
        <f>SUM(M624:M629)</f>
        <v>36995.72</v>
      </c>
    </row>
    <row r="630" spans="2:19" x14ac:dyDescent="0.4">
      <c r="B630" s="77">
        <v>44500</v>
      </c>
      <c r="C630" s="64"/>
      <c r="D630" s="64"/>
      <c r="E630" s="64" t="s">
        <v>471</v>
      </c>
      <c r="F630" s="64" t="s">
        <v>713</v>
      </c>
      <c r="G630" s="71" t="s">
        <v>726</v>
      </c>
      <c r="H630" s="78">
        <v>0.08</v>
      </c>
      <c r="I630" s="79">
        <f>144*4</f>
        <v>576</v>
      </c>
      <c r="J630" s="94">
        <v>59</v>
      </c>
      <c r="K630" s="80">
        <f>J630*108%</f>
        <v>63.720000000000006</v>
      </c>
      <c r="L630" s="80"/>
      <c r="M630" s="80">
        <f t="shared" si="80"/>
        <v>36702.720000000001</v>
      </c>
      <c r="N630" s="79"/>
      <c r="O630" s="79"/>
      <c r="P630" s="80">
        <f t="shared" si="75"/>
        <v>0</v>
      </c>
      <c r="Q630" s="80">
        <f t="shared" si="76"/>
        <v>0</v>
      </c>
      <c r="R630" s="80">
        <f t="shared" si="77"/>
        <v>0</v>
      </c>
    </row>
    <row r="631" spans="2:19" x14ac:dyDescent="0.4">
      <c r="B631" s="77">
        <v>44500</v>
      </c>
      <c r="C631" s="64"/>
      <c r="D631" s="64"/>
      <c r="E631" s="64" t="s">
        <v>471</v>
      </c>
      <c r="F631" s="64" t="s">
        <v>506</v>
      </c>
      <c r="G631" s="71" t="s">
        <v>285</v>
      </c>
      <c r="H631" s="78">
        <v>0.08</v>
      </c>
      <c r="I631" s="79">
        <f>6*7</f>
        <v>42</v>
      </c>
      <c r="J631" s="94">
        <v>65</v>
      </c>
      <c r="K631" s="80">
        <f t="shared" ref="K631:K748" si="82">J631*108%</f>
        <v>70.2</v>
      </c>
      <c r="L631" s="80"/>
      <c r="M631" s="80">
        <f t="shared" si="80"/>
        <v>2948.4</v>
      </c>
      <c r="N631" s="79"/>
      <c r="O631" s="79"/>
      <c r="P631" s="80">
        <f t="shared" si="75"/>
        <v>0</v>
      </c>
      <c r="Q631" s="80">
        <f t="shared" si="76"/>
        <v>0</v>
      </c>
      <c r="R631" s="80">
        <f t="shared" si="77"/>
        <v>0</v>
      </c>
    </row>
    <row r="632" spans="2:19" x14ac:dyDescent="0.4">
      <c r="B632" s="77">
        <v>44500</v>
      </c>
      <c r="C632" s="64"/>
      <c r="D632" s="64"/>
      <c r="E632" s="64" t="s">
        <v>471</v>
      </c>
      <c r="F632" s="64" t="s">
        <v>511</v>
      </c>
      <c r="G632" s="71" t="s">
        <v>290</v>
      </c>
      <c r="H632" s="78">
        <v>0.08</v>
      </c>
      <c r="I632" s="79">
        <f>6*7</f>
        <v>42</v>
      </c>
      <c r="J632" s="94">
        <v>65</v>
      </c>
      <c r="K632" s="80">
        <f t="shared" si="82"/>
        <v>70.2</v>
      </c>
      <c r="L632" s="80"/>
      <c r="M632" s="80">
        <f t="shared" si="80"/>
        <v>2948.4</v>
      </c>
      <c r="N632" s="79"/>
      <c r="O632" s="79"/>
      <c r="P632" s="80">
        <f t="shared" si="75"/>
        <v>0</v>
      </c>
      <c r="Q632" s="80">
        <f t="shared" si="76"/>
        <v>0</v>
      </c>
      <c r="R632" s="80">
        <f t="shared" si="77"/>
        <v>0</v>
      </c>
    </row>
    <row r="633" spans="2:19" x14ac:dyDescent="0.4">
      <c r="B633" s="77">
        <v>44500</v>
      </c>
      <c r="C633" s="64"/>
      <c r="D633" s="64"/>
      <c r="E633" s="64" t="s">
        <v>471</v>
      </c>
      <c r="F633" s="64" t="s">
        <v>736</v>
      </c>
      <c r="G633" s="71" t="s">
        <v>742</v>
      </c>
      <c r="H633" s="78">
        <v>0.08</v>
      </c>
      <c r="I633" s="79">
        <f>12*1</f>
        <v>12</v>
      </c>
      <c r="J633" s="94">
        <v>218</v>
      </c>
      <c r="K633" s="80">
        <f t="shared" si="82"/>
        <v>235.44000000000003</v>
      </c>
      <c r="L633" s="80"/>
      <c r="M633" s="80">
        <f t="shared" si="80"/>
        <v>2825.28</v>
      </c>
      <c r="N633" s="79"/>
      <c r="O633" s="79"/>
      <c r="P633" s="80">
        <f t="shared" si="75"/>
        <v>0</v>
      </c>
      <c r="Q633" s="80">
        <f t="shared" si="76"/>
        <v>0</v>
      </c>
      <c r="R633" s="80">
        <f t="shared" si="77"/>
        <v>0</v>
      </c>
    </row>
    <row r="634" spans="2:19" x14ac:dyDescent="0.4">
      <c r="B634" s="77">
        <v>44500</v>
      </c>
      <c r="C634" s="64"/>
      <c r="D634" s="64"/>
      <c r="E634" s="64" t="s">
        <v>471</v>
      </c>
      <c r="F634" s="64" t="s">
        <v>736</v>
      </c>
      <c r="G634" s="71" t="s">
        <v>742</v>
      </c>
      <c r="H634" s="78">
        <v>0.08</v>
      </c>
      <c r="I634" s="79">
        <f>1*2</f>
        <v>2</v>
      </c>
      <c r="J634" s="94">
        <v>218</v>
      </c>
      <c r="K634" s="80">
        <f t="shared" si="82"/>
        <v>235.44000000000003</v>
      </c>
      <c r="L634" s="80"/>
      <c r="M634" s="80">
        <f t="shared" si="80"/>
        <v>470.88000000000005</v>
      </c>
      <c r="N634" s="79"/>
      <c r="O634" s="79"/>
      <c r="P634" s="80">
        <f t="shared" si="75"/>
        <v>0</v>
      </c>
      <c r="Q634" s="80">
        <f t="shared" si="76"/>
        <v>0</v>
      </c>
      <c r="R634" s="80">
        <f t="shared" si="77"/>
        <v>0</v>
      </c>
    </row>
    <row r="635" spans="2:19" x14ac:dyDescent="0.4">
      <c r="B635" s="77">
        <v>44500</v>
      </c>
      <c r="C635" s="64"/>
      <c r="D635" s="64"/>
      <c r="E635" s="64" t="s">
        <v>471</v>
      </c>
      <c r="F635" s="64" t="s">
        <v>1088</v>
      </c>
      <c r="G635" s="71" t="s">
        <v>561</v>
      </c>
      <c r="H635" s="78">
        <v>0.08</v>
      </c>
      <c r="I635" s="79">
        <f>240*2</f>
        <v>480</v>
      </c>
      <c r="J635" s="94">
        <v>50</v>
      </c>
      <c r="K635" s="80">
        <f t="shared" si="82"/>
        <v>54</v>
      </c>
      <c r="L635" s="80"/>
      <c r="M635" s="80">
        <f t="shared" si="80"/>
        <v>25920</v>
      </c>
      <c r="N635" s="79"/>
      <c r="O635" s="79"/>
      <c r="P635" s="80">
        <f t="shared" si="75"/>
        <v>0</v>
      </c>
      <c r="Q635" s="80">
        <f t="shared" si="76"/>
        <v>0</v>
      </c>
      <c r="R635" s="80">
        <f t="shared" si="77"/>
        <v>0</v>
      </c>
    </row>
    <row r="636" spans="2:19" x14ac:dyDescent="0.4">
      <c r="B636" s="77">
        <v>44500</v>
      </c>
      <c r="C636" s="64"/>
      <c r="D636" s="64"/>
      <c r="E636" s="64" t="s">
        <v>471</v>
      </c>
      <c r="F636" s="64" t="s">
        <v>979</v>
      </c>
      <c r="G636" s="71" t="s">
        <v>598</v>
      </c>
      <c r="H636" s="78">
        <v>0.08</v>
      </c>
      <c r="I636" s="79">
        <f>1*15</f>
        <v>15</v>
      </c>
      <c r="J636" s="94">
        <v>267</v>
      </c>
      <c r="K636" s="80">
        <f t="shared" si="82"/>
        <v>288.36</v>
      </c>
      <c r="L636" s="80"/>
      <c r="M636" s="80">
        <f t="shared" si="80"/>
        <v>4325.4000000000005</v>
      </c>
      <c r="N636" s="79"/>
      <c r="O636" s="79"/>
      <c r="P636" s="80">
        <f t="shared" si="75"/>
        <v>0</v>
      </c>
      <c r="Q636" s="80">
        <f t="shared" si="76"/>
        <v>0</v>
      </c>
      <c r="R636" s="80">
        <f t="shared" si="77"/>
        <v>0</v>
      </c>
    </row>
    <row r="637" spans="2:19" x14ac:dyDescent="0.4">
      <c r="B637" s="77">
        <v>44500</v>
      </c>
      <c r="C637" s="64"/>
      <c r="D637" s="64"/>
      <c r="E637" s="64" t="s">
        <v>471</v>
      </c>
      <c r="F637" s="64" t="s">
        <v>541</v>
      </c>
      <c r="G637" s="71" t="s">
        <v>542</v>
      </c>
      <c r="H637" s="78">
        <v>0.08</v>
      </c>
      <c r="I637" s="79">
        <f>6*3</f>
        <v>18</v>
      </c>
      <c r="J637" s="94">
        <v>146</v>
      </c>
      <c r="K637" s="80">
        <f t="shared" si="82"/>
        <v>157.68</v>
      </c>
      <c r="L637" s="80"/>
      <c r="M637" s="80">
        <f t="shared" si="80"/>
        <v>2838.2400000000002</v>
      </c>
      <c r="N637" s="79"/>
      <c r="O637" s="79"/>
      <c r="P637" s="80">
        <f t="shared" si="75"/>
        <v>0</v>
      </c>
      <c r="Q637" s="80">
        <f t="shared" si="76"/>
        <v>0</v>
      </c>
      <c r="R637" s="80">
        <f t="shared" si="77"/>
        <v>0</v>
      </c>
    </row>
    <row r="638" spans="2:19" x14ac:dyDescent="0.4">
      <c r="B638" s="77">
        <v>44500</v>
      </c>
      <c r="C638" s="64"/>
      <c r="D638" s="64"/>
      <c r="E638" s="64" t="s">
        <v>471</v>
      </c>
      <c r="F638" s="64" t="s">
        <v>1089</v>
      </c>
      <c r="G638" s="71" t="s">
        <v>550</v>
      </c>
      <c r="H638" s="78">
        <v>0.08</v>
      </c>
      <c r="I638" s="79">
        <f>12*1</f>
        <v>12</v>
      </c>
      <c r="J638" s="94">
        <v>75</v>
      </c>
      <c r="K638" s="80">
        <f t="shared" si="82"/>
        <v>81</v>
      </c>
      <c r="L638" s="80"/>
      <c r="M638" s="80">
        <f t="shared" si="80"/>
        <v>972</v>
      </c>
      <c r="N638" s="79"/>
      <c r="O638" s="79"/>
      <c r="P638" s="80">
        <f t="shared" si="75"/>
        <v>0</v>
      </c>
      <c r="Q638" s="80">
        <f t="shared" si="76"/>
        <v>0</v>
      </c>
      <c r="R638" s="80">
        <f t="shared" si="77"/>
        <v>0</v>
      </c>
      <c r="S638" s="89">
        <f>SUM(M630:M638)</f>
        <v>79951.319999999992</v>
      </c>
    </row>
    <row r="639" spans="2:19" x14ac:dyDescent="0.4">
      <c r="B639" s="77">
        <v>44500</v>
      </c>
      <c r="C639" s="64"/>
      <c r="D639" s="64"/>
      <c r="E639" s="64" t="s">
        <v>471</v>
      </c>
      <c r="F639" s="64" t="s">
        <v>997</v>
      </c>
      <c r="G639" s="71" t="s">
        <v>260</v>
      </c>
      <c r="H639" s="78">
        <v>0.08</v>
      </c>
      <c r="I639" s="79">
        <f>30*3</f>
        <v>90</v>
      </c>
      <c r="J639" s="94">
        <v>65</v>
      </c>
      <c r="K639" s="80">
        <f t="shared" si="82"/>
        <v>70.2</v>
      </c>
      <c r="L639" s="80"/>
      <c r="M639" s="80">
        <f t="shared" si="80"/>
        <v>6318</v>
      </c>
      <c r="N639" s="79"/>
      <c r="O639" s="79"/>
      <c r="P639" s="80">
        <f t="shared" si="75"/>
        <v>0</v>
      </c>
      <c r="Q639" s="80">
        <f t="shared" si="76"/>
        <v>0</v>
      </c>
      <c r="R639" s="80">
        <f t="shared" si="77"/>
        <v>0</v>
      </c>
    </row>
    <row r="640" spans="2:19" x14ac:dyDescent="0.4">
      <c r="B640" s="77">
        <v>44500</v>
      </c>
      <c r="C640" s="64"/>
      <c r="D640" s="64"/>
      <c r="E640" s="64" t="s">
        <v>471</v>
      </c>
      <c r="F640" s="64" t="s">
        <v>1090</v>
      </c>
      <c r="G640" s="71" t="s">
        <v>259</v>
      </c>
      <c r="H640" s="78">
        <v>0.08</v>
      </c>
      <c r="I640" s="79">
        <f>24*3</f>
        <v>72</v>
      </c>
      <c r="J640" s="94">
        <v>79</v>
      </c>
      <c r="K640" s="80">
        <f t="shared" si="82"/>
        <v>85.320000000000007</v>
      </c>
      <c r="L640" s="80"/>
      <c r="M640" s="80">
        <f t="shared" si="80"/>
        <v>6143.0400000000009</v>
      </c>
      <c r="N640" s="79"/>
      <c r="O640" s="79"/>
      <c r="P640" s="80">
        <f t="shared" si="75"/>
        <v>0</v>
      </c>
      <c r="Q640" s="80">
        <f t="shared" si="76"/>
        <v>0</v>
      </c>
      <c r="R640" s="80">
        <f t="shared" si="77"/>
        <v>0</v>
      </c>
    </row>
    <row r="641" spans="2:19" x14ac:dyDescent="0.4">
      <c r="B641" s="77">
        <v>44500</v>
      </c>
      <c r="C641" s="64"/>
      <c r="D641" s="64"/>
      <c r="E641" s="64" t="s">
        <v>471</v>
      </c>
      <c r="F641" s="64" t="s">
        <v>987</v>
      </c>
      <c r="G641" s="71" t="s">
        <v>992</v>
      </c>
      <c r="H641" s="78">
        <v>0.08</v>
      </c>
      <c r="I641" s="79">
        <f>24*3</f>
        <v>72</v>
      </c>
      <c r="J641" s="94">
        <v>82</v>
      </c>
      <c r="K641" s="80">
        <f t="shared" si="82"/>
        <v>88.56</v>
      </c>
      <c r="L641" s="80"/>
      <c r="M641" s="80">
        <f t="shared" si="80"/>
        <v>6376.32</v>
      </c>
      <c r="N641" s="79"/>
      <c r="O641" s="79"/>
      <c r="P641" s="80">
        <f t="shared" si="75"/>
        <v>0</v>
      </c>
      <c r="Q641" s="80">
        <f t="shared" si="76"/>
        <v>0</v>
      </c>
      <c r="R641" s="80">
        <f t="shared" si="77"/>
        <v>0</v>
      </c>
    </row>
    <row r="642" spans="2:19" x14ac:dyDescent="0.4">
      <c r="B642" s="77">
        <v>44500</v>
      </c>
      <c r="C642" s="64"/>
      <c r="D642" s="64"/>
      <c r="E642" s="64" t="s">
        <v>471</v>
      </c>
      <c r="F642" s="64" t="s">
        <v>1091</v>
      </c>
      <c r="G642" s="71" t="s">
        <v>791</v>
      </c>
      <c r="H642" s="78">
        <v>0.08</v>
      </c>
      <c r="I642" s="79">
        <f>24*3</f>
        <v>72</v>
      </c>
      <c r="J642" s="94">
        <v>82</v>
      </c>
      <c r="K642" s="80">
        <f t="shared" si="82"/>
        <v>88.56</v>
      </c>
      <c r="L642" s="80"/>
      <c r="M642" s="80">
        <f t="shared" si="80"/>
        <v>6376.32</v>
      </c>
      <c r="N642" s="79"/>
      <c r="O642" s="79"/>
      <c r="P642" s="80">
        <f t="shared" si="75"/>
        <v>0</v>
      </c>
      <c r="Q642" s="80">
        <f t="shared" si="76"/>
        <v>0</v>
      </c>
      <c r="R642" s="80">
        <f t="shared" si="77"/>
        <v>0</v>
      </c>
    </row>
    <row r="643" spans="2:19" x14ac:dyDescent="0.4">
      <c r="B643" s="77">
        <v>44500</v>
      </c>
      <c r="C643" s="64"/>
      <c r="D643" s="64"/>
      <c r="E643" s="64" t="s">
        <v>471</v>
      </c>
      <c r="F643" s="64" t="s">
        <v>678</v>
      </c>
      <c r="G643" s="71" t="s">
        <v>685</v>
      </c>
      <c r="H643" s="78">
        <v>0.08</v>
      </c>
      <c r="I643" s="79">
        <f>24*3</f>
        <v>72</v>
      </c>
      <c r="J643" s="94">
        <v>105</v>
      </c>
      <c r="K643" s="80">
        <f t="shared" si="82"/>
        <v>113.4</v>
      </c>
      <c r="L643" s="80"/>
      <c r="M643" s="80">
        <f t="shared" si="80"/>
        <v>8164.8</v>
      </c>
      <c r="N643" s="79"/>
      <c r="O643" s="79"/>
      <c r="P643" s="80">
        <f t="shared" si="75"/>
        <v>0</v>
      </c>
      <c r="Q643" s="80">
        <f t="shared" si="76"/>
        <v>0</v>
      </c>
      <c r="R643" s="80">
        <f t="shared" si="77"/>
        <v>0</v>
      </c>
    </row>
    <row r="644" spans="2:19" x14ac:dyDescent="0.4">
      <c r="B644" s="77">
        <v>44500</v>
      </c>
      <c r="C644" s="64"/>
      <c r="D644" s="64"/>
      <c r="E644" s="64" t="s">
        <v>471</v>
      </c>
      <c r="F644" s="64" t="s">
        <v>1092</v>
      </c>
      <c r="G644" s="71" t="s">
        <v>256</v>
      </c>
      <c r="H644" s="78">
        <v>0.08</v>
      </c>
      <c r="I644" s="79">
        <f>24*3</f>
        <v>72</v>
      </c>
      <c r="J644" s="94">
        <v>65</v>
      </c>
      <c r="K644" s="80">
        <f t="shared" si="82"/>
        <v>70.2</v>
      </c>
      <c r="L644" s="80"/>
      <c r="M644" s="80">
        <f t="shared" si="80"/>
        <v>5054.4000000000005</v>
      </c>
      <c r="N644" s="79"/>
      <c r="O644" s="79"/>
      <c r="P644" s="80">
        <f t="shared" si="75"/>
        <v>0</v>
      </c>
      <c r="Q644" s="80">
        <f t="shared" si="76"/>
        <v>0</v>
      </c>
      <c r="R644" s="80">
        <f t="shared" si="77"/>
        <v>0</v>
      </c>
      <c r="S644" s="89">
        <f>SUM(M639:M644)</f>
        <v>38432.880000000005</v>
      </c>
    </row>
    <row r="645" spans="2:19" x14ac:dyDescent="0.4">
      <c r="B645" s="77">
        <v>44500</v>
      </c>
      <c r="C645" s="64"/>
      <c r="D645" s="64"/>
      <c r="E645" s="64" t="s">
        <v>471</v>
      </c>
      <c r="F645" s="64" t="s">
        <v>827</v>
      </c>
      <c r="G645" s="71" t="s">
        <v>262</v>
      </c>
      <c r="H645" s="78">
        <v>0.08</v>
      </c>
      <c r="I645" s="79">
        <f>30*3</f>
        <v>90</v>
      </c>
      <c r="J645" s="94">
        <v>50</v>
      </c>
      <c r="K645" s="80">
        <f t="shared" si="82"/>
        <v>54</v>
      </c>
      <c r="L645" s="80"/>
      <c r="M645" s="80">
        <f t="shared" si="80"/>
        <v>4860</v>
      </c>
      <c r="N645" s="79"/>
      <c r="O645" s="79"/>
      <c r="P645" s="80">
        <f t="shared" ref="P645:P660" si="83">IFERROR(O645*J645,"")</f>
        <v>0</v>
      </c>
      <c r="Q645" s="80">
        <f t="shared" ref="Q645:Q660" si="84">IFERROR(P645*O645,"")</f>
        <v>0</v>
      </c>
      <c r="R645" s="80">
        <f t="shared" ref="R645:R660" si="85">IFERROR(Q645-P645,"")</f>
        <v>0</v>
      </c>
    </row>
    <row r="646" spans="2:19" x14ac:dyDescent="0.4">
      <c r="B646" s="77">
        <v>44500</v>
      </c>
      <c r="C646" s="64"/>
      <c r="D646" s="64"/>
      <c r="E646" s="64" t="s">
        <v>471</v>
      </c>
      <c r="F646" s="64" t="s">
        <v>1093</v>
      </c>
      <c r="G646" s="71" t="s">
        <v>474</v>
      </c>
      <c r="H646" s="78">
        <v>0.08</v>
      </c>
      <c r="I646" s="79">
        <f>24*3</f>
        <v>72</v>
      </c>
      <c r="J646" s="94">
        <v>49.5</v>
      </c>
      <c r="K646" s="80">
        <f t="shared" si="82"/>
        <v>53.46</v>
      </c>
      <c r="L646" s="80"/>
      <c r="M646" s="80">
        <f t="shared" si="80"/>
        <v>3849.12</v>
      </c>
      <c r="N646" s="79"/>
      <c r="O646" s="79"/>
      <c r="P646" s="80">
        <f t="shared" si="83"/>
        <v>0</v>
      </c>
      <c r="Q646" s="80">
        <f t="shared" si="84"/>
        <v>0</v>
      </c>
      <c r="R646" s="80">
        <f t="shared" si="85"/>
        <v>0</v>
      </c>
    </row>
    <row r="647" spans="2:19" x14ac:dyDescent="0.4">
      <c r="B647" s="77">
        <v>44500</v>
      </c>
      <c r="C647" s="64"/>
      <c r="D647" s="64"/>
      <c r="E647" s="64" t="s">
        <v>471</v>
      </c>
      <c r="F647" s="64" t="s">
        <v>1094</v>
      </c>
      <c r="G647" s="71" t="s">
        <v>1098</v>
      </c>
      <c r="H647" s="78">
        <v>0.08</v>
      </c>
      <c r="I647" s="79">
        <f t="shared" ref="I647:I651" si="86">24*3</f>
        <v>72</v>
      </c>
      <c r="J647" s="94">
        <v>142</v>
      </c>
      <c r="K647" s="80">
        <f t="shared" si="82"/>
        <v>153.36000000000001</v>
      </c>
      <c r="L647" s="80"/>
      <c r="M647" s="80">
        <f t="shared" si="80"/>
        <v>11041.920000000002</v>
      </c>
      <c r="N647" s="79"/>
      <c r="O647" s="79"/>
      <c r="P647" s="80">
        <f t="shared" si="83"/>
        <v>0</v>
      </c>
      <c r="Q647" s="80">
        <f t="shared" si="84"/>
        <v>0</v>
      </c>
      <c r="R647" s="80">
        <f t="shared" si="85"/>
        <v>0</v>
      </c>
    </row>
    <row r="648" spans="2:19" x14ac:dyDescent="0.4">
      <c r="B648" s="77">
        <v>44500</v>
      </c>
      <c r="C648" s="64"/>
      <c r="D648" s="64"/>
      <c r="E648" s="64" t="s">
        <v>471</v>
      </c>
      <c r="F648" s="64" t="s">
        <v>1095</v>
      </c>
      <c r="G648" s="71" t="s">
        <v>1099</v>
      </c>
      <c r="H648" s="78">
        <v>0.08</v>
      </c>
      <c r="I648" s="79">
        <f t="shared" si="86"/>
        <v>72</v>
      </c>
      <c r="J648" s="94">
        <v>79</v>
      </c>
      <c r="K648" s="80">
        <f t="shared" si="82"/>
        <v>85.320000000000007</v>
      </c>
      <c r="L648" s="80"/>
      <c r="M648" s="80">
        <f t="shared" si="80"/>
        <v>6143.0400000000009</v>
      </c>
      <c r="N648" s="79"/>
      <c r="O648" s="79"/>
      <c r="P648" s="80">
        <f t="shared" si="83"/>
        <v>0</v>
      </c>
      <c r="Q648" s="80">
        <f t="shared" si="84"/>
        <v>0</v>
      </c>
      <c r="R648" s="80">
        <f t="shared" si="85"/>
        <v>0</v>
      </c>
    </row>
    <row r="649" spans="2:19" x14ac:dyDescent="0.4">
      <c r="B649" s="77">
        <v>44500</v>
      </c>
      <c r="C649" s="64"/>
      <c r="D649" s="64"/>
      <c r="E649" s="64" t="s">
        <v>471</v>
      </c>
      <c r="F649" s="64" t="s">
        <v>680</v>
      </c>
      <c r="G649" s="71" t="s">
        <v>687</v>
      </c>
      <c r="H649" s="78">
        <v>0.08</v>
      </c>
      <c r="I649" s="79">
        <f t="shared" si="86"/>
        <v>72</v>
      </c>
      <c r="J649" s="94">
        <v>142</v>
      </c>
      <c r="K649" s="80">
        <f t="shared" si="82"/>
        <v>153.36000000000001</v>
      </c>
      <c r="L649" s="80"/>
      <c r="M649" s="80">
        <f t="shared" si="80"/>
        <v>11041.920000000002</v>
      </c>
      <c r="N649" s="79"/>
      <c r="O649" s="79"/>
      <c r="P649" s="80">
        <f t="shared" si="83"/>
        <v>0</v>
      </c>
      <c r="Q649" s="80">
        <f t="shared" si="84"/>
        <v>0</v>
      </c>
      <c r="R649" s="80">
        <f t="shared" si="85"/>
        <v>0</v>
      </c>
    </row>
    <row r="650" spans="2:19" x14ac:dyDescent="0.4">
      <c r="B650" s="77">
        <v>44500</v>
      </c>
      <c r="C650" s="64"/>
      <c r="D650" s="64"/>
      <c r="E650" s="64" t="s">
        <v>471</v>
      </c>
      <c r="F650" s="64" t="s">
        <v>1096</v>
      </c>
      <c r="G650" s="71" t="s">
        <v>1100</v>
      </c>
      <c r="H650" s="78">
        <v>0.08</v>
      </c>
      <c r="I650" s="79">
        <f t="shared" si="86"/>
        <v>72</v>
      </c>
      <c r="J650" s="94">
        <v>67</v>
      </c>
      <c r="K650" s="80">
        <f t="shared" si="82"/>
        <v>72.36</v>
      </c>
      <c r="L650" s="80"/>
      <c r="M650" s="80">
        <f t="shared" si="80"/>
        <v>5209.92</v>
      </c>
      <c r="N650" s="79"/>
      <c r="O650" s="79"/>
      <c r="P650" s="80">
        <f t="shared" si="83"/>
        <v>0</v>
      </c>
      <c r="Q650" s="80">
        <f t="shared" si="84"/>
        <v>0</v>
      </c>
      <c r="R650" s="80">
        <f t="shared" si="85"/>
        <v>0</v>
      </c>
    </row>
    <row r="651" spans="2:19" x14ac:dyDescent="0.4">
      <c r="B651" s="77">
        <v>44500</v>
      </c>
      <c r="C651" s="64"/>
      <c r="D651" s="64"/>
      <c r="E651" s="64" t="s">
        <v>471</v>
      </c>
      <c r="F651" s="64" t="s">
        <v>1097</v>
      </c>
      <c r="G651" s="71" t="s">
        <v>1101</v>
      </c>
      <c r="H651" s="78">
        <v>0.08</v>
      </c>
      <c r="I651" s="79">
        <f t="shared" si="86"/>
        <v>72</v>
      </c>
      <c r="J651" s="94">
        <v>49</v>
      </c>
      <c r="K651" s="80">
        <f t="shared" si="82"/>
        <v>52.92</v>
      </c>
      <c r="L651" s="80"/>
      <c r="M651" s="80">
        <f t="shared" si="80"/>
        <v>3810.2400000000002</v>
      </c>
      <c r="N651" s="79"/>
      <c r="O651" s="79"/>
      <c r="P651" s="80">
        <f t="shared" si="83"/>
        <v>0</v>
      </c>
      <c r="Q651" s="80">
        <f t="shared" si="84"/>
        <v>0</v>
      </c>
      <c r="R651" s="80">
        <f t="shared" si="85"/>
        <v>0</v>
      </c>
      <c r="S651" s="89">
        <f>SUM(M645:M651)</f>
        <v>45956.159999999996</v>
      </c>
    </row>
    <row r="652" spans="2:19" x14ac:dyDescent="0.4">
      <c r="B652" s="77">
        <v>44500</v>
      </c>
      <c r="C652" s="64"/>
      <c r="D652" s="64"/>
      <c r="E652" s="64" t="s">
        <v>471</v>
      </c>
      <c r="F652" s="64" t="s">
        <v>1102</v>
      </c>
      <c r="G652" s="71" t="s">
        <v>663</v>
      </c>
      <c r="H652" s="78">
        <v>0.1</v>
      </c>
      <c r="I652" s="79">
        <f>6*3</f>
        <v>18</v>
      </c>
      <c r="J652" s="94">
        <v>321</v>
      </c>
      <c r="K652" s="80">
        <f>J652*110%</f>
        <v>353.1</v>
      </c>
      <c r="L652" s="80"/>
      <c r="M652" s="80">
        <f t="shared" ref="M652:M748" si="87">K652*I652</f>
        <v>6355.8</v>
      </c>
      <c r="N652" s="79"/>
      <c r="O652" s="79"/>
      <c r="P652" s="80">
        <f t="shared" si="83"/>
        <v>0</v>
      </c>
      <c r="Q652" s="80">
        <f t="shared" si="84"/>
        <v>0</v>
      </c>
      <c r="R652" s="80">
        <f t="shared" si="85"/>
        <v>0</v>
      </c>
    </row>
    <row r="653" spans="2:19" x14ac:dyDescent="0.4">
      <c r="B653" s="77">
        <v>44500</v>
      </c>
      <c r="C653" s="64"/>
      <c r="D653" s="64"/>
      <c r="E653" s="64" t="s">
        <v>471</v>
      </c>
      <c r="F653" s="64" t="s">
        <v>784</v>
      </c>
      <c r="G653" s="71" t="s">
        <v>792</v>
      </c>
      <c r="H653" s="78">
        <v>0.08</v>
      </c>
      <c r="I653" s="79">
        <f>30*3</f>
        <v>90</v>
      </c>
      <c r="J653" s="94">
        <v>72</v>
      </c>
      <c r="K653" s="80">
        <f t="shared" si="82"/>
        <v>77.760000000000005</v>
      </c>
      <c r="L653" s="80"/>
      <c r="M653" s="80">
        <f t="shared" si="87"/>
        <v>6998.4000000000005</v>
      </c>
      <c r="N653" s="79"/>
      <c r="O653" s="79"/>
      <c r="P653" s="80">
        <f t="shared" si="83"/>
        <v>0</v>
      </c>
      <c r="Q653" s="80">
        <f t="shared" si="84"/>
        <v>0</v>
      </c>
      <c r="R653" s="80">
        <f t="shared" si="85"/>
        <v>0</v>
      </c>
    </row>
    <row r="654" spans="2:19" x14ac:dyDescent="0.4">
      <c r="B654" s="77">
        <v>44500</v>
      </c>
      <c r="C654" s="64"/>
      <c r="D654" s="64"/>
      <c r="E654" s="64" t="s">
        <v>471</v>
      </c>
      <c r="F654" s="64" t="s">
        <v>788</v>
      </c>
      <c r="G654" s="71" t="s">
        <v>796</v>
      </c>
      <c r="H654" s="78">
        <v>0.08</v>
      </c>
      <c r="I654" s="79">
        <f>15*3</f>
        <v>45</v>
      </c>
      <c r="J654" s="94">
        <v>173</v>
      </c>
      <c r="K654" s="80">
        <f t="shared" si="82"/>
        <v>186.84</v>
      </c>
      <c r="L654" s="80"/>
      <c r="M654" s="80">
        <f t="shared" si="87"/>
        <v>8407.7999999999993</v>
      </c>
      <c r="N654" s="79"/>
      <c r="O654" s="79"/>
      <c r="P654" s="80">
        <f t="shared" si="83"/>
        <v>0</v>
      </c>
      <c r="Q654" s="80">
        <f t="shared" si="84"/>
        <v>0</v>
      </c>
      <c r="R654" s="80">
        <f t="shared" si="85"/>
        <v>0</v>
      </c>
      <c r="S654" s="89">
        <f>SUM(M652:M654)</f>
        <v>21762</v>
      </c>
    </row>
    <row r="655" spans="2:19" x14ac:dyDescent="0.4">
      <c r="B655" s="77">
        <v>44500</v>
      </c>
      <c r="C655" s="64"/>
      <c r="D655" s="64"/>
      <c r="E655" s="64" t="s">
        <v>471</v>
      </c>
      <c r="F655" s="64" t="s">
        <v>1103</v>
      </c>
      <c r="G655" s="71" t="s">
        <v>686</v>
      </c>
      <c r="H655" s="78">
        <v>0.08</v>
      </c>
      <c r="I655" s="79">
        <f>24*3</f>
        <v>72</v>
      </c>
      <c r="J655" s="94">
        <v>86</v>
      </c>
      <c r="K655" s="80">
        <f t="shared" si="82"/>
        <v>92.88000000000001</v>
      </c>
      <c r="L655" s="80"/>
      <c r="M655" s="80">
        <f t="shared" si="87"/>
        <v>6687.3600000000006</v>
      </c>
      <c r="N655" s="79"/>
      <c r="O655" s="79"/>
      <c r="P655" s="80">
        <f t="shared" si="83"/>
        <v>0</v>
      </c>
      <c r="Q655" s="80">
        <f t="shared" si="84"/>
        <v>0</v>
      </c>
      <c r="R655" s="80">
        <f t="shared" si="85"/>
        <v>0</v>
      </c>
    </row>
    <row r="656" spans="2:19" x14ac:dyDescent="0.4">
      <c r="B656" s="77">
        <v>44500</v>
      </c>
      <c r="C656" s="64"/>
      <c r="D656" s="64"/>
      <c r="E656" s="64" t="s">
        <v>471</v>
      </c>
      <c r="F656" s="64" t="s">
        <v>1104</v>
      </c>
      <c r="G656" s="71" t="s">
        <v>1106</v>
      </c>
      <c r="H656" s="78">
        <v>0.08</v>
      </c>
      <c r="I656" s="79">
        <f>12*3</f>
        <v>36</v>
      </c>
      <c r="J656" s="94">
        <v>116</v>
      </c>
      <c r="K656" s="80">
        <f t="shared" si="82"/>
        <v>125.28</v>
      </c>
      <c r="L656" s="80"/>
      <c r="M656" s="80">
        <f t="shared" si="87"/>
        <v>4510.08</v>
      </c>
      <c r="N656" s="79"/>
      <c r="O656" s="79"/>
      <c r="P656" s="80">
        <f t="shared" si="83"/>
        <v>0</v>
      </c>
      <c r="Q656" s="80">
        <f t="shared" si="84"/>
        <v>0</v>
      </c>
      <c r="R656" s="80">
        <f t="shared" si="85"/>
        <v>0</v>
      </c>
    </row>
    <row r="657" spans="2:19" x14ac:dyDescent="0.4">
      <c r="B657" s="77">
        <v>44500</v>
      </c>
      <c r="C657" s="64"/>
      <c r="D657" s="64"/>
      <c r="E657" s="64" t="s">
        <v>471</v>
      </c>
      <c r="F657" s="64" t="s">
        <v>479</v>
      </c>
      <c r="G657" s="71" t="s">
        <v>482</v>
      </c>
      <c r="H657" s="78">
        <v>0.08</v>
      </c>
      <c r="I657" s="79">
        <f>20*3</f>
        <v>60</v>
      </c>
      <c r="J657" s="94">
        <v>126</v>
      </c>
      <c r="K657" s="80">
        <f t="shared" si="82"/>
        <v>136.08000000000001</v>
      </c>
      <c r="L657" s="80"/>
      <c r="M657" s="80">
        <f t="shared" si="87"/>
        <v>8164.8000000000011</v>
      </c>
      <c r="N657" s="79"/>
      <c r="O657" s="79"/>
      <c r="P657" s="80">
        <f t="shared" si="83"/>
        <v>0</v>
      </c>
      <c r="Q657" s="80">
        <f t="shared" si="84"/>
        <v>0</v>
      </c>
      <c r="R657" s="80">
        <f t="shared" si="85"/>
        <v>0</v>
      </c>
    </row>
    <row r="658" spans="2:19" x14ac:dyDescent="0.4">
      <c r="B658" s="77">
        <v>44500</v>
      </c>
      <c r="C658" s="64"/>
      <c r="D658" s="64"/>
      <c r="E658" s="64" t="s">
        <v>471</v>
      </c>
      <c r="F658" s="64" t="s">
        <v>478</v>
      </c>
      <c r="G658" s="71" t="s">
        <v>481</v>
      </c>
      <c r="H658" s="78">
        <v>0.08</v>
      </c>
      <c r="I658" s="79">
        <f>20*3</f>
        <v>60</v>
      </c>
      <c r="J658" s="94">
        <v>126</v>
      </c>
      <c r="K658" s="80">
        <f t="shared" si="82"/>
        <v>136.08000000000001</v>
      </c>
      <c r="L658" s="80"/>
      <c r="M658" s="80">
        <f t="shared" si="87"/>
        <v>8164.8000000000011</v>
      </c>
      <c r="N658" s="79"/>
      <c r="O658" s="79"/>
      <c r="P658" s="80">
        <f t="shared" si="83"/>
        <v>0</v>
      </c>
      <c r="Q658" s="80">
        <f t="shared" si="84"/>
        <v>0</v>
      </c>
      <c r="R658" s="80">
        <f t="shared" si="85"/>
        <v>0</v>
      </c>
    </row>
    <row r="659" spans="2:19" x14ac:dyDescent="0.4">
      <c r="B659" s="77">
        <v>44500</v>
      </c>
      <c r="C659" s="64"/>
      <c r="D659" s="64"/>
      <c r="E659" s="64" t="s">
        <v>471</v>
      </c>
      <c r="F659" s="64" t="s">
        <v>476</v>
      </c>
      <c r="G659" s="71" t="s">
        <v>477</v>
      </c>
      <c r="H659" s="78">
        <v>0.08</v>
      </c>
      <c r="I659" s="79">
        <f>20*3</f>
        <v>60</v>
      </c>
      <c r="J659" s="94">
        <v>126</v>
      </c>
      <c r="K659" s="80">
        <f t="shared" si="82"/>
        <v>136.08000000000001</v>
      </c>
      <c r="L659" s="80"/>
      <c r="M659" s="80">
        <f t="shared" si="87"/>
        <v>8164.8000000000011</v>
      </c>
      <c r="N659" s="79"/>
      <c r="O659" s="79"/>
      <c r="P659" s="80">
        <f t="shared" si="83"/>
        <v>0</v>
      </c>
      <c r="Q659" s="80">
        <f t="shared" si="84"/>
        <v>0</v>
      </c>
      <c r="R659" s="80">
        <f t="shared" si="85"/>
        <v>0</v>
      </c>
    </row>
    <row r="660" spans="2:19" x14ac:dyDescent="0.4">
      <c r="B660" s="77">
        <v>44500</v>
      </c>
      <c r="C660" s="64"/>
      <c r="D660" s="64"/>
      <c r="E660" s="64" t="s">
        <v>471</v>
      </c>
      <c r="F660" s="64" t="s">
        <v>821</v>
      </c>
      <c r="G660" s="71" t="s">
        <v>551</v>
      </c>
      <c r="H660" s="78">
        <v>0.08</v>
      </c>
      <c r="I660" s="79">
        <f>12*3</f>
        <v>36</v>
      </c>
      <c r="J660" s="94">
        <v>75</v>
      </c>
      <c r="K660" s="80">
        <f t="shared" si="82"/>
        <v>81</v>
      </c>
      <c r="L660" s="80"/>
      <c r="M660" s="80">
        <f t="shared" si="87"/>
        <v>2916</v>
      </c>
      <c r="N660" s="79"/>
      <c r="O660" s="79"/>
      <c r="P660" s="80">
        <f t="shared" si="83"/>
        <v>0</v>
      </c>
      <c r="Q660" s="80">
        <f t="shared" si="84"/>
        <v>0</v>
      </c>
      <c r="R660" s="80">
        <f t="shared" si="85"/>
        <v>0</v>
      </c>
    </row>
    <row r="661" spans="2:19" x14ac:dyDescent="0.4">
      <c r="B661" s="77">
        <v>44500</v>
      </c>
      <c r="C661" s="64"/>
      <c r="D661" s="64"/>
      <c r="E661" s="64" t="s">
        <v>471</v>
      </c>
      <c r="F661" s="64" t="s">
        <v>1089</v>
      </c>
      <c r="G661" s="71" t="s">
        <v>550</v>
      </c>
      <c r="H661" s="78">
        <v>0.08</v>
      </c>
      <c r="I661" s="79">
        <f>12*3</f>
        <v>36</v>
      </c>
      <c r="J661" s="94">
        <v>75</v>
      </c>
      <c r="K661" s="80">
        <f t="shared" si="82"/>
        <v>81</v>
      </c>
      <c r="L661" s="80"/>
      <c r="M661" s="80">
        <f t="shared" si="87"/>
        <v>2916</v>
      </c>
      <c r="N661" s="79"/>
      <c r="O661" s="79"/>
      <c r="P661" s="80">
        <f t="shared" ref="P661:P718" si="88">IFERROR(O661*J661,"")</f>
        <v>0</v>
      </c>
      <c r="Q661" s="80">
        <f t="shared" ref="Q661:Q718" si="89">IFERROR(P661*O661,"")</f>
        <v>0</v>
      </c>
      <c r="R661" s="80">
        <f t="shared" ref="R661:R718" si="90">IFERROR(Q661-P661,"")</f>
        <v>0</v>
      </c>
    </row>
    <row r="662" spans="2:19" x14ac:dyDescent="0.4">
      <c r="B662" s="77">
        <v>44500</v>
      </c>
      <c r="C662" s="64"/>
      <c r="D662" s="64"/>
      <c r="E662" s="64" t="s">
        <v>471</v>
      </c>
      <c r="F662" s="64" t="s">
        <v>480</v>
      </c>
      <c r="G662" s="71" t="s">
        <v>271</v>
      </c>
      <c r="H662" s="78">
        <v>0.08</v>
      </c>
      <c r="I662" s="79">
        <f>12*3</f>
        <v>36</v>
      </c>
      <c r="J662" s="94">
        <v>109</v>
      </c>
      <c r="K662" s="80">
        <f t="shared" si="82"/>
        <v>117.72000000000001</v>
      </c>
      <c r="L662" s="80"/>
      <c r="M662" s="80">
        <f t="shared" si="87"/>
        <v>4237.92</v>
      </c>
      <c r="N662" s="79"/>
      <c r="O662" s="79"/>
      <c r="P662" s="80">
        <f t="shared" si="88"/>
        <v>0</v>
      </c>
      <c r="Q662" s="80">
        <f t="shared" si="89"/>
        <v>0</v>
      </c>
      <c r="R662" s="80">
        <f t="shared" si="90"/>
        <v>0</v>
      </c>
    </row>
    <row r="663" spans="2:19" x14ac:dyDescent="0.4">
      <c r="B663" s="77">
        <v>44500</v>
      </c>
      <c r="C663" s="64"/>
      <c r="D663" s="64"/>
      <c r="E663" s="64" t="s">
        <v>471</v>
      </c>
      <c r="F663" s="64" t="s">
        <v>1105</v>
      </c>
      <c r="G663" s="71" t="s">
        <v>1107</v>
      </c>
      <c r="H663" s="78">
        <v>0.08</v>
      </c>
      <c r="I663" s="79">
        <f>12*3</f>
        <v>36</v>
      </c>
      <c r="J663" s="94">
        <v>116</v>
      </c>
      <c r="K663" s="80">
        <f t="shared" si="82"/>
        <v>125.28</v>
      </c>
      <c r="L663" s="80"/>
      <c r="M663" s="80">
        <f t="shared" si="87"/>
        <v>4510.08</v>
      </c>
      <c r="N663" s="79"/>
      <c r="O663" s="79"/>
      <c r="P663" s="80">
        <f t="shared" si="88"/>
        <v>0</v>
      </c>
      <c r="Q663" s="80">
        <f t="shared" si="89"/>
        <v>0</v>
      </c>
      <c r="R663" s="80">
        <f t="shared" si="90"/>
        <v>0</v>
      </c>
    </row>
    <row r="664" spans="2:19" x14ac:dyDescent="0.4">
      <c r="B664" s="77">
        <v>44500</v>
      </c>
      <c r="C664" s="64"/>
      <c r="D664" s="64"/>
      <c r="E664" s="64" t="s">
        <v>471</v>
      </c>
      <c r="F664" s="64" t="s">
        <v>484</v>
      </c>
      <c r="G664" s="71" t="s">
        <v>272</v>
      </c>
      <c r="H664" s="78">
        <v>0.08</v>
      </c>
      <c r="I664" s="79">
        <f>12*3</f>
        <v>36</v>
      </c>
      <c r="J664" s="94">
        <v>109</v>
      </c>
      <c r="K664" s="80">
        <f t="shared" si="82"/>
        <v>117.72000000000001</v>
      </c>
      <c r="L664" s="80"/>
      <c r="M664" s="80">
        <f t="shared" si="87"/>
        <v>4237.92</v>
      </c>
      <c r="N664" s="79"/>
      <c r="O664" s="79"/>
      <c r="P664" s="80">
        <f t="shared" si="88"/>
        <v>0</v>
      </c>
      <c r="Q664" s="80">
        <f t="shared" si="89"/>
        <v>0</v>
      </c>
      <c r="R664" s="80">
        <f t="shared" si="90"/>
        <v>0</v>
      </c>
    </row>
    <row r="665" spans="2:19" x14ac:dyDescent="0.4">
      <c r="B665" s="77">
        <v>44500</v>
      </c>
      <c r="C665" s="64"/>
      <c r="D665" s="64"/>
      <c r="E665" s="64" t="s">
        <v>471</v>
      </c>
      <c r="F665" s="64" t="s">
        <v>808</v>
      </c>
      <c r="G665" s="71" t="s">
        <v>277</v>
      </c>
      <c r="H665" s="78">
        <v>0.08</v>
      </c>
      <c r="I665" s="79">
        <f>36*1</f>
        <v>36</v>
      </c>
      <c r="J665" s="94">
        <v>135</v>
      </c>
      <c r="K665" s="80">
        <f t="shared" si="82"/>
        <v>145.80000000000001</v>
      </c>
      <c r="L665" s="80"/>
      <c r="M665" s="80">
        <f t="shared" si="87"/>
        <v>5248.8</v>
      </c>
      <c r="N665" s="79"/>
      <c r="O665" s="79"/>
      <c r="P665" s="80">
        <f t="shared" si="88"/>
        <v>0</v>
      </c>
      <c r="Q665" s="80">
        <f t="shared" si="89"/>
        <v>0</v>
      </c>
      <c r="R665" s="80">
        <f t="shared" si="90"/>
        <v>0</v>
      </c>
    </row>
    <row r="666" spans="2:19" x14ac:dyDescent="0.4">
      <c r="B666" s="77">
        <v>44500</v>
      </c>
      <c r="C666" s="64"/>
      <c r="D666" s="64"/>
      <c r="E666" s="64" t="s">
        <v>471</v>
      </c>
      <c r="F666" s="64" t="s">
        <v>808</v>
      </c>
      <c r="G666" s="71" t="s">
        <v>277</v>
      </c>
      <c r="H666" s="78">
        <v>0.08</v>
      </c>
      <c r="I666" s="79">
        <f>18*1</f>
        <v>18</v>
      </c>
      <c r="J666" s="94">
        <v>135</v>
      </c>
      <c r="K666" s="80">
        <f t="shared" si="82"/>
        <v>145.80000000000001</v>
      </c>
      <c r="L666" s="80"/>
      <c r="M666" s="80">
        <f t="shared" si="87"/>
        <v>2624.4</v>
      </c>
      <c r="N666" s="79"/>
      <c r="O666" s="79"/>
      <c r="P666" s="80">
        <f t="shared" si="88"/>
        <v>0</v>
      </c>
      <c r="Q666" s="80">
        <f t="shared" si="89"/>
        <v>0</v>
      </c>
      <c r="R666" s="80">
        <f t="shared" si="90"/>
        <v>0</v>
      </c>
      <c r="S666" s="89">
        <f>SUM(M655:M666)</f>
        <v>62382.960000000006</v>
      </c>
    </row>
    <row r="667" spans="2:19" x14ac:dyDescent="0.4">
      <c r="B667" s="77">
        <v>44500</v>
      </c>
      <c r="C667" s="64"/>
      <c r="D667" s="64"/>
      <c r="E667" s="64" t="s">
        <v>471</v>
      </c>
      <c r="F667" s="64" t="s">
        <v>1014</v>
      </c>
      <c r="G667" s="71" t="s">
        <v>1017</v>
      </c>
      <c r="H667" s="78">
        <v>0.08</v>
      </c>
      <c r="I667" s="79">
        <f>12*3</f>
        <v>36</v>
      </c>
      <c r="J667" s="94">
        <v>110</v>
      </c>
      <c r="K667" s="80">
        <f t="shared" si="82"/>
        <v>118.80000000000001</v>
      </c>
      <c r="L667" s="80"/>
      <c r="M667" s="80">
        <f t="shared" si="87"/>
        <v>4276.8</v>
      </c>
      <c r="N667" s="79"/>
      <c r="O667" s="79"/>
      <c r="P667" s="80">
        <f t="shared" si="88"/>
        <v>0</v>
      </c>
      <c r="Q667" s="80">
        <f t="shared" si="89"/>
        <v>0</v>
      </c>
      <c r="R667" s="80">
        <f t="shared" si="90"/>
        <v>0</v>
      </c>
    </row>
    <row r="668" spans="2:19" x14ac:dyDescent="0.4">
      <c r="B668" s="77">
        <v>44500</v>
      </c>
      <c r="C668" s="64"/>
      <c r="D668" s="64"/>
      <c r="E668" s="64" t="s">
        <v>471</v>
      </c>
      <c r="F668" s="64" t="s">
        <v>897</v>
      </c>
      <c r="G668" s="71" t="s">
        <v>276</v>
      </c>
      <c r="H668" s="78">
        <v>0.08</v>
      </c>
      <c r="I668" s="79">
        <f>24*1</f>
        <v>24</v>
      </c>
      <c r="J668" s="94">
        <v>68</v>
      </c>
      <c r="K668" s="80">
        <f t="shared" si="82"/>
        <v>73.44</v>
      </c>
      <c r="L668" s="80"/>
      <c r="M668" s="80">
        <f t="shared" si="87"/>
        <v>1762.56</v>
      </c>
      <c r="N668" s="79"/>
      <c r="O668" s="79"/>
      <c r="P668" s="80">
        <f t="shared" si="88"/>
        <v>0</v>
      </c>
      <c r="Q668" s="80">
        <f t="shared" si="89"/>
        <v>0</v>
      </c>
      <c r="R668" s="80">
        <f t="shared" si="90"/>
        <v>0</v>
      </c>
    </row>
    <row r="669" spans="2:19" x14ac:dyDescent="0.4">
      <c r="B669" s="77">
        <v>44500</v>
      </c>
      <c r="C669" s="64"/>
      <c r="D669" s="64"/>
      <c r="E669" s="64" t="s">
        <v>471</v>
      </c>
      <c r="F669" s="64" t="s">
        <v>897</v>
      </c>
      <c r="G669" s="71" t="s">
        <v>276</v>
      </c>
      <c r="H669" s="78">
        <v>0.08</v>
      </c>
      <c r="I669" s="79">
        <f>12*1</f>
        <v>12</v>
      </c>
      <c r="J669" s="94">
        <v>68</v>
      </c>
      <c r="K669" s="80">
        <f t="shared" si="82"/>
        <v>73.44</v>
      </c>
      <c r="L669" s="80"/>
      <c r="M669" s="80">
        <f t="shared" si="87"/>
        <v>881.28</v>
      </c>
      <c r="N669" s="79"/>
      <c r="O669" s="79"/>
      <c r="P669" s="80">
        <f t="shared" si="88"/>
        <v>0</v>
      </c>
      <c r="Q669" s="80">
        <f t="shared" si="89"/>
        <v>0</v>
      </c>
      <c r="R669" s="80">
        <f t="shared" si="90"/>
        <v>0</v>
      </c>
    </row>
    <row r="670" spans="2:19" x14ac:dyDescent="0.4">
      <c r="B670" s="77">
        <v>44500</v>
      </c>
      <c r="C670" s="64"/>
      <c r="D670" s="64"/>
      <c r="E670" s="64" t="s">
        <v>471</v>
      </c>
      <c r="F670" s="64" t="s">
        <v>902</v>
      </c>
      <c r="G670" s="71" t="s">
        <v>247</v>
      </c>
      <c r="H670" s="78">
        <v>0.08</v>
      </c>
      <c r="I670" s="79">
        <f>20*2</f>
        <v>40</v>
      </c>
      <c r="J670" s="94">
        <v>107</v>
      </c>
      <c r="K670" s="80">
        <f t="shared" si="82"/>
        <v>115.56</v>
      </c>
      <c r="L670" s="80"/>
      <c r="M670" s="80">
        <f t="shared" si="87"/>
        <v>4622.3999999999996</v>
      </c>
      <c r="N670" s="79"/>
      <c r="O670" s="79"/>
      <c r="P670" s="80">
        <f t="shared" si="88"/>
        <v>0</v>
      </c>
      <c r="Q670" s="80">
        <f t="shared" si="89"/>
        <v>0</v>
      </c>
      <c r="R670" s="80">
        <f t="shared" si="90"/>
        <v>0</v>
      </c>
    </row>
    <row r="671" spans="2:19" x14ac:dyDescent="0.4">
      <c r="B671" s="77">
        <v>44500</v>
      </c>
      <c r="C671" s="64"/>
      <c r="D671" s="64"/>
      <c r="E671" s="64" t="s">
        <v>471</v>
      </c>
      <c r="F671" s="64" t="s">
        <v>902</v>
      </c>
      <c r="G671" s="71" t="s">
        <v>247</v>
      </c>
      <c r="H671" s="78">
        <v>0.08</v>
      </c>
      <c r="I671" s="79">
        <f>10*1</f>
        <v>10</v>
      </c>
      <c r="J671" s="94">
        <v>107</v>
      </c>
      <c r="K671" s="80">
        <f t="shared" si="82"/>
        <v>115.56</v>
      </c>
      <c r="L671" s="80"/>
      <c r="M671" s="80">
        <f t="shared" si="87"/>
        <v>1155.5999999999999</v>
      </c>
      <c r="N671" s="79"/>
      <c r="O671" s="79"/>
      <c r="P671" s="80">
        <f t="shared" si="88"/>
        <v>0</v>
      </c>
      <c r="Q671" s="80">
        <f t="shared" si="89"/>
        <v>0</v>
      </c>
      <c r="R671" s="80">
        <f t="shared" si="90"/>
        <v>0</v>
      </c>
    </row>
    <row r="672" spans="2:19" x14ac:dyDescent="0.4">
      <c r="B672" s="77">
        <v>44500</v>
      </c>
      <c r="C672" s="64"/>
      <c r="D672" s="64"/>
      <c r="E672" s="64" t="s">
        <v>471</v>
      </c>
      <c r="F672" s="64" t="s">
        <v>1108</v>
      </c>
      <c r="G672" s="71" t="s">
        <v>921</v>
      </c>
      <c r="H672" s="78">
        <v>0.08</v>
      </c>
      <c r="I672" s="79">
        <f>30*1</f>
        <v>30</v>
      </c>
      <c r="J672" s="94">
        <v>56</v>
      </c>
      <c r="K672" s="80">
        <f t="shared" si="82"/>
        <v>60.480000000000004</v>
      </c>
      <c r="L672" s="80"/>
      <c r="M672" s="80">
        <f t="shared" si="87"/>
        <v>1814.4</v>
      </c>
      <c r="N672" s="79"/>
      <c r="O672" s="79"/>
      <c r="P672" s="80">
        <f t="shared" si="88"/>
        <v>0</v>
      </c>
      <c r="Q672" s="80">
        <f t="shared" si="89"/>
        <v>0</v>
      </c>
      <c r="R672" s="80">
        <f t="shared" si="90"/>
        <v>0</v>
      </c>
    </row>
    <row r="673" spans="2:19" x14ac:dyDescent="0.4">
      <c r="B673" s="77">
        <v>44500</v>
      </c>
      <c r="C673" s="64"/>
      <c r="D673" s="64"/>
      <c r="E673" s="64" t="s">
        <v>471</v>
      </c>
      <c r="F673" s="64" t="s">
        <v>1108</v>
      </c>
      <c r="G673" s="71" t="s">
        <v>921</v>
      </c>
      <c r="H673" s="78">
        <v>0.08</v>
      </c>
      <c r="I673" s="79">
        <f>15*1</f>
        <v>15</v>
      </c>
      <c r="J673" s="94">
        <v>56</v>
      </c>
      <c r="K673" s="80">
        <f t="shared" si="82"/>
        <v>60.480000000000004</v>
      </c>
      <c r="L673" s="80"/>
      <c r="M673" s="80">
        <f t="shared" si="87"/>
        <v>907.2</v>
      </c>
      <c r="N673" s="79"/>
      <c r="O673" s="79"/>
      <c r="P673" s="80">
        <f t="shared" si="88"/>
        <v>0</v>
      </c>
      <c r="Q673" s="80">
        <f t="shared" si="89"/>
        <v>0</v>
      </c>
      <c r="R673" s="80">
        <f t="shared" si="90"/>
        <v>0</v>
      </c>
    </row>
    <row r="674" spans="2:19" x14ac:dyDescent="0.4">
      <c r="B674" s="77">
        <v>44500</v>
      </c>
      <c r="C674" s="64"/>
      <c r="D674" s="64"/>
      <c r="E674" s="64" t="s">
        <v>471</v>
      </c>
      <c r="F674" s="64" t="s">
        <v>949</v>
      </c>
      <c r="G674" s="71" t="s">
        <v>955</v>
      </c>
      <c r="H674" s="78">
        <v>0.08</v>
      </c>
      <c r="I674" s="79">
        <f>24*1</f>
        <v>24</v>
      </c>
      <c r="J674" s="94">
        <v>59</v>
      </c>
      <c r="K674" s="80">
        <f t="shared" si="82"/>
        <v>63.720000000000006</v>
      </c>
      <c r="L674" s="80"/>
      <c r="M674" s="80">
        <f t="shared" si="87"/>
        <v>1529.2800000000002</v>
      </c>
      <c r="N674" s="79"/>
      <c r="O674" s="79"/>
      <c r="P674" s="80">
        <f t="shared" si="88"/>
        <v>0</v>
      </c>
      <c r="Q674" s="80">
        <f t="shared" si="89"/>
        <v>0</v>
      </c>
      <c r="R674" s="80">
        <f t="shared" si="90"/>
        <v>0</v>
      </c>
    </row>
    <row r="675" spans="2:19" x14ac:dyDescent="0.4">
      <c r="B675" s="77">
        <v>44500</v>
      </c>
      <c r="C675" s="64"/>
      <c r="D675" s="64"/>
      <c r="E675" s="64" t="s">
        <v>471</v>
      </c>
      <c r="F675" s="64" t="s">
        <v>949</v>
      </c>
      <c r="G675" s="71" t="s">
        <v>955</v>
      </c>
      <c r="H675" s="78">
        <v>0.08</v>
      </c>
      <c r="I675" s="79">
        <f>12*1</f>
        <v>12</v>
      </c>
      <c r="J675" s="94">
        <v>59</v>
      </c>
      <c r="K675" s="80">
        <f t="shared" si="82"/>
        <v>63.720000000000006</v>
      </c>
      <c r="L675" s="80"/>
      <c r="M675" s="80">
        <f t="shared" si="87"/>
        <v>764.6400000000001</v>
      </c>
      <c r="N675" s="79"/>
      <c r="O675" s="79"/>
      <c r="P675" s="80">
        <f t="shared" si="88"/>
        <v>0</v>
      </c>
      <c r="Q675" s="80">
        <f t="shared" si="89"/>
        <v>0</v>
      </c>
      <c r="R675" s="80">
        <f t="shared" si="90"/>
        <v>0</v>
      </c>
    </row>
    <row r="676" spans="2:19" x14ac:dyDescent="0.4">
      <c r="B676" s="77">
        <v>44500</v>
      </c>
      <c r="C676" s="64"/>
      <c r="D676" s="64"/>
      <c r="E676" s="64" t="s">
        <v>471</v>
      </c>
      <c r="F676" s="64" t="s">
        <v>1109</v>
      </c>
      <c r="G676" s="71" t="s">
        <v>1110</v>
      </c>
      <c r="H676" s="78">
        <v>0.08</v>
      </c>
      <c r="I676" s="79">
        <f>6*3</f>
        <v>18</v>
      </c>
      <c r="J676" s="94">
        <v>217</v>
      </c>
      <c r="K676" s="80">
        <f t="shared" si="82"/>
        <v>234.36</v>
      </c>
      <c r="L676" s="80"/>
      <c r="M676" s="80">
        <f t="shared" si="87"/>
        <v>4218.4800000000005</v>
      </c>
      <c r="N676" s="79"/>
      <c r="O676" s="79"/>
      <c r="P676" s="80">
        <f t="shared" si="88"/>
        <v>0</v>
      </c>
      <c r="Q676" s="80">
        <f t="shared" si="89"/>
        <v>0</v>
      </c>
      <c r="R676" s="80">
        <f t="shared" si="90"/>
        <v>0</v>
      </c>
    </row>
    <row r="677" spans="2:19" x14ac:dyDescent="0.4">
      <c r="B677" s="77">
        <v>44500</v>
      </c>
      <c r="C677" s="64"/>
      <c r="D677" s="64"/>
      <c r="E677" s="64" t="s">
        <v>471</v>
      </c>
      <c r="F677" s="64" t="s">
        <v>1027</v>
      </c>
      <c r="G677" s="71" t="s">
        <v>294</v>
      </c>
      <c r="H677" s="78">
        <v>0.08</v>
      </c>
      <c r="I677" s="79">
        <f>12*3</f>
        <v>36</v>
      </c>
      <c r="J677" s="94">
        <v>137</v>
      </c>
      <c r="K677" s="80">
        <f t="shared" si="82"/>
        <v>147.96</v>
      </c>
      <c r="L677" s="80"/>
      <c r="M677" s="80">
        <f t="shared" si="87"/>
        <v>5326.56</v>
      </c>
      <c r="N677" s="79"/>
      <c r="O677" s="79"/>
      <c r="P677" s="80">
        <f t="shared" si="88"/>
        <v>0</v>
      </c>
      <c r="Q677" s="80">
        <f t="shared" si="89"/>
        <v>0</v>
      </c>
      <c r="R677" s="80">
        <f t="shared" si="90"/>
        <v>0</v>
      </c>
      <c r="S677" s="89">
        <f>SUM(M667:M677)</f>
        <v>27259.200000000001</v>
      </c>
    </row>
    <row r="678" spans="2:19" x14ac:dyDescent="0.4">
      <c r="B678" s="77">
        <v>44500</v>
      </c>
      <c r="C678" s="64"/>
      <c r="D678" s="64"/>
      <c r="E678" s="64" t="s">
        <v>471</v>
      </c>
      <c r="F678" s="64" t="s">
        <v>558</v>
      </c>
      <c r="G678" s="71" t="s">
        <v>559</v>
      </c>
      <c r="H678" s="78">
        <v>0.08</v>
      </c>
      <c r="I678" s="79">
        <f>24*1</f>
        <v>24</v>
      </c>
      <c r="J678" s="94">
        <v>209</v>
      </c>
      <c r="K678" s="80">
        <f t="shared" si="82"/>
        <v>225.72000000000003</v>
      </c>
      <c r="L678" s="80"/>
      <c r="M678" s="80">
        <f t="shared" si="87"/>
        <v>5417.2800000000007</v>
      </c>
      <c r="N678" s="79"/>
      <c r="O678" s="79"/>
      <c r="P678" s="80">
        <f t="shared" si="88"/>
        <v>0</v>
      </c>
      <c r="Q678" s="80">
        <f t="shared" si="89"/>
        <v>0</v>
      </c>
      <c r="R678" s="80">
        <f t="shared" si="90"/>
        <v>0</v>
      </c>
    </row>
    <row r="679" spans="2:19" x14ac:dyDescent="0.4">
      <c r="B679" s="77">
        <v>44500</v>
      </c>
      <c r="C679" s="64"/>
      <c r="D679" s="64"/>
      <c r="E679" s="64" t="s">
        <v>471</v>
      </c>
      <c r="F679" s="64" t="s">
        <v>558</v>
      </c>
      <c r="G679" s="71" t="s">
        <v>559</v>
      </c>
      <c r="H679" s="78">
        <v>0.08</v>
      </c>
      <c r="I679" s="79">
        <f>12*1</f>
        <v>12</v>
      </c>
      <c r="J679" s="94">
        <v>209</v>
      </c>
      <c r="K679" s="80">
        <f t="shared" si="82"/>
        <v>225.72000000000003</v>
      </c>
      <c r="L679" s="80"/>
      <c r="M679" s="80">
        <f t="shared" si="87"/>
        <v>2708.6400000000003</v>
      </c>
      <c r="N679" s="79"/>
      <c r="O679" s="79"/>
      <c r="P679" s="80">
        <f t="shared" si="88"/>
        <v>0</v>
      </c>
      <c r="Q679" s="80">
        <f t="shared" si="89"/>
        <v>0</v>
      </c>
      <c r="R679" s="80">
        <f t="shared" si="90"/>
        <v>0</v>
      </c>
    </row>
    <row r="680" spans="2:19" x14ac:dyDescent="0.4">
      <c r="B680" s="77">
        <v>44500</v>
      </c>
      <c r="C680" s="64"/>
      <c r="D680" s="64"/>
      <c r="E680" s="64" t="s">
        <v>471</v>
      </c>
      <c r="F680" s="64" t="s">
        <v>824</v>
      </c>
      <c r="G680" s="71" t="s">
        <v>826</v>
      </c>
      <c r="H680" s="78">
        <v>0.08</v>
      </c>
      <c r="I680" s="79">
        <f>24*1</f>
        <v>24</v>
      </c>
      <c r="J680" s="94">
        <v>209</v>
      </c>
      <c r="K680" s="80">
        <f t="shared" si="82"/>
        <v>225.72000000000003</v>
      </c>
      <c r="L680" s="80"/>
      <c r="M680" s="80">
        <f t="shared" si="87"/>
        <v>5417.2800000000007</v>
      </c>
      <c r="N680" s="79"/>
      <c r="O680" s="79"/>
      <c r="P680" s="80">
        <f t="shared" si="88"/>
        <v>0</v>
      </c>
      <c r="Q680" s="80">
        <f t="shared" si="89"/>
        <v>0</v>
      </c>
      <c r="R680" s="80">
        <f t="shared" si="90"/>
        <v>0</v>
      </c>
    </row>
    <row r="681" spans="2:19" x14ac:dyDescent="0.4">
      <c r="B681" s="77">
        <v>44500</v>
      </c>
      <c r="C681" s="64"/>
      <c r="D681" s="64"/>
      <c r="E681" s="64" t="s">
        <v>471</v>
      </c>
      <c r="F681" s="64" t="s">
        <v>824</v>
      </c>
      <c r="G681" s="71" t="s">
        <v>826</v>
      </c>
      <c r="H681" s="78">
        <v>0.08</v>
      </c>
      <c r="I681" s="79">
        <f>12*1</f>
        <v>12</v>
      </c>
      <c r="J681" s="94">
        <v>209</v>
      </c>
      <c r="K681" s="80">
        <f t="shared" si="82"/>
        <v>225.72000000000003</v>
      </c>
      <c r="L681" s="80"/>
      <c r="M681" s="80">
        <f t="shared" si="87"/>
        <v>2708.6400000000003</v>
      </c>
      <c r="N681" s="79"/>
      <c r="O681" s="79"/>
      <c r="P681" s="80">
        <f t="shared" si="88"/>
        <v>0</v>
      </c>
      <c r="Q681" s="80">
        <f t="shared" si="89"/>
        <v>0</v>
      </c>
      <c r="R681" s="80">
        <f t="shared" si="90"/>
        <v>0</v>
      </c>
    </row>
    <row r="682" spans="2:19" x14ac:dyDescent="0.4">
      <c r="B682" s="77">
        <v>44500</v>
      </c>
      <c r="C682" s="64"/>
      <c r="D682" s="64"/>
      <c r="E682" s="64" t="s">
        <v>471</v>
      </c>
      <c r="F682" s="64" t="s">
        <v>1111</v>
      </c>
      <c r="G682" s="71" t="s">
        <v>1112</v>
      </c>
      <c r="H682" s="78">
        <v>0.08</v>
      </c>
      <c r="I682" s="79">
        <f>8*3</f>
        <v>24</v>
      </c>
      <c r="J682" s="94">
        <v>75</v>
      </c>
      <c r="K682" s="80">
        <f t="shared" si="82"/>
        <v>81</v>
      </c>
      <c r="L682" s="80"/>
      <c r="M682" s="80">
        <f t="shared" si="87"/>
        <v>1944</v>
      </c>
      <c r="N682" s="79"/>
      <c r="O682" s="79"/>
      <c r="P682" s="80">
        <f t="shared" si="88"/>
        <v>0</v>
      </c>
      <c r="Q682" s="80">
        <f t="shared" si="89"/>
        <v>0</v>
      </c>
      <c r="R682" s="80">
        <f t="shared" si="90"/>
        <v>0</v>
      </c>
    </row>
    <row r="683" spans="2:19" x14ac:dyDescent="0.4">
      <c r="B683" s="77">
        <v>44500</v>
      </c>
      <c r="C683" s="64"/>
      <c r="D683" s="64"/>
      <c r="E683" s="64" t="s">
        <v>471</v>
      </c>
      <c r="F683" s="64" t="s">
        <v>1010</v>
      </c>
      <c r="G683" s="71" t="s">
        <v>1012</v>
      </c>
      <c r="H683" s="78">
        <v>0.08</v>
      </c>
      <c r="I683" s="79">
        <f>8*3</f>
        <v>24</v>
      </c>
      <c r="J683" s="94">
        <v>75</v>
      </c>
      <c r="K683" s="80">
        <f t="shared" si="82"/>
        <v>81</v>
      </c>
      <c r="L683" s="80"/>
      <c r="M683" s="80">
        <f t="shared" si="87"/>
        <v>1944</v>
      </c>
      <c r="N683" s="79"/>
      <c r="O683" s="79"/>
      <c r="P683" s="80">
        <f t="shared" si="88"/>
        <v>0</v>
      </c>
      <c r="Q683" s="80">
        <f t="shared" si="89"/>
        <v>0</v>
      </c>
      <c r="R683" s="80">
        <f t="shared" si="90"/>
        <v>0</v>
      </c>
      <c r="S683" s="89">
        <f>SUM(M678:M683)</f>
        <v>20139.84</v>
      </c>
    </row>
    <row r="684" spans="2:19" x14ac:dyDescent="0.4">
      <c r="B684" s="77">
        <v>44500</v>
      </c>
      <c r="C684" s="64"/>
      <c r="D684" s="64"/>
      <c r="E684" s="64" t="s">
        <v>471</v>
      </c>
      <c r="F684" s="64" t="s">
        <v>713</v>
      </c>
      <c r="G684" s="71" t="s">
        <v>726</v>
      </c>
      <c r="H684" s="78">
        <v>0.08</v>
      </c>
      <c r="I684" s="79">
        <f>144*3</f>
        <v>432</v>
      </c>
      <c r="J684" s="94">
        <v>59</v>
      </c>
      <c r="K684" s="80">
        <f t="shared" si="82"/>
        <v>63.720000000000006</v>
      </c>
      <c r="L684" s="80"/>
      <c r="M684" s="80">
        <f t="shared" si="87"/>
        <v>27527.040000000001</v>
      </c>
      <c r="N684" s="79"/>
      <c r="O684" s="79"/>
      <c r="P684" s="80">
        <f t="shared" si="88"/>
        <v>0</v>
      </c>
      <c r="Q684" s="80">
        <f t="shared" si="89"/>
        <v>0</v>
      </c>
      <c r="R684" s="80">
        <f t="shared" si="90"/>
        <v>0</v>
      </c>
    </row>
    <row r="685" spans="2:19" x14ac:dyDescent="0.4">
      <c r="B685" s="77">
        <v>44500</v>
      </c>
      <c r="C685" s="64"/>
      <c r="D685" s="64"/>
      <c r="E685" s="64" t="s">
        <v>471</v>
      </c>
      <c r="F685" s="64" t="s">
        <v>715</v>
      </c>
      <c r="G685" s="71" t="s">
        <v>728</v>
      </c>
      <c r="H685" s="78">
        <v>0.08</v>
      </c>
      <c r="I685" s="79">
        <f>144*3</f>
        <v>432</v>
      </c>
      <c r="J685" s="94">
        <v>66</v>
      </c>
      <c r="K685" s="80">
        <f t="shared" si="82"/>
        <v>71.28</v>
      </c>
      <c r="L685" s="80"/>
      <c r="M685" s="80">
        <f t="shared" si="87"/>
        <v>30792.959999999999</v>
      </c>
      <c r="N685" s="79"/>
      <c r="O685" s="79"/>
      <c r="P685" s="80">
        <f t="shared" si="88"/>
        <v>0</v>
      </c>
      <c r="Q685" s="80">
        <f t="shared" si="89"/>
        <v>0</v>
      </c>
      <c r="R685" s="80">
        <f t="shared" si="90"/>
        <v>0</v>
      </c>
    </row>
    <row r="686" spans="2:19" x14ac:dyDescent="0.4">
      <c r="B686" s="77">
        <v>44500</v>
      </c>
      <c r="C686" s="64"/>
      <c r="D686" s="64"/>
      <c r="E686" s="64" t="s">
        <v>471</v>
      </c>
      <c r="F686" s="64" t="s">
        <v>810</v>
      </c>
      <c r="G686" s="71" t="s">
        <v>265</v>
      </c>
      <c r="H686" s="78">
        <v>0.08</v>
      </c>
      <c r="I686" s="79">
        <f>12*3</f>
        <v>36</v>
      </c>
      <c r="J686" s="94">
        <v>78</v>
      </c>
      <c r="K686" s="80">
        <f t="shared" si="82"/>
        <v>84.240000000000009</v>
      </c>
      <c r="L686" s="80"/>
      <c r="M686" s="80">
        <f t="shared" si="87"/>
        <v>3032.6400000000003</v>
      </c>
      <c r="N686" s="79"/>
      <c r="O686" s="79"/>
      <c r="P686" s="80">
        <f t="shared" si="88"/>
        <v>0</v>
      </c>
      <c r="Q686" s="80">
        <f t="shared" si="89"/>
        <v>0</v>
      </c>
      <c r="R686" s="80">
        <f t="shared" si="90"/>
        <v>0</v>
      </c>
    </row>
    <row r="687" spans="2:19" x14ac:dyDescent="0.4">
      <c r="B687" s="77">
        <v>44500</v>
      </c>
      <c r="C687" s="64"/>
      <c r="D687" s="64"/>
      <c r="E687" s="64" t="s">
        <v>471</v>
      </c>
      <c r="F687" s="64" t="s">
        <v>900</v>
      </c>
      <c r="G687" s="71" t="s">
        <v>264</v>
      </c>
      <c r="H687" s="78">
        <v>0.08</v>
      </c>
      <c r="I687" s="79">
        <f>12*3</f>
        <v>36</v>
      </c>
      <c r="J687" s="94">
        <v>78</v>
      </c>
      <c r="K687" s="80">
        <f t="shared" si="82"/>
        <v>84.240000000000009</v>
      </c>
      <c r="L687" s="80"/>
      <c r="M687" s="80">
        <f t="shared" si="87"/>
        <v>3032.6400000000003</v>
      </c>
      <c r="N687" s="79"/>
      <c r="O687" s="79"/>
      <c r="P687" s="80">
        <f t="shared" si="88"/>
        <v>0</v>
      </c>
      <c r="Q687" s="80">
        <f t="shared" si="89"/>
        <v>0</v>
      </c>
      <c r="R687" s="80">
        <f t="shared" si="90"/>
        <v>0</v>
      </c>
    </row>
    <row r="688" spans="2:19" x14ac:dyDescent="0.4">
      <c r="B688" s="77">
        <v>44500</v>
      </c>
      <c r="C688" s="64"/>
      <c r="D688" s="64"/>
      <c r="E688" s="64" t="s">
        <v>471</v>
      </c>
      <c r="F688" s="64" t="s">
        <v>1113</v>
      </c>
      <c r="G688" s="71" t="s">
        <v>273</v>
      </c>
      <c r="H688" s="78">
        <v>0.08</v>
      </c>
      <c r="I688" s="79">
        <f>12*3</f>
        <v>36</v>
      </c>
      <c r="J688" s="94">
        <v>60</v>
      </c>
      <c r="K688" s="80">
        <f t="shared" si="82"/>
        <v>64.800000000000011</v>
      </c>
      <c r="L688" s="80"/>
      <c r="M688" s="80">
        <f t="shared" si="87"/>
        <v>2332.8000000000002</v>
      </c>
      <c r="N688" s="79"/>
      <c r="O688" s="79"/>
      <c r="P688" s="80">
        <f t="shared" si="88"/>
        <v>0</v>
      </c>
      <c r="Q688" s="80">
        <f t="shared" si="89"/>
        <v>0</v>
      </c>
      <c r="R688" s="80">
        <f t="shared" si="90"/>
        <v>0</v>
      </c>
    </row>
    <row r="689" spans="2:19" x14ac:dyDescent="0.4">
      <c r="B689" s="77">
        <v>44500</v>
      </c>
      <c r="C689" s="64"/>
      <c r="D689" s="64"/>
      <c r="E689" s="64" t="s">
        <v>471</v>
      </c>
      <c r="F689" s="64" t="s">
        <v>558</v>
      </c>
      <c r="G689" s="71" t="s">
        <v>559</v>
      </c>
      <c r="H689" s="78">
        <v>0.08</v>
      </c>
      <c r="I689" s="79">
        <f>24*3</f>
        <v>72</v>
      </c>
      <c r="J689" s="94">
        <v>209</v>
      </c>
      <c r="K689" s="80">
        <f t="shared" si="82"/>
        <v>225.72000000000003</v>
      </c>
      <c r="L689" s="80"/>
      <c r="M689" s="80">
        <f t="shared" si="87"/>
        <v>16251.840000000002</v>
      </c>
      <c r="N689" s="79"/>
      <c r="O689" s="79"/>
      <c r="P689" s="80">
        <f t="shared" si="88"/>
        <v>0</v>
      </c>
      <c r="Q689" s="80">
        <f t="shared" si="89"/>
        <v>0</v>
      </c>
      <c r="R689" s="80">
        <f t="shared" si="90"/>
        <v>0</v>
      </c>
    </row>
    <row r="690" spans="2:19" x14ac:dyDescent="0.4">
      <c r="B690" s="77">
        <v>44500</v>
      </c>
      <c r="C690" s="64"/>
      <c r="D690" s="64"/>
      <c r="E690" s="64" t="s">
        <v>471</v>
      </c>
      <c r="F690" s="64" t="s">
        <v>716</v>
      </c>
      <c r="G690" s="71" t="s">
        <v>729</v>
      </c>
      <c r="H690" s="78">
        <v>0.08</v>
      </c>
      <c r="I690" s="79">
        <f>144*3</f>
        <v>432</v>
      </c>
      <c r="J690" s="94">
        <v>59</v>
      </c>
      <c r="K690" s="80">
        <f t="shared" si="82"/>
        <v>63.720000000000006</v>
      </c>
      <c r="L690" s="80"/>
      <c r="M690" s="80">
        <f t="shared" si="87"/>
        <v>27527.040000000001</v>
      </c>
      <c r="N690" s="79"/>
      <c r="O690" s="79"/>
      <c r="P690" s="80">
        <f t="shared" si="88"/>
        <v>0</v>
      </c>
      <c r="Q690" s="80">
        <f t="shared" si="89"/>
        <v>0</v>
      </c>
      <c r="R690" s="80">
        <f t="shared" si="90"/>
        <v>0</v>
      </c>
      <c r="S690" s="89">
        <f>SUM(M684:M690)</f>
        <v>110496.95999999999</v>
      </c>
    </row>
    <row r="691" spans="2:19" x14ac:dyDescent="0.4">
      <c r="B691" s="77">
        <v>44500</v>
      </c>
      <c r="C691" s="64"/>
      <c r="D691" s="64"/>
      <c r="E691" s="64" t="s">
        <v>471</v>
      </c>
      <c r="F691" s="64" t="s">
        <v>851</v>
      </c>
      <c r="G691" s="71" t="s">
        <v>269</v>
      </c>
      <c r="H691" s="78">
        <v>0.08</v>
      </c>
      <c r="I691" s="79">
        <f>20*3</f>
        <v>60</v>
      </c>
      <c r="J691" s="94">
        <v>148</v>
      </c>
      <c r="K691" s="80">
        <f t="shared" si="82"/>
        <v>159.84</v>
      </c>
      <c r="L691" s="80"/>
      <c r="M691" s="80">
        <f t="shared" si="87"/>
        <v>9590.4</v>
      </c>
      <c r="N691" s="79"/>
      <c r="O691" s="79"/>
      <c r="P691" s="80">
        <f t="shared" ref="P691:P709" si="91">IFERROR(O691*J691,"")</f>
        <v>0</v>
      </c>
      <c r="Q691" s="80">
        <f t="shared" ref="Q691:Q709" si="92">IFERROR(P691*O691,"")</f>
        <v>0</v>
      </c>
      <c r="R691" s="80">
        <f t="shared" ref="R691:R709" si="93">IFERROR(Q691-P691,"")</f>
        <v>0</v>
      </c>
    </row>
    <row r="692" spans="2:19" x14ac:dyDescent="0.4">
      <c r="B692" s="77">
        <v>44500</v>
      </c>
      <c r="C692" s="64"/>
      <c r="D692" s="64"/>
      <c r="E692" s="64" t="s">
        <v>471</v>
      </c>
      <c r="F692" s="64" t="s">
        <v>1114</v>
      </c>
      <c r="G692" s="71" t="s">
        <v>619</v>
      </c>
      <c r="H692" s="78">
        <v>0.08</v>
      </c>
      <c r="I692" s="79">
        <f>6*3</f>
        <v>18</v>
      </c>
      <c r="J692" s="94">
        <v>328</v>
      </c>
      <c r="K692" s="80">
        <f t="shared" si="82"/>
        <v>354.24</v>
      </c>
      <c r="L692" s="80"/>
      <c r="M692" s="80">
        <f t="shared" si="87"/>
        <v>6376.32</v>
      </c>
      <c r="N692" s="79"/>
      <c r="O692" s="79"/>
      <c r="P692" s="80">
        <f t="shared" si="91"/>
        <v>0</v>
      </c>
      <c r="Q692" s="80">
        <f t="shared" si="92"/>
        <v>0</v>
      </c>
      <c r="R692" s="80">
        <f t="shared" si="93"/>
        <v>0</v>
      </c>
    </row>
    <row r="693" spans="2:19" x14ac:dyDescent="0.4">
      <c r="B693" s="77">
        <v>44500</v>
      </c>
      <c r="C693" s="64"/>
      <c r="D693" s="64"/>
      <c r="E693" s="64" t="s">
        <v>471</v>
      </c>
      <c r="F693" s="64" t="s">
        <v>612</v>
      </c>
      <c r="G693" s="71" t="s">
        <v>618</v>
      </c>
      <c r="H693" s="78">
        <v>0.08</v>
      </c>
      <c r="I693" s="79">
        <f>6*3</f>
        <v>18</v>
      </c>
      <c r="J693" s="94">
        <v>328</v>
      </c>
      <c r="K693" s="80">
        <f t="shared" si="82"/>
        <v>354.24</v>
      </c>
      <c r="L693" s="80"/>
      <c r="M693" s="80">
        <f t="shared" si="87"/>
        <v>6376.32</v>
      </c>
      <c r="N693" s="79"/>
      <c r="O693" s="79"/>
      <c r="P693" s="80">
        <f t="shared" si="91"/>
        <v>0</v>
      </c>
      <c r="Q693" s="80">
        <f t="shared" si="92"/>
        <v>0</v>
      </c>
      <c r="R693" s="80">
        <f t="shared" si="93"/>
        <v>0</v>
      </c>
    </row>
    <row r="694" spans="2:19" x14ac:dyDescent="0.4">
      <c r="B694" s="77">
        <v>44500</v>
      </c>
      <c r="C694" s="64"/>
      <c r="D694" s="64"/>
      <c r="E694" s="64" t="s">
        <v>471</v>
      </c>
      <c r="F694" s="64" t="s">
        <v>608</v>
      </c>
      <c r="G694" s="71" t="s">
        <v>614</v>
      </c>
      <c r="H694" s="78">
        <v>0.08</v>
      </c>
      <c r="I694" s="79">
        <f>6*3</f>
        <v>18</v>
      </c>
      <c r="J694" s="94">
        <v>328</v>
      </c>
      <c r="K694" s="80">
        <f t="shared" si="82"/>
        <v>354.24</v>
      </c>
      <c r="L694" s="80"/>
      <c r="M694" s="80">
        <f t="shared" si="87"/>
        <v>6376.32</v>
      </c>
      <c r="N694" s="79"/>
      <c r="O694" s="79"/>
      <c r="P694" s="80">
        <f t="shared" si="91"/>
        <v>0</v>
      </c>
      <c r="Q694" s="80">
        <f t="shared" si="92"/>
        <v>0</v>
      </c>
      <c r="R694" s="80">
        <f t="shared" si="93"/>
        <v>0</v>
      </c>
    </row>
    <row r="695" spans="2:19" x14ac:dyDescent="0.4">
      <c r="B695" s="77">
        <v>44500</v>
      </c>
      <c r="C695" s="64"/>
      <c r="D695" s="64"/>
      <c r="E695" s="64" t="s">
        <v>471</v>
      </c>
      <c r="F695" s="64" t="s">
        <v>1115</v>
      </c>
      <c r="G695" s="71" t="s">
        <v>1116</v>
      </c>
      <c r="H695" s="78">
        <v>0.08</v>
      </c>
      <c r="I695" s="79">
        <f>20*3</f>
        <v>60</v>
      </c>
      <c r="J695" s="94">
        <v>205</v>
      </c>
      <c r="K695" s="80">
        <f t="shared" si="82"/>
        <v>221.4</v>
      </c>
      <c r="L695" s="80"/>
      <c r="M695" s="80">
        <f t="shared" si="87"/>
        <v>13284</v>
      </c>
      <c r="N695" s="79"/>
      <c r="O695" s="79"/>
      <c r="P695" s="80">
        <f t="shared" si="91"/>
        <v>0</v>
      </c>
      <c r="Q695" s="80">
        <f t="shared" si="92"/>
        <v>0</v>
      </c>
      <c r="R695" s="80">
        <f t="shared" si="93"/>
        <v>0</v>
      </c>
      <c r="S695" s="89">
        <f>SUM(M691:M695)</f>
        <v>42003.360000000001</v>
      </c>
    </row>
    <row r="696" spans="2:19" x14ac:dyDescent="0.4">
      <c r="B696" s="77">
        <v>44500</v>
      </c>
      <c r="C696" s="64"/>
      <c r="D696" s="64"/>
      <c r="E696" s="64" t="s">
        <v>471</v>
      </c>
      <c r="F696" s="64" t="s">
        <v>849</v>
      </c>
      <c r="G696" s="71" t="s">
        <v>248</v>
      </c>
      <c r="H696" s="78">
        <v>0.08</v>
      </c>
      <c r="I696" s="79">
        <f>12*3</f>
        <v>36</v>
      </c>
      <c r="J696" s="94">
        <v>155</v>
      </c>
      <c r="K696" s="80">
        <f t="shared" si="82"/>
        <v>167.4</v>
      </c>
      <c r="L696" s="80"/>
      <c r="M696" s="80">
        <f t="shared" si="87"/>
        <v>6026.4000000000005</v>
      </c>
      <c r="N696" s="79"/>
      <c r="O696" s="79"/>
      <c r="P696" s="80">
        <f t="shared" si="91"/>
        <v>0</v>
      </c>
      <c r="Q696" s="80">
        <f t="shared" si="92"/>
        <v>0</v>
      </c>
      <c r="R696" s="80">
        <f t="shared" si="93"/>
        <v>0</v>
      </c>
    </row>
    <row r="697" spans="2:19" x14ac:dyDescent="0.4">
      <c r="B697" s="77">
        <v>44500</v>
      </c>
      <c r="C697" s="64"/>
      <c r="D697" s="64"/>
      <c r="E697" s="64" t="s">
        <v>471</v>
      </c>
      <c r="F697" s="64" t="s">
        <v>957</v>
      </c>
      <c r="G697" s="71" t="s">
        <v>283</v>
      </c>
      <c r="H697" s="78">
        <v>0.08</v>
      </c>
      <c r="I697" s="79">
        <f>12*1</f>
        <v>12</v>
      </c>
      <c r="J697" s="94">
        <v>154</v>
      </c>
      <c r="K697" s="80">
        <f t="shared" si="82"/>
        <v>166.32000000000002</v>
      </c>
      <c r="L697" s="80"/>
      <c r="M697" s="80">
        <f t="shared" si="87"/>
        <v>1995.8400000000001</v>
      </c>
      <c r="N697" s="79"/>
      <c r="O697" s="79"/>
      <c r="P697" s="80">
        <f t="shared" si="91"/>
        <v>0</v>
      </c>
      <c r="Q697" s="80">
        <f t="shared" si="92"/>
        <v>0</v>
      </c>
      <c r="R697" s="80">
        <f t="shared" si="93"/>
        <v>0</v>
      </c>
    </row>
    <row r="698" spans="2:19" x14ac:dyDescent="0.4">
      <c r="B698" s="77">
        <v>44500</v>
      </c>
      <c r="C698" s="64"/>
      <c r="D698" s="64"/>
      <c r="E698" s="64" t="s">
        <v>471</v>
      </c>
      <c r="F698" s="64" t="s">
        <v>1117</v>
      </c>
      <c r="G698" s="71" t="s">
        <v>292</v>
      </c>
      <c r="H698" s="78">
        <v>0.08</v>
      </c>
      <c r="I698" s="79">
        <f>100*1</f>
        <v>100</v>
      </c>
      <c r="J698" s="94">
        <v>78</v>
      </c>
      <c r="K698" s="80">
        <f t="shared" si="82"/>
        <v>84.240000000000009</v>
      </c>
      <c r="L698" s="80"/>
      <c r="M698" s="80">
        <f t="shared" si="87"/>
        <v>8424</v>
      </c>
      <c r="N698" s="79"/>
      <c r="O698" s="79"/>
      <c r="P698" s="80">
        <f t="shared" si="91"/>
        <v>0</v>
      </c>
      <c r="Q698" s="80">
        <f t="shared" si="92"/>
        <v>0</v>
      </c>
      <c r="R698" s="80">
        <f t="shared" si="93"/>
        <v>0</v>
      </c>
    </row>
    <row r="699" spans="2:19" x14ac:dyDescent="0.4">
      <c r="B699" s="77">
        <v>44500</v>
      </c>
      <c r="C699" s="64"/>
      <c r="D699" s="64"/>
      <c r="E699" s="64" t="s">
        <v>471</v>
      </c>
      <c r="F699" s="64" t="s">
        <v>1118</v>
      </c>
      <c r="G699" s="71" t="s">
        <v>1121</v>
      </c>
      <c r="H699" s="78">
        <v>0.08</v>
      </c>
      <c r="I699" s="79">
        <f>20*3</f>
        <v>60</v>
      </c>
      <c r="J699" s="94">
        <v>263</v>
      </c>
      <c r="K699" s="80">
        <f t="shared" si="82"/>
        <v>284.04000000000002</v>
      </c>
      <c r="L699" s="80"/>
      <c r="M699" s="80">
        <f t="shared" si="87"/>
        <v>17042.400000000001</v>
      </c>
      <c r="N699" s="79"/>
      <c r="O699" s="79"/>
      <c r="P699" s="80">
        <f t="shared" si="91"/>
        <v>0</v>
      </c>
      <c r="Q699" s="80">
        <f t="shared" si="92"/>
        <v>0</v>
      </c>
      <c r="R699" s="80">
        <f t="shared" si="93"/>
        <v>0</v>
      </c>
    </row>
    <row r="700" spans="2:19" x14ac:dyDescent="0.4">
      <c r="B700" s="77">
        <v>44500</v>
      </c>
      <c r="C700" s="64"/>
      <c r="D700" s="64"/>
      <c r="E700" s="64" t="s">
        <v>471</v>
      </c>
      <c r="F700" s="64" t="s">
        <v>1119</v>
      </c>
      <c r="G700" s="71" t="s">
        <v>1122</v>
      </c>
      <c r="H700" s="78">
        <v>0.08</v>
      </c>
      <c r="I700" s="79">
        <f>24*3</f>
        <v>72</v>
      </c>
      <c r="J700" s="94">
        <v>222</v>
      </c>
      <c r="K700" s="80">
        <f t="shared" si="82"/>
        <v>239.76000000000002</v>
      </c>
      <c r="L700" s="80"/>
      <c r="M700" s="80">
        <f t="shared" si="87"/>
        <v>17262.72</v>
      </c>
      <c r="N700" s="79"/>
      <c r="O700" s="79"/>
      <c r="P700" s="80">
        <f t="shared" si="91"/>
        <v>0</v>
      </c>
      <c r="Q700" s="80">
        <f t="shared" si="92"/>
        <v>0</v>
      </c>
      <c r="R700" s="80">
        <f t="shared" si="93"/>
        <v>0</v>
      </c>
    </row>
    <row r="701" spans="2:19" x14ac:dyDescent="0.4">
      <c r="B701" s="77">
        <v>44500</v>
      </c>
      <c r="C701" s="64"/>
      <c r="D701" s="64"/>
      <c r="E701" s="64" t="s">
        <v>471</v>
      </c>
      <c r="F701" s="64" t="s">
        <v>573</v>
      </c>
      <c r="G701" s="71" t="s">
        <v>582</v>
      </c>
      <c r="H701" s="78">
        <v>0.08</v>
      </c>
      <c r="I701" s="79">
        <f>10*3</f>
        <v>30</v>
      </c>
      <c r="J701" s="94">
        <v>249</v>
      </c>
      <c r="K701" s="80">
        <f t="shared" si="82"/>
        <v>268.92</v>
      </c>
      <c r="L701" s="80"/>
      <c r="M701" s="80">
        <f t="shared" si="87"/>
        <v>8067.6</v>
      </c>
      <c r="N701" s="79"/>
      <c r="O701" s="79"/>
      <c r="P701" s="80">
        <f t="shared" si="91"/>
        <v>0</v>
      </c>
      <c r="Q701" s="80">
        <f t="shared" si="92"/>
        <v>0</v>
      </c>
      <c r="R701" s="80">
        <f t="shared" si="93"/>
        <v>0</v>
      </c>
    </row>
    <row r="702" spans="2:19" x14ac:dyDescent="0.4">
      <c r="B702" s="77">
        <v>44500</v>
      </c>
      <c r="C702" s="64"/>
      <c r="D702" s="64"/>
      <c r="E702" s="64" t="s">
        <v>471</v>
      </c>
      <c r="F702" s="64" t="s">
        <v>881</v>
      </c>
      <c r="G702" s="71" t="s">
        <v>278</v>
      </c>
      <c r="H702" s="78">
        <v>0.08</v>
      </c>
      <c r="I702" s="79">
        <f>5*3</f>
        <v>15</v>
      </c>
      <c r="J702" s="94">
        <v>160</v>
      </c>
      <c r="K702" s="80">
        <f t="shared" si="82"/>
        <v>172.8</v>
      </c>
      <c r="L702" s="80"/>
      <c r="M702" s="80">
        <f t="shared" si="87"/>
        <v>2592</v>
      </c>
      <c r="N702" s="79"/>
      <c r="O702" s="79"/>
      <c r="P702" s="80">
        <f t="shared" si="91"/>
        <v>0</v>
      </c>
      <c r="Q702" s="80">
        <f t="shared" si="92"/>
        <v>0</v>
      </c>
      <c r="R702" s="80">
        <f t="shared" si="93"/>
        <v>0</v>
      </c>
    </row>
    <row r="703" spans="2:19" x14ac:dyDescent="0.4">
      <c r="B703" s="77">
        <v>44500</v>
      </c>
      <c r="C703" s="64"/>
      <c r="D703" s="64"/>
      <c r="E703" s="64" t="s">
        <v>471</v>
      </c>
      <c r="F703" s="64" t="s">
        <v>882</v>
      </c>
      <c r="G703" s="71" t="s">
        <v>280</v>
      </c>
      <c r="H703" s="78">
        <v>0.08</v>
      </c>
      <c r="I703" s="79">
        <f>5*3</f>
        <v>15</v>
      </c>
      <c r="J703" s="94">
        <v>160</v>
      </c>
      <c r="K703" s="80">
        <f t="shared" si="82"/>
        <v>172.8</v>
      </c>
      <c r="L703" s="80"/>
      <c r="M703" s="80">
        <f t="shared" si="87"/>
        <v>2592</v>
      </c>
      <c r="N703" s="79"/>
      <c r="O703" s="79"/>
      <c r="P703" s="80">
        <f t="shared" si="91"/>
        <v>0</v>
      </c>
      <c r="Q703" s="80">
        <f t="shared" si="92"/>
        <v>0</v>
      </c>
      <c r="R703" s="80">
        <f t="shared" si="93"/>
        <v>0</v>
      </c>
    </row>
    <row r="704" spans="2:19" x14ac:dyDescent="0.4">
      <c r="B704" s="77">
        <v>44500</v>
      </c>
      <c r="C704" s="64"/>
      <c r="D704" s="64"/>
      <c r="E704" s="64" t="s">
        <v>471</v>
      </c>
      <c r="F704" s="64" t="s">
        <v>880</v>
      </c>
      <c r="G704" s="71" t="s">
        <v>279</v>
      </c>
      <c r="H704" s="78">
        <v>0.08</v>
      </c>
      <c r="I704" s="79">
        <f>5*3</f>
        <v>15</v>
      </c>
      <c r="J704" s="94">
        <v>160</v>
      </c>
      <c r="K704" s="80">
        <f t="shared" si="82"/>
        <v>172.8</v>
      </c>
      <c r="L704" s="80"/>
      <c r="M704" s="80">
        <f t="shared" si="87"/>
        <v>2592</v>
      </c>
      <c r="N704" s="79"/>
      <c r="O704" s="79"/>
      <c r="P704" s="80">
        <f t="shared" si="91"/>
        <v>0</v>
      </c>
      <c r="Q704" s="80">
        <f t="shared" si="92"/>
        <v>0</v>
      </c>
      <c r="R704" s="80">
        <f t="shared" si="93"/>
        <v>0</v>
      </c>
    </row>
    <row r="705" spans="2:19" x14ac:dyDescent="0.4">
      <c r="B705" s="77">
        <v>44500</v>
      </c>
      <c r="C705" s="64"/>
      <c r="D705" s="64"/>
      <c r="E705" s="64" t="s">
        <v>471</v>
      </c>
      <c r="F705" s="64" t="s">
        <v>838</v>
      </c>
      <c r="G705" s="71" t="s">
        <v>281</v>
      </c>
      <c r="H705" s="78">
        <v>0.08</v>
      </c>
      <c r="I705" s="79">
        <f>8*3</f>
        <v>24</v>
      </c>
      <c r="J705" s="94">
        <v>249</v>
      </c>
      <c r="K705" s="80">
        <f t="shared" si="82"/>
        <v>268.92</v>
      </c>
      <c r="L705" s="80"/>
      <c r="M705" s="80">
        <f t="shared" si="87"/>
        <v>6454.08</v>
      </c>
      <c r="N705" s="79"/>
      <c r="O705" s="79"/>
      <c r="P705" s="80">
        <f t="shared" si="91"/>
        <v>0</v>
      </c>
      <c r="Q705" s="80">
        <f t="shared" si="92"/>
        <v>0</v>
      </c>
      <c r="R705" s="80">
        <f t="shared" si="93"/>
        <v>0</v>
      </c>
    </row>
    <row r="706" spans="2:19" x14ac:dyDescent="0.4">
      <c r="B706" s="77">
        <v>44500</v>
      </c>
      <c r="C706" s="64"/>
      <c r="D706" s="64"/>
      <c r="E706" s="64" t="s">
        <v>471</v>
      </c>
      <c r="F706" s="64" t="s">
        <v>1120</v>
      </c>
      <c r="G706" s="71" t="s">
        <v>288</v>
      </c>
      <c r="H706" s="78">
        <v>0.08</v>
      </c>
      <c r="I706" s="79">
        <f>100*1</f>
        <v>100</v>
      </c>
      <c r="J706" s="94">
        <v>78</v>
      </c>
      <c r="K706" s="80">
        <f t="shared" si="82"/>
        <v>84.240000000000009</v>
      </c>
      <c r="L706" s="80"/>
      <c r="M706" s="80">
        <f t="shared" si="87"/>
        <v>8424</v>
      </c>
      <c r="N706" s="79"/>
      <c r="O706" s="79"/>
      <c r="P706" s="80">
        <f t="shared" si="91"/>
        <v>0</v>
      </c>
      <c r="Q706" s="80">
        <f t="shared" si="92"/>
        <v>0</v>
      </c>
      <c r="R706" s="80">
        <f t="shared" si="93"/>
        <v>0</v>
      </c>
    </row>
    <row r="707" spans="2:19" x14ac:dyDescent="0.4">
      <c r="B707" s="77">
        <v>44500</v>
      </c>
      <c r="C707" s="64"/>
      <c r="D707" s="64"/>
      <c r="E707" s="64" t="s">
        <v>471</v>
      </c>
      <c r="F707" s="64" t="s">
        <v>886</v>
      </c>
      <c r="G707" s="71" t="s">
        <v>892</v>
      </c>
      <c r="H707" s="78">
        <v>0.08</v>
      </c>
      <c r="I707" s="79">
        <f>100*1</f>
        <v>100</v>
      </c>
      <c r="J707" s="94">
        <v>78</v>
      </c>
      <c r="K707" s="80">
        <f t="shared" si="82"/>
        <v>84.240000000000009</v>
      </c>
      <c r="L707" s="80"/>
      <c r="M707" s="80">
        <f t="shared" si="87"/>
        <v>8424</v>
      </c>
      <c r="N707" s="79"/>
      <c r="O707" s="79"/>
      <c r="P707" s="80">
        <f t="shared" si="91"/>
        <v>0</v>
      </c>
      <c r="Q707" s="80">
        <f t="shared" si="92"/>
        <v>0</v>
      </c>
      <c r="R707" s="80">
        <f t="shared" si="93"/>
        <v>0</v>
      </c>
    </row>
    <row r="708" spans="2:19" x14ac:dyDescent="0.4">
      <c r="B708" s="77">
        <v>44500</v>
      </c>
      <c r="C708" s="64"/>
      <c r="D708" s="64"/>
      <c r="E708" s="64" t="s">
        <v>471</v>
      </c>
      <c r="F708" s="64" t="s">
        <v>864</v>
      </c>
      <c r="G708" s="71" t="s">
        <v>286</v>
      </c>
      <c r="H708" s="78">
        <v>0.08</v>
      </c>
      <c r="I708" s="79">
        <f>20*1</f>
        <v>20</v>
      </c>
      <c r="J708" s="94">
        <v>151</v>
      </c>
      <c r="K708" s="80">
        <f t="shared" si="82"/>
        <v>163.08000000000001</v>
      </c>
      <c r="L708" s="80"/>
      <c r="M708" s="80">
        <f t="shared" si="87"/>
        <v>3261.6000000000004</v>
      </c>
      <c r="N708" s="79"/>
      <c r="O708" s="79"/>
      <c r="P708" s="80">
        <f t="shared" si="91"/>
        <v>0</v>
      </c>
      <c r="Q708" s="80">
        <f t="shared" si="92"/>
        <v>0</v>
      </c>
      <c r="R708" s="80">
        <f t="shared" si="93"/>
        <v>0</v>
      </c>
      <c r="S708" s="89">
        <f>SUM(M696:M708)</f>
        <v>93158.64</v>
      </c>
    </row>
    <row r="709" spans="2:19" x14ac:dyDescent="0.4">
      <c r="B709" s="77">
        <v>44500</v>
      </c>
      <c r="C709" s="64"/>
      <c r="D709" s="64"/>
      <c r="E709" s="64" t="s">
        <v>471</v>
      </c>
      <c r="F709" s="64" t="s">
        <v>854</v>
      </c>
      <c r="G709" s="71" t="s">
        <v>867</v>
      </c>
      <c r="H709" s="78">
        <v>0.08</v>
      </c>
      <c r="I709" s="79">
        <f>10*6</f>
        <v>60</v>
      </c>
      <c r="J709" s="94">
        <v>176</v>
      </c>
      <c r="K709" s="80">
        <f t="shared" si="82"/>
        <v>190.08</v>
      </c>
      <c r="L709" s="80"/>
      <c r="M709" s="80">
        <f t="shared" si="87"/>
        <v>11404.800000000001</v>
      </c>
      <c r="N709" s="79"/>
      <c r="O709" s="79"/>
      <c r="P709" s="80">
        <f t="shared" si="91"/>
        <v>0</v>
      </c>
      <c r="Q709" s="80">
        <f t="shared" si="92"/>
        <v>0</v>
      </c>
      <c r="R709" s="80">
        <f t="shared" si="93"/>
        <v>0</v>
      </c>
    </row>
    <row r="710" spans="2:19" x14ac:dyDescent="0.4">
      <c r="B710" s="77">
        <v>44500</v>
      </c>
      <c r="C710" s="64"/>
      <c r="D710" s="64"/>
      <c r="E710" s="64" t="s">
        <v>471</v>
      </c>
      <c r="F710" s="64" t="s">
        <v>1123</v>
      </c>
      <c r="G710" s="71" t="s">
        <v>1128</v>
      </c>
      <c r="H710" s="78">
        <v>0.08</v>
      </c>
      <c r="I710" s="79">
        <f>10*3</f>
        <v>30</v>
      </c>
      <c r="J710" s="94">
        <v>128</v>
      </c>
      <c r="K710" s="80">
        <f t="shared" si="82"/>
        <v>138.24</v>
      </c>
      <c r="L710" s="80"/>
      <c r="M710" s="80">
        <f t="shared" si="87"/>
        <v>4147.2000000000007</v>
      </c>
      <c r="N710" s="79"/>
      <c r="O710" s="79"/>
      <c r="P710" s="80">
        <f t="shared" si="88"/>
        <v>0</v>
      </c>
      <c r="Q710" s="80">
        <f t="shared" si="89"/>
        <v>0</v>
      </c>
      <c r="R710" s="80">
        <f t="shared" si="90"/>
        <v>0</v>
      </c>
    </row>
    <row r="711" spans="2:19" x14ac:dyDescent="0.4">
      <c r="B711" s="77">
        <v>44500</v>
      </c>
      <c r="C711" s="64"/>
      <c r="D711" s="64"/>
      <c r="E711" s="64" t="s">
        <v>471</v>
      </c>
      <c r="F711" s="64" t="s">
        <v>823</v>
      </c>
      <c r="G711" s="71" t="s">
        <v>825</v>
      </c>
      <c r="H711" s="78">
        <v>0.08</v>
      </c>
      <c r="I711" s="79">
        <f>10*3</f>
        <v>30</v>
      </c>
      <c r="J711" s="94">
        <v>128</v>
      </c>
      <c r="K711" s="80">
        <f t="shared" si="82"/>
        <v>138.24</v>
      </c>
      <c r="L711" s="80"/>
      <c r="M711" s="80">
        <f t="shared" si="87"/>
        <v>4147.2000000000007</v>
      </c>
      <c r="N711" s="79"/>
      <c r="O711" s="79"/>
      <c r="P711" s="80">
        <f t="shared" si="88"/>
        <v>0</v>
      </c>
      <c r="Q711" s="80">
        <f t="shared" si="89"/>
        <v>0</v>
      </c>
      <c r="R711" s="80">
        <f t="shared" si="90"/>
        <v>0</v>
      </c>
    </row>
    <row r="712" spans="2:19" x14ac:dyDescent="0.4">
      <c r="B712" s="77">
        <v>44500</v>
      </c>
      <c r="C712" s="64"/>
      <c r="D712" s="64"/>
      <c r="E712" s="64" t="s">
        <v>471</v>
      </c>
      <c r="F712" s="64" t="s">
        <v>1124</v>
      </c>
      <c r="G712" s="71" t="s">
        <v>1129</v>
      </c>
      <c r="H712" s="78">
        <v>0.08</v>
      </c>
      <c r="I712" s="79">
        <f>10*3</f>
        <v>30</v>
      </c>
      <c r="J712" s="94">
        <v>128</v>
      </c>
      <c r="K712" s="80">
        <f t="shared" si="82"/>
        <v>138.24</v>
      </c>
      <c r="L712" s="80"/>
      <c r="M712" s="80">
        <f t="shared" si="87"/>
        <v>4147.2000000000007</v>
      </c>
      <c r="N712" s="79"/>
      <c r="O712" s="79"/>
      <c r="P712" s="80">
        <f t="shared" si="88"/>
        <v>0</v>
      </c>
      <c r="Q712" s="80">
        <f t="shared" si="89"/>
        <v>0</v>
      </c>
      <c r="R712" s="80">
        <f t="shared" si="90"/>
        <v>0</v>
      </c>
    </row>
    <row r="713" spans="2:19" x14ac:dyDescent="0.4">
      <c r="B713" s="77">
        <v>44500</v>
      </c>
      <c r="C713" s="64"/>
      <c r="D713" s="64"/>
      <c r="E713" s="64" t="s">
        <v>471</v>
      </c>
      <c r="F713" s="64" t="s">
        <v>1125</v>
      </c>
      <c r="G713" s="71" t="s">
        <v>700</v>
      </c>
      <c r="H713" s="78">
        <v>0.08</v>
      </c>
      <c r="I713" s="79">
        <f>6*2</f>
        <v>12</v>
      </c>
      <c r="J713" s="94">
        <v>236</v>
      </c>
      <c r="K713" s="80">
        <f t="shared" si="82"/>
        <v>254.88000000000002</v>
      </c>
      <c r="L713" s="80"/>
      <c r="M713" s="80">
        <f t="shared" si="87"/>
        <v>3058.5600000000004</v>
      </c>
      <c r="N713" s="79"/>
      <c r="O713" s="79"/>
      <c r="P713" s="80">
        <f t="shared" si="88"/>
        <v>0</v>
      </c>
      <c r="Q713" s="80">
        <f t="shared" si="89"/>
        <v>0</v>
      </c>
      <c r="R713" s="80">
        <f t="shared" si="90"/>
        <v>0</v>
      </c>
    </row>
    <row r="714" spans="2:19" x14ac:dyDescent="0.4">
      <c r="B714" s="77">
        <v>44500</v>
      </c>
      <c r="C714" s="64"/>
      <c r="D714" s="64"/>
      <c r="E714" s="64" t="s">
        <v>471</v>
      </c>
      <c r="F714" s="64" t="s">
        <v>693</v>
      </c>
      <c r="G714" s="71" t="s">
        <v>701</v>
      </c>
      <c r="H714" s="78">
        <v>0.08</v>
      </c>
      <c r="I714" s="79">
        <f>6*3</f>
        <v>18</v>
      </c>
      <c r="J714" s="94">
        <v>236</v>
      </c>
      <c r="K714" s="80">
        <f t="shared" si="82"/>
        <v>254.88000000000002</v>
      </c>
      <c r="L714" s="80"/>
      <c r="M714" s="80">
        <f t="shared" si="87"/>
        <v>4587.84</v>
      </c>
      <c r="N714" s="79"/>
      <c r="O714" s="79"/>
      <c r="P714" s="80">
        <f t="shared" si="88"/>
        <v>0</v>
      </c>
      <c r="Q714" s="80">
        <f t="shared" si="89"/>
        <v>0</v>
      </c>
      <c r="R714" s="80">
        <f t="shared" si="90"/>
        <v>0</v>
      </c>
    </row>
    <row r="715" spans="2:19" x14ac:dyDescent="0.4">
      <c r="B715" s="77">
        <v>44500</v>
      </c>
      <c r="C715" s="64"/>
      <c r="D715" s="64"/>
      <c r="E715" s="64" t="s">
        <v>471</v>
      </c>
      <c r="F715" s="64" t="s">
        <v>1126</v>
      </c>
      <c r="G715" s="71" t="s">
        <v>1130</v>
      </c>
      <c r="H715" s="78">
        <v>0.08</v>
      </c>
      <c r="I715" s="79">
        <f>10*4</f>
        <v>40</v>
      </c>
      <c r="J715" s="94">
        <v>173</v>
      </c>
      <c r="K715" s="80">
        <f t="shared" si="82"/>
        <v>186.84</v>
      </c>
      <c r="L715" s="80"/>
      <c r="M715" s="80">
        <f t="shared" si="87"/>
        <v>7473.6</v>
      </c>
      <c r="N715" s="79"/>
      <c r="O715" s="79"/>
      <c r="P715" s="80">
        <f t="shared" si="88"/>
        <v>0</v>
      </c>
      <c r="Q715" s="80">
        <f t="shared" si="89"/>
        <v>0</v>
      </c>
      <c r="R715" s="80">
        <f t="shared" si="90"/>
        <v>0</v>
      </c>
    </row>
    <row r="716" spans="2:19" x14ac:dyDescent="0.4">
      <c r="B716" s="77">
        <v>44500</v>
      </c>
      <c r="C716" s="64"/>
      <c r="D716" s="64"/>
      <c r="E716" s="64" t="s">
        <v>471</v>
      </c>
      <c r="F716" s="64" t="s">
        <v>1079</v>
      </c>
      <c r="G716" s="71" t="s">
        <v>1085</v>
      </c>
      <c r="H716" s="78">
        <v>0.08</v>
      </c>
      <c r="I716" s="79">
        <f>10*3</f>
        <v>30</v>
      </c>
      <c r="J716" s="94">
        <v>95</v>
      </c>
      <c r="K716" s="80">
        <f t="shared" si="82"/>
        <v>102.60000000000001</v>
      </c>
      <c r="L716" s="80"/>
      <c r="M716" s="80">
        <f t="shared" si="87"/>
        <v>3078.0000000000005</v>
      </c>
      <c r="N716" s="79"/>
      <c r="O716" s="79"/>
      <c r="P716" s="80">
        <f t="shared" si="88"/>
        <v>0</v>
      </c>
      <c r="Q716" s="80">
        <f t="shared" si="89"/>
        <v>0</v>
      </c>
      <c r="R716" s="80">
        <f t="shared" si="90"/>
        <v>0</v>
      </c>
    </row>
    <row r="717" spans="2:19" x14ac:dyDescent="0.4">
      <c r="B717" s="77">
        <v>44500</v>
      </c>
      <c r="C717" s="64"/>
      <c r="D717" s="64"/>
      <c r="E717" s="64" t="s">
        <v>471</v>
      </c>
      <c r="F717" s="64" t="s">
        <v>1127</v>
      </c>
      <c r="G717" s="71" t="s">
        <v>282</v>
      </c>
      <c r="H717" s="78">
        <v>0.08</v>
      </c>
      <c r="I717" s="79">
        <f>10*4</f>
        <v>40</v>
      </c>
      <c r="J717" s="94">
        <v>173</v>
      </c>
      <c r="K717" s="80">
        <f t="shared" si="82"/>
        <v>186.84</v>
      </c>
      <c r="L717" s="80"/>
      <c r="M717" s="80">
        <f t="shared" si="87"/>
        <v>7473.6</v>
      </c>
      <c r="N717" s="79"/>
      <c r="O717" s="79"/>
      <c r="P717" s="80">
        <f t="shared" si="88"/>
        <v>0</v>
      </c>
      <c r="Q717" s="80">
        <f t="shared" si="89"/>
        <v>0</v>
      </c>
      <c r="R717" s="80">
        <f t="shared" si="90"/>
        <v>0</v>
      </c>
      <c r="S717" s="89">
        <f>SUM(M709:M717)</f>
        <v>49518.000000000007</v>
      </c>
    </row>
    <row r="718" spans="2:19" x14ac:dyDescent="0.4">
      <c r="B718" s="77">
        <v>44500</v>
      </c>
      <c r="C718" s="64"/>
      <c r="D718" s="64"/>
      <c r="E718" s="64" t="s">
        <v>471</v>
      </c>
      <c r="F718" s="64" t="s">
        <v>914</v>
      </c>
      <c r="G718" s="71" t="s">
        <v>935</v>
      </c>
      <c r="H718" s="78">
        <v>0.08</v>
      </c>
      <c r="I718" s="79">
        <f>40*2</f>
        <v>80</v>
      </c>
      <c r="J718" s="94">
        <v>144</v>
      </c>
      <c r="K718" s="80">
        <f t="shared" si="82"/>
        <v>155.52000000000001</v>
      </c>
      <c r="L718" s="80"/>
      <c r="M718" s="80">
        <f t="shared" si="87"/>
        <v>12441.6</v>
      </c>
      <c r="N718" s="79"/>
      <c r="O718" s="79"/>
      <c r="P718" s="80">
        <f t="shared" si="88"/>
        <v>0</v>
      </c>
      <c r="Q718" s="80">
        <f t="shared" si="89"/>
        <v>0</v>
      </c>
      <c r="R718" s="80">
        <f t="shared" si="90"/>
        <v>0</v>
      </c>
    </row>
    <row r="719" spans="2:19" x14ac:dyDescent="0.4">
      <c r="B719" s="77">
        <v>44500</v>
      </c>
      <c r="C719" s="64"/>
      <c r="D719" s="64"/>
      <c r="E719" s="64" t="s">
        <v>471</v>
      </c>
      <c r="F719" s="64" t="s">
        <v>1026</v>
      </c>
      <c r="G719" s="71" t="s">
        <v>675</v>
      </c>
      <c r="H719" s="78">
        <v>0.1</v>
      </c>
      <c r="I719" s="79">
        <f>12*4</f>
        <v>48</v>
      </c>
      <c r="J719" s="94">
        <v>235</v>
      </c>
      <c r="K719" s="80">
        <f>J719*110%</f>
        <v>258.5</v>
      </c>
      <c r="L719" s="80"/>
      <c r="M719" s="80">
        <f t="shared" si="87"/>
        <v>12408</v>
      </c>
      <c r="N719" s="79"/>
      <c r="O719" s="79"/>
      <c r="P719" s="80">
        <f t="shared" ref="P719:P735" si="94">IFERROR(O719*J719,"")</f>
        <v>0</v>
      </c>
      <c r="Q719" s="80">
        <f t="shared" ref="Q719:Q735" si="95">IFERROR(P719*O719,"")</f>
        <v>0</v>
      </c>
      <c r="R719" s="80">
        <f t="shared" ref="R719:R735" si="96">IFERROR(Q719-P719,"")</f>
        <v>0</v>
      </c>
    </row>
    <row r="720" spans="2:19" x14ac:dyDescent="0.4">
      <c r="B720" s="77">
        <v>44500</v>
      </c>
      <c r="C720" s="64"/>
      <c r="D720" s="64"/>
      <c r="E720" s="64" t="s">
        <v>471</v>
      </c>
      <c r="F720" s="64" t="s">
        <v>1131</v>
      </c>
      <c r="G720" s="71" t="s">
        <v>1133</v>
      </c>
      <c r="H720" s="78">
        <v>0.08</v>
      </c>
      <c r="I720" s="79">
        <f>24*1</f>
        <v>24</v>
      </c>
      <c r="J720" s="94">
        <v>62</v>
      </c>
      <c r="K720" s="80">
        <f t="shared" si="82"/>
        <v>66.960000000000008</v>
      </c>
      <c r="L720" s="80"/>
      <c r="M720" s="80">
        <f t="shared" si="87"/>
        <v>1607.0400000000002</v>
      </c>
      <c r="N720" s="79"/>
      <c r="O720" s="79"/>
      <c r="P720" s="80">
        <f t="shared" si="94"/>
        <v>0</v>
      </c>
      <c r="Q720" s="80">
        <f t="shared" si="95"/>
        <v>0</v>
      </c>
      <c r="R720" s="80">
        <f t="shared" si="96"/>
        <v>0</v>
      </c>
    </row>
    <row r="721" spans="2:19" x14ac:dyDescent="0.4">
      <c r="B721" s="77">
        <v>44500</v>
      </c>
      <c r="C721" s="64"/>
      <c r="D721" s="64"/>
      <c r="E721" s="64" t="s">
        <v>471</v>
      </c>
      <c r="F721" s="64" t="s">
        <v>1131</v>
      </c>
      <c r="G721" s="71" t="s">
        <v>1133</v>
      </c>
      <c r="H721" s="78">
        <v>0.08</v>
      </c>
      <c r="I721" s="79">
        <f>6*2</f>
        <v>12</v>
      </c>
      <c r="J721" s="94">
        <v>62</v>
      </c>
      <c r="K721" s="80">
        <f t="shared" si="82"/>
        <v>66.960000000000008</v>
      </c>
      <c r="L721" s="80"/>
      <c r="M721" s="80">
        <f t="shared" si="87"/>
        <v>803.5200000000001</v>
      </c>
      <c r="N721" s="79"/>
      <c r="O721" s="79"/>
      <c r="P721" s="80">
        <f t="shared" si="94"/>
        <v>0</v>
      </c>
      <c r="Q721" s="80">
        <f t="shared" si="95"/>
        <v>0</v>
      </c>
      <c r="R721" s="80">
        <f t="shared" si="96"/>
        <v>0</v>
      </c>
    </row>
    <row r="722" spans="2:19" x14ac:dyDescent="0.4">
      <c r="B722" s="77">
        <v>44500</v>
      </c>
      <c r="C722" s="64"/>
      <c r="D722" s="64"/>
      <c r="E722" s="64" t="s">
        <v>471</v>
      </c>
      <c r="F722" s="64" t="s">
        <v>1132</v>
      </c>
      <c r="G722" s="71" t="s">
        <v>1134</v>
      </c>
      <c r="H722" s="78">
        <v>0.08</v>
      </c>
      <c r="I722" s="79">
        <f>24*1</f>
        <v>24</v>
      </c>
      <c r="J722" s="94">
        <v>62</v>
      </c>
      <c r="K722" s="80">
        <f t="shared" si="82"/>
        <v>66.960000000000008</v>
      </c>
      <c r="L722" s="80"/>
      <c r="M722" s="80">
        <f t="shared" si="87"/>
        <v>1607.0400000000002</v>
      </c>
      <c r="N722" s="79"/>
      <c r="O722" s="79"/>
      <c r="P722" s="80">
        <f t="shared" si="94"/>
        <v>0</v>
      </c>
      <c r="Q722" s="80">
        <f t="shared" si="95"/>
        <v>0</v>
      </c>
      <c r="R722" s="80">
        <f t="shared" si="96"/>
        <v>0</v>
      </c>
    </row>
    <row r="723" spans="2:19" x14ac:dyDescent="0.4">
      <c r="B723" s="77">
        <v>44500</v>
      </c>
      <c r="C723" s="64"/>
      <c r="D723" s="64"/>
      <c r="E723" s="64" t="s">
        <v>471</v>
      </c>
      <c r="F723" s="64" t="s">
        <v>1132</v>
      </c>
      <c r="G723" s="71" t="s">
        <v>1134</v>
      </c>
      <c r="H723" s="78">
        <v>0.08</v>
      </c>
      <c r="I723" s="79">
        <f>6*2</f>
        <v>12</v>
      </c>
      <c r="J723" s="94">
        <v>62</v>
      </c>
      <c r="K723" s="80">
        <f t="shared" si="82"/>
        <v>66.960000000000008</v>
      </c>
      <c r="L723" s="80"/>
      <c r="M723" s="80">
        <f t="shared" si="87"/>
        <v>803.5200000000001</v>
      </c>
      <c r="N723" s="79"/>
      <c r="O723" s="79"/>
      <c r="P723" s="80">
        <f t="shared" si="94"/>
        <v>0</v>
      </c>
      <c r="Q723" s="80">
        <f t="shared" si="95"/>
        <v>0</v>
      </c>
      <c r="R723" s="80">
        <f t="shared" si="96"/>
        <v>0</v>
      </c>
      <c r="S723" s="89">
        <f>SUM(M718:M723)</f>
        <v>29670.720000000001</v>
      </c>
    </row>
    <row r="724" spans="2:19" x14ac:dyDescent="0.4">
      <c r="B724" s="77">
        <v>44500</v>
      </c>
      <c r="C724" s="64"/>
      <c r="D724" s="64"/>
      <c r="E724" s="64" t="s">
        <v>471</v>
      </c>
      <c r="F724" s="64" t="s">
        <v>1135</v>
      </c>
      <c r="G724" s="71" t="s">
        <v>556</v>
      </c>
      <c r="H724" s="78">
        <v>0.08</v>
      </c>
      <c r="I724" s="79">
        <f>20*12</f>
        <v>240</v>
      </c>
      <c r="J724" s="94">
        <v>21.6</v>
      </c>
      <c r="K724" s="80">
        <f t="shared" si="82"/>
        <v>23.328000000000003</v>
      </c>
      <c r="L724" s="80"/>
      <c r="M724" s="80">
        <f t="shared" si="87"/>
        <v>5598.7200000000012</v>
      </c>
      <c r="N724" s="79"/>
      <c r="O724" s="79"/>
      <c r="P724" s="80">
        <f t="shared" si="94"/>
        <v>0</v>
      </c>
      <c r="Q724" s="80">
        <f t="shared" si="95"/>
        <v>0</v>
      </c>
      <c r="R724" s="80">
        <f t="shared" si="96"/>
        <v>0</v>
      </c>
    </row>
    <row r="725" spans="2:19" x14ac:dyDescent="0.4">
      <c r="B725" s="77">
        <v>44500</v>
      </c>
      <c r="C725" s="64"/>
      <c r="D725" s="64"/>
      <c r="E725" s="64" t="s">
        <v>471</v>
      </c>
      <c r="F725" s="64" t="s">
        <v>1136</v>
      </c>
      <c r="G725" s="71" t="s">
        <v>845</v>
      </c>
      <c r="H725" s="78">
        <v>0.08</v>
      </c>
      <c r="I725" s="79">
        <f>10*2</f>
        <v>20</v>
      </c>
      <c r="J725" s="94">
        <v>178</v>
      </c>
      <c r="K725" s="80">
        <f t="shared" si="82"/>
        <v>192.24</v>
      </c>
      <c r="L725" s="80"/>
      <c r="M725" s="80">
        <f t="shared" si="87"/>
        <v>3844.8</v>
      </c>
      <c r="N725" s="79"/>
      <c r="O725" s="79"/>
      <c r="P725" s="80">
        <f t="shared" si="94"/>
        <v>0</v>
      </c>
      <c r="Q725" s="80">
        <f t="shared" si="95"/>
        <v>0</v>
      </c>
      <c r="R725" s="80">
        <f t="shared" si="96"/>
        <v>0</v>
      </c>
    </row>
    <row r="726" spans="2:19" x14ac:dyDescent="0.4">
      <c r="B726" s="77">
        <v>44500</v>
      </c>
      <c r="C726" s="64"/>
      <c r="D726" s="64"/>
      <c r="E726" s="64" t="s">
        <v>471</v>
      </c>
      <c r="F726" s="64" t="s">
        <v>1137</v>
      </c>
      <c r="G726" s="71" t="s">
        <v>846</v>
      </c>
      <c r="H726" s="78">
        <v>0.08</v>
      </c>
      <c r="I726" s="79">
        <f>10*2</f>
        <v>20</v>
      </c>
      <c r="J726" s="94">
        <v>178</v>
      </c>
      <c r="K726" s="80">
        <f t="shared" si="82"/>
        <v>192.24</v>
      </c>
      <c r="L726" s="80"/>
      <c r="M726" s="80">
        <f t="shared" si="87"/>
        <v>3844.8</v>
      </c>
      <c r="N726" s="79"/>
      <c r="O726" s="79"/>
      <c r="P726" s="80">
        <f t="shared" si="94"/>
        <v>0</v>
      </c>
      <c r="Q726" s="80">
        <f t="shared" si="95"/>
        <v>0</v>
      </c>
      <c r="R726" s="80">
        <f t="shared" si="96"/>
        <v>0</v>
      </c>
    </row>
    <row r="727" spans="2:19" x14ac:dyDescent="0.4">
      <c r="B727" s="77">
        <v>44500</v>
      </c>
      <c r="C727" s="64"/>
      <c r="D727" s="64"/>
      <c r="E727" s="64" t="s">
        <v>471</v>
      </c>
      <c r="F727" s="64" t="s">
        <v>1138</v>
      </c>
      <c r="G727" s="71" t="s">
        <v>1141</v>
      </c>
      <c r="H727" s="78">
        <v>0.08</v>
      </c>
      <c r="I727" s="79">
        <f>6*8</f>
        <v>48</v>
      </c>
      <c r="J727" s="94">
        <v>84</v>
      </c>
      <c r="K727" s="80">
        <f t="shared" si="82"/>
        <v>90.72</v>
      </c>
      <c r="L727" s="80"/>
      <c r="M727" s="80">
        <f t="shared" si="87"/>
        <v>4354.5599999999995</v>
      </c>
      <c r="N727" s="79"/>
      <c r="O727" s="79"/>
      <c r="P727" s="80">
        <f t="shared" si="94"/>
        <v>0</v>
      </c>
      <c r="Q727" s="80">
        <f t="shared" si="95"/>
        <v>0</v>
      </c>
      <c r="R727" s="80">
        <f t="shared" si="96"/>
        <v>0</v>
      </c>
    </row>
    <row r="728" spans="2:19" x14ac:dyDescent="0.4">
      <c r="B728" s="77">
        <v>44500</v>
      </c>
      <c r="C728" s="64"/>
      <c r="D728" s="64"/>
      <c r="E728" s="64" t="s">
        <v>471</v>
      </c>
      <c r="F728" s="64" t="s">
        <v>766</v>
      </c>
      <c r="G728" s="71" t="s">
        <v>778</v>
      </c>
      <c r="H728" s="78">
        <v>0.08</v>
      </c>
      <c r="I728" s="79">
        <f>6*8</f>
        <v>48</v>
      </c>
      <c r="J728" s="94">
        <v>84</v>
      </c>
      <c r="K728" s="80">
        <f t="shared" si="82"/>
        <v>90.72</v>
      </c>
      <c r="L728" s="80"/>
      <c r="M728" s="80">
        <f t="shared" si="87"/>
        <v>4354.5599999999995</v>
      </c>
      <c r="N728" s="79"/>
      <c r="O728" s="79"/>
      <c r="P728" s="80">
        <f t="shared" si="94"/>
        <v>0</v>
      </c>
      <c r="Q728" s="80">
        <f t="shared" si="95"/>
        <v>0</v>
      </c>
      <c r="R728" s="80">
        <f t="shared" si="96"/>
        <v>0</v>
      </c>
    </row>
    <row r="729" spans="2:19" x14ac:dyDescent="0.4">
      <c r="B729" s="77">
        <v>44500</v>
      </c>
      <c r="C729" s="64"/>
      <c r="D729" s="64"/>
      <c r="E729" s="64" t="s">
        <v>471</v>
      </c>
      <c r="F729" s="64" t="s">
        <v>1139</v>
      </c>
      <c r="G729" s="71" t="s">
        <v>1142</v>
      </c>
      <c r="H729" s="78">
        <v>0.08</v>
      </c>
      <c r="I729" s="79">
        <f>10*2</f>
        <v>20</v>
      </c>
      <c r="J729" s="94">
        <v>178</v>
      </c>
      <c r="K729" s="80">
        <f t="shared" si="82"/>
        <v>192.24</v>
      </c>
      <c r="L729" s="80"/>
      <c r="M729" s="80">
        <f t="shared" si="87"/>
        <v>3844.8</v>
      </c>
      <c r="N729" s="79"/>
      <c r="O729" s="79"/>
      <c r="P729" s="80">
        <f t="shared" si="94"/>
        <v>0</v>
      </c>
      <c r="Q729" s="80">
        <f t="shared" si="95"/>
        <v>0</v>
      </c>
      <c r="R729" s="80">
        <f t="shared" si="96"/>
        <v>0</v>
      </c>
    </row>
    <row r="730" spans="2:19" x14ac:dyDescent="0.4">
      <c r="B730" s="77">
        <v>44500</v>
      </c>
      <c r="C730" s="64"/>
      <c r="D730" s="64"/>
      <c r="E730" s="64" t="s">
        <v>471</v>
      </c>
      <c r="F730" s="64" t="s">
        <v>613</v>
      </c>
      <c r="G730" s="71" t="s">
        <v>620</v>
      </c>
      <c r="H730" s="78">
        <v>0.08</v>
      </c>
      <c r="I730" s="79">
        <f>16*1</f>
        <v>16</v>
      </c>
      <c r="J730" s="94">
        <v>295</v>
      </c>
      <c r="K730" s="80">
        <f t="shared" si="82"/>
        <v>318.60000000000002</v>
      </c>
      <c r="L730" s="80"/>
      <c r="M730" s="80">
        <f t="shared" si="87"/>
        <v>5097.6000000000004</v>
      </c>
      <c r="N730" s="79"/>
      <c r="O730" s="79"/>
      <c r="P730" s="80">
        <f t="shared" si="94"/>
        <v>0</v>
      </c>
      <c r="Q730" s="80">
        <f t="shared" si="95"/>
        <v>0</v>
      </c>
      <c r="R730" s="80">
        <f t="shared" si="96"/>
        <v>0</v>
      </c>
    </row>
    <row r="731" spans="2:19" x14ac:dyDescent="0.4">
      <c r="B731" s="77">
        <v>44500</v>
      </c>
      <c r="C731" s="64"/>
      <c r="D731" s="64"/>
      <c r="E731" s="64" t="s">
        <v>471</v>
      </c>
      <c r="F731" s="64" t="s">
        <v>613</v>
      </c>
      <c r="G731" s="71" t="s">
        <v>620</v>
      </c>
      <c r="H731" s="78">
        <v>0.08</v>
      </c>
      <c r="I731" s="79">
        <f>8*1</f>
        <v>8</v>
      </c>
      <c r="J731" s="94">
        <v>295</v>
      </c>
      <c r="K731" s="80">
        <f t="shared" si="82"/>
        <v>318.60000000000002</v>
      </c>
      <c r="L731" s="80"/>
      <c r="M731" s="80">
        <f t="shared" si="87"/>
        <v>2548.8000000000002</v>
      </c>
      <c r="N731" s="79"/>
      <c r="O731" s="79"/>
      <c r="P731" s="80">
        <f t="shared" si="94"/>
        <v>0</v>
      </c>
      <c r="Q731" s="80">
        <f t="shared" si="95"/>
        <v>0</v>
      </c>
      <c r="R731" s="80">
        <f t="shared" si="96"/>
        <v>0</v>
      </c>
    </row>
    <row r="732" spans="2:19" x14ac:dyDescent="0.4">
      <c r="B732" s="77">
        <v>44500</v>
      </c>
      <c r="C732" s="64"/>
      <c r="D732" s="64"/>
      <c r="E732" s="64" t="s">
        <v>471</v>
      </c>
      <c r="F732" s="64" t="s">
        <v>838</v>
      </c>
      <c r="G732" s="71" t="s">
        <v>281</v>
      </c>
      <c r="H732" s="78">
        <v>0.08</v>
      </c>
      <c r="I732" s="79">
        <f>8*2</f>
        <v>16</v>
      </c>
      <c r="J732" s="94">
        <v>249</v>
      </c>
      <c r="K732" s="80">
        <f t="shared" si="82"/>
        <v>268.92</v>
      </c>
      <c r="L732" s="80"/>
      <c r="M732" s="80">
        <f t="shared" si="87"/>
        <v>4302.72</v>
      </c>
      <c r="N732" s="79"/>
      <c r="O732" s="79"/>
      <c r="P732" s="80">
        <f t="shared" si="94"/>
        <v>0</v>
      </c>
      <c r="Q732" s="80">
        <f t="shared" si="95"/>
        <v>0</v>
      </c>
      <c r="R732" s="80">
        <f t="shared" si="96"/>
        <v>0</v>
      </c>
    </row>
    <row r="733" spans="2:19" x14ac:dyDescent="0.4">
      <c r="B733" s="77">
        <v>44500</v>
      </c>
      <c r="C733" s="64"/>
      <c r="D733" s="64"/>
      <c r="E733" s="64" t="s">
        <v>471</v>
      </c>
      <c r="F733" s="64" t="s">
        <v>609</v>
      </c>
      <c r="G733" s="71" t="s">
        <v>615</v>
      </c>
      <c r="H733" s="78">
        <v>0.08</v>
      </c>
      <c r="I733" s="79">
        <f>8*1</f>
        <v>8</v>
      </c>
      <c r="J733" s="94">
        <v>279</v>
      </c>
      <c r="K733" s="80">
        <f t="shared" si="82"/>
        <v>301.32</v>
      </c>
      <c r="L733" s="80"/>
      <c r="M733" s="80">
        <f t="shared" si="87"/>
        <v>2410.56</v>
      </c>
      <c r="N733" s="79"/>
      <c r="O733" s="79"/>
      <c r="P733" s="80">
        <f t="shared" si="94"/>
        <v>0</v>
      </c>
      <c r="Q733" s="80">
        <f t="shared" si="95"/>
        <v>0</v>
      </c>
      <c r="R733" s="80">
        <f t="shared" si="96"/>
        <v>0</v>
      </c>
    </row>
    <row r="734" spans="2:19" x14ac:dyDescent="0.4">
      <c r="B734" s="77">
        <v>44500</v>
      </c>
      <c r="C734" s="64"/>
      <c r="D734" s="64"/>
      <c r="E734" s="64" t="s">
        <v>471</v>
      </c>
      <c r="F734" s="64" t="s">
        <v>1140</v>
      </c>
      <c r="G734" s="71" t="s">
        <v>1143</v>
      </c>
      <c r="H734" s="78">
        <v>0.08</v>
      </c>
      <c r="I734" s="79">
        <f>30*1</f>
        <v>30</v>
      </c>
      <c r="J734" s="94">
        <v>198</v>
      </c>
      <c r="K734" s="80">
        <f t="shared" si="82"/>
        <v>213.84</v>
      </c>
      <c r="L734" s="80"/>
      <c r="M734" s="80">
        <f t="shared" si="87"/>
        <v>6415.2</v>
      </c>
      <c r="N734" s="79"/>
      <c r="O734" s="79"/>
      <c r="P734" s="80">
        <f t="shared" si="94"/>
        <v>0</v>
      </c>
      <c r="Q734" s="80">
        <f t="shared" si="95"/>
        <v>0</v>
      </c>
      <c r="R734" s="80">
        <f t="shared" si="96"/>
        <v>0</v>
      </c>
    </row>
    <row r="735" spans="2:19" x14ac:dyDescent="0.4">
      <c r="B735" s="77">
        <v>44500</v>
      </c>
      <c r="C735" s="64"/>
      <c r="D735" s="64"/>
      <c r="E735" s="64" t="s">
        <v>471</v>
      </c>
      <c r="F735" s="64" t="s">
        <v>857</v>
      </c>
      <c r="G735" s="71" t="s">
        <v>266</v>
      </c>
      <c r="H735" s="78">
        <v>0.08</v>
      </c>
      <c r="I735" s="79">
        <f>12*1</f>
        <v>12</v>
      </c>
      <c r="J735" s="94">
        <v>153</v>
      </c>
      <c r="K735" s="80">
        <f t="shared" si="82"/>
        <v>165.24</v>
      </c>
      <c r="L735" s="80"/>
      <c r="M735" s="80">
        <f t="shared" si="87"/>
        <v>1982.88</v>
      </c>
      <c r="N735" s="79"/>
      <c r="O735" s="79"/>
      <c r="P735" s="80">
        <f t="shared" si="94"/>
        <v>0</v>
      </c>
      <c r="Q735" s="80">
        <f t="shared" si="95"/>
        <v>0</v>
      </c>
      <c r="R735" s="80">
        <f t="shared" si="96"/>
        <v>0</v>
      </c>
      <c r="S735" s="89"/>
    </row>
    <row r="736" spans="2:19" x14ac:dyDescent="0.4">
      <c r="B736" s="77">
        <v>44500</v>
      </c>
      <c r="C736" s="64"/>
      <c r="D736" s="64"/>
      <c r="E736" s="64" t="s">
        <v>471</v>
      </c>
      <c r="F736" s="64" t="s">
        <v>857</v>
      </c>
      <c r="G736" s="71" t="s">
        <v>266</v>
      </c>
      <c r="H736" s="78">
        <v>0.08</v>
      </c>
      <c r="I736" s="79">
        <f>6*1</f>
        <v>6</v>
      </c>
      <c r="J736" s="94">
        <v>153</v>
      </c>
      <c r="K736" s="80">
        <f>J736*108%</f>
        <v>165.24</v>
      </c>
      <c r="L736" s="80"/>
      <c r="M736" s="80">
        <f t="shared" si="87"/>
        <v>991.44</v>
      </c>
      <c r="N736" s="79"/>
      <c r="O736" s="79" t="str">
        <f t="shared" ref="O736:O748" si="97">IF(N736="","",I736-N736)</f>
        <v/>
      </c>
      <c r="P736" s="80" t="str">
        <f t="shared" ref="P736:P748" si="98">IFERROR(O736*J736,"")</f>
        <v/>
      </c>
      <c r="Q736" s="80" t="str">
        <f t="shared" ref="Q736:Q748" si="99">IFERROR(P736*O736,"")</f>
        <v/>
      </c>
      <c r="R736" s="80" t="str">
        <f t="shared" ref="R736:R748" si="100">IFERROR(Q736-P736,"")</f>
        <v/>
      </c>
      <c r="S736" s="89">
        <f>SUM(M724:M736)</f>
        <v>49591.439999999995</v>
      </c>
    </row>
    <row r="737" spans="2:19" x14ac:dyDescent="0.4">
      <c r="B737" s="77">
        <v>44500</v>
      </c>
      <c r="C737" s="64"/>
      <c r="D737" s="64"/>
      <c r="E737" s="64" t="s">
        <v>471</v>
      </c>
      <c r="F737" s="64" t="s">
        <v>657</v>
      </c>
      <c r="G737" s="71" t="s">
        <v>663</v>
      </c>
      <c r="H737" s="78">
        <v>0.1</v>
      </c>
      <c r="I737" s="79">
        <f>6*3</f>
        <v>18</v>
      </c>
      <c r="J737" s="94">
        <v>321</v>
      </c>
      <c r="K737" s="80">
        <f>J737*110%</f>
        <v>353.1</v>
      </c>
      <c r="L737" s="80"/>
      <c r="M737" s="80">
        <f t="shared" si="87"/>
        <v>6355.8</v>
      </c>
      <c r="N737" s="79"/>
      <c r="O737" s="79" t="str">
        <f t="shared" si="97"/>
        <v/>
      </c>
      <c r="P737" s="80" t="str">
        <f t="shared" si="98"/>
        <v/>
      </c>
      <c r="Q737" s="80" t="str">
        <f t="shared" si="99"/>
        <v/>
      </c>
      <c r="R737" s="80" t="str">
        <f t="shared" si="100"/>
        <v/>
      </c>
    </row>
    <row r="738" spans="2:19" x14ac:dyDescent="0.4">
      <c r="B738" s="77">
        <v>44500</v>
      </c>
      <c r="C738" s="64"/>
      <c r="D738" s="64"/>
      <c r="E738" s="64" t="s">
        <v>471</v>
      </c>
      <c r="F738" s="64" t="s">
        <v>1144</v>
      </c>
      <c r="G738" s="71" t="s">
        <v>675</v>
      </c>
      <c r="H738" s="78">
        <v>0.1</v>
      </c>
      <c r="I738" s="79">
        <f>12*4</f>
        <v>48</v>
      </c>
      <c r="J738" s="94">
        <v>235</v>
      </c>
      <c r="K738" s="80">
        <f>J738*110%</f>
        <v>258.5</v>
      </c>
      <c r="L738" s="80"/>
      <c r="M738" s="80">
        <f t="shared" si="87"/>
        <v>12408</v>
      </c>
      <c r="N738" s="79"/>
      <c r="O738" s="79" t="str">
        <f t="shared" si="97"/>
        <v/>
      </c>
      <c r="P738" s="80" t="str">
        <f t="shared" si="98"/>
        <v/>
      </c>
      <c r="Q738" s="80" t="str">
        <f t="shared" si="99"/>
        <v/>
      </c>
      <c r="R738" s="80" t="str">
        <f t="shared" si="100"/>
        <v/>
      </c>
    </row>
    <row r="739" spans="2:19" x14ac:dyDescent="0.4">
      <c r="B739" s="77">
        <v>44500</v>
      </c>
      <c r="C739" s="64"/>
      <c r="D739" s="64"/>
      <c r="E739" s="64" t="s">
        <v>471</v>
      </c>
      <c r="F739" s="64" t="s">
        <v>1145</v>
      </c>
      <c r="G739" s="71" t="s">
        <v>299</v>
      </c>
      <c r="H739" s="78">
        <v>0.08</v>
      </c>
      <c r="I739" s="79">
        <f>30*3</f>
        <v>90</v>
      </c>
      <c r="J739" s="94">
        <v>59</v>
      </c>
      <c r="K739" s="80">
        <f>J739*108%</f>
        <v>63.720000000000006</v>
      </c>
      <c r="L739" s="80"/>
      <c r="M739" s="80">
        <f t="shared" si="87"/>
        <v>5734.8</v>
      </c>
      <c r="N739" s="79"/>
      <c r="O739" s="79" t="str">
        <f t="shared" si="97"/>
        <v/>
      </c>
      <c r="P739" s="80" t="str">
        <f t="shared" si="98"/>
        <v/>
      </c>
      <c r="Q739" s="80" t="str">
        <f t="shared" si="99"/>
        <v/>
      </c>
      <c r="R739" s="80" t="str">
        <f t="shared" si="100"/>
        <v/>
      </c>
      <c r="S739" s="89">
        <f>SUM(M737:M739)</f>
        <v>24498.6</v>
      </c>
    </row>
    <row r="740" spans="2:19" x14ac:dyDescent="0.4">
      <c r="B740" s="77">
        <v>44500</v>
      </c>
      <c r="C740" s="64"/>
      <c r="D740" s="64"/>
      <c r="E740" s="64" t="s">
        <v>471</v>
      </c>
      <c r="F740" s="64" t="s">
        <v>1146</v>
      </c>
      <c r="G740" s="71" t="s">
        <v>1151</v>
      </c>
      <c r="H740" s="78">
        <v>0.1</v>
      </c>
      <c r="I740" s="79">
        <f>8*2</f>
        <v>16</v>
      </c>
      <c r="J740" s="94">
        <v>240</v>
      </c>
      <c r="K740" s="80">
        <f>J740*110%</f>
        <v>264</v>
      </c>
      <c r="L740" s="80"/>
      <c r="M740" s="80">
        <f t="shared" si="87"/>
        <v>4224</v>
      </c>
      <c r="N740" s="79"/>
      <c r="O740" s="79" t="str">
        <f t="shared" si="97"/>
        <v/>
      </c>
      <c r="P740" s="80" t="str">
        <f t="shared" si="98"/>
        <v/>
      </c>
      <c r="Q740" s="80" t="str">
        <f t="shared" si="99"/>
        <v/>
      </c>
      <c r="R740" s="80" t="str">
        <f t="shared" si="100"/>
        <v/>
      </c>
    </row>
    <row r="741" spans="2:19" x14ac:dyDescent="0.4">
      <c r="B741" s="77">
        <v>44500</v>
      </c>
      <c r="C741" s="64"/>
      <c r="D741" s="64"/>
      <c r="E741" s="64" t="s">
        <v>471</v>
      </c>
      <c r="F741" s="64" t="s">
        <v>1147</v>
      </c>
      <c r="G741" s="71" t="s">
        <v>1152</v>
      </c>
      <c r="H741" s="78">
        <v>0.08</v>
      </c>
      <c r="I741" s="79">
        <f>24*1</f>
        <v>24</v>
      </c>
      <c r="J741" s="94">
        <v>91</v>
      </c>
      <c r="K741" s="80">
        <f t="shared" si="82"/>
        <v>98.28</v>
      </c>
      <c r="L741" s="80"/>
      <c r="M741" s="80">
        <f t="shared" si="87"/>
        <v>2358.7200000000003</v>
      </c>
      <c r="N741" s="79"/>
      <c r="O741" s="79" t="str">
        <f t="shared" si="97"/>
        <v/>
      </c>
      <c r="P741" s="80" t="str">
        <f t="shared" si="98"/>
        <v/>
      </c>
      <c r="Q741" s="80" t="str">
        <f t="shared" si="99"/>
        <v/>
      </c>
      <c r="R741" s="80" t="str">
        <f t="shared" si="100"/>
        <v/>
      </c>
    </row>
    <row r="742" spans="2:19" x14ac:dyDescent="0.4">
      <c r="B742" s="77">
        <v>44500</v>
      </c>
      <c r="C742" s="64"/>
      <c r="D742" s="64"/>
      <c r="E742" s="64" t="s">
        <v>471</v>
      </c>
      <c r="F742" s="64" t="s">
        <v>1147</v>
      </c>
      <c r="G742" s="71" t="s">
        <v>1152</v>
      </c>
      <c r="H742" s="78">
        <v>0.08</v>
      </c>
      <c r="I742" s="79">
        <f>12*1</f>
        <v>12</v>
      </c>
      <c r="J742" s="94">
        <v>91</v>
      </c>
      <c r="K742" s="80">
        <f t="shared" si="82"/>
        <v>98.28</v>
      </c>
      <c r="L742" s="80"/>
      <c r="M742" s="80">
        <f t="shared" si="87"/>
        <v>1179.3600000000001</v>
      </c>
      <c r="N742" s="79"/>
      <c r="O742" s="79" t="str">
        <f t="shared" si="97"/>
        <v/>
      </c>
      <c r="P742" s="80" t="str">
        <f t="shared" si="98"/>
        <v/>
      </c>
      <c r="Q742" s="80" t="str">
        <f t="shared" si="99"/>
        <v/>
      </c>
      <c r="R742" s="80" t="str">
        <f t="shared" si="100"/>
        <v/>
      </c>
    </row>
    <row r="743" spans="2:19" x14ac:dyDescent="0.4">
      <c r="B743" s="77">
        <v>44500</v>
      </c>
      <c r="C743" s="64"/>
      <c r="D743" s="64"/>
      <c r="E743" s="64" t="s">
        <v>471</v>
      </c>
      <c r="F743" s="64" t="s">
        <v>1148</v>
      </c>
      <c r="G743" s="71" t="s">
        <v>1153</v>
      </c>
      <c r="H743" s="78">
        <v>0.08</v>
      </c>
      <c r="I743" s="79">
        <f>24*1</f>
        <v>24</v>
      </c>
      <c r="J743" s="94">
        <v>116</v>
      </c>
      <c r="K743" s="80">
        <f t="shared" si="82"/>
        <v>125.28</v>
      </c>
      <c r="L743" s="80"/>
      <c r="M743" s="80">
        <f t="shared" si="87"/>
        <v>3006.7200000000003</v>
      </c>
      <c r="N743" s="79"/>
      <c r="O743" s="79" t="str">
        <f t="shared" si="97"/>
        <v/>
      </c>
      <c r="P743" s="80" t="str">
        <f t="shared" si="98"/>
        <v/>
      </c>
      <c r="Q743" s="80" t="str">
        <f t="shared" si="99"/>
        <v/>
      </c>
      <c r="R743" s="80" t="str">
        <f t="shared" si="100"/>
        <v/>
      </c>
    </row>
    <row r="744" spans="2:19" x14ac:dyDescent="0.4">
      <c r="B744" s="77">
        <v>44500</v>
      </c>
      <c r="C744" s="64"/>
      <c r="D744" s="64"/>
      <c r="E744" s="64" t="s">
        <v>471</v>
      </c>
      <c r="F744" s="64" t="s">
        <v>1148</v>
      </c>
      <c r="G744" s="71" t="s">
        <v>1153</v>
      </c>
      <c r="H744" s="78">
        <v>0.08</v>
      </c>
      <c r="I744" s="79">
        <f>12*1</f>
        <v>12</v>
      </c>
      <c r="J744" s="94">
        <v>116</v>
      </c>
      <c r="K744" s="80">
        <f t="shared" si="82"/>
        <v>125.28</v>
      </c>
      <c r="L744" s="80"/>
      <c r="M744" s="80">
        <f t="shared" si="87"/>
        <v>1503.3600000000001</v>
      </c>
      <c r="N744" s="79"/>
      <c r="O744" s="79" t="str">
        <f t="shared" si="97"/>
        <v/>
      </c>
      <c r="P744" s="80" t="str">
        <f t="shared" si="98"/>
        <v/>
      </c>
      <c r="Q744" s="80" t="str">
        <f t="shared" si="99"/>
        <v/>
      </c>
      <c r="R744" s="80" t="str">
        <f t="shared" si="100"/>
        <v/>
      </c>
    </row>
    <row r="745" spans="2:19" x14ac:dyDescent="0.4">
      <c r="B745" s="77">
        <v>44500</v>
      </c>
      <c r="C745" s="64"/>
      <c r="D745" s="64"/>
      <c r="E745" s="64" t="s">
        <v>471</v>
      </c>
      <c r="F745" s="64" t="s">
        <v>1149</v>
      </c>
      <c r="G745" s="71" t="s">
        <v>1154</v>
      </c>
      <c r="H745" s="78">
        <v>0.08</v>
      </c>
      <c r="I745" s="79">
        <f>24*1</f>
        <v>24</v>
      </c>
      <c r="J745" s="94">
        <v>116</v>
      </c>
      <c r="K745" s="80">
        <f t="shared" si="82"/>
        <v>125.28</v>
      </c>
      <c r="L745" s="80"/>
      <c r="M745" s="80">
        <f t="shared" si="87"/>
        <v>3006.7200000000003</v>
      </c>
      <c r="N745" s="79"/>
      <c r="O745" s="79" t="str">
        <f t="shared" si="97"/>
        <v/>
      </c>
      <c r="P745" s="80" t="str">
        <f t="shared" si="98"/>
        <v/>
      </c>
      <c r="Q745" s="80" t="str">
        <f t="shared" si="99"/>
        <v/>
      </c>
      <c r="R745" s="80" t="str">
        <f t="shared" si="100"/>
        <v/>
      </c>
    </row>
    <row r="746" spans="2:19" x14ac:dyDescent="0.4">
      <c r="B746" s="77">
        <v>44500</v>
      </c>
      <c r="C746" s="64"/>
      <c r="D746" s="64"/>
      <c r="E746" s="64" t="s">
        <v>471</v>
      </c>
      <c r="F746" s="64" t="s">
        <v>1149</v>
      </c>
      <c r="G746" s="71" t="s">
        <v>1154</v>
      </c>
      <c r="H746" s="78">
        <v>0.08</v>
      </c>
      <c r="I746" s="79">
        <f>12*1</f>
        <v>12</v>
      </c>
      <c r="J746" s="94">
        <v>116</v>
      </c>
      <c r="K746" s="80">
        <f t="shared" si="82"/>
        <v>125.28</v>
      </c>
      <c r="L746" s="80"/>
      <c r="M746" s="80">
        <f t="shared" si="87"/>
        <v>1503.3600000000001</v>
      </c>
      <c r="N746" s="79"/>
      <c r="O746" s="79" t="str">
        <f t="shared" si="97"/>
        <v/>
      </c>
      <c r="P746" s="80" t="str">
        <f t="shared" si="98"/>
        <v/>
      </c>
      <c r="Q746" s="80" t="str">
        <f t="shared" si="99"/>
        <v/>
      </c>
      <c r="R746" s="80" t="str">
        <f t="shared" si="100"/>
        <v/>
      </c>
    </row>
    <row r="747" spans="2:19" x14ac:dyDescent="0.4">
      <c r="B747" s="77">
        <v>44500</v>
      </c>
      <c r="C747" s="64"/>
      <c r="D747" s="64"/>
      <c r="E747" s="64" t="s">
        <v>471</v>
      </c>
      <c r="F747" s="64" t="s">
        <v>1150</v>
      </c>
      <c r="G747" s="71" t="s">
        <v>1155</v>
      </c>
      <c r="H747" s="78">
        <v>0.08</v>
      </c>
      <c r="I747" s="79">
        <f>24*1</f>
        <v>24</v>
      </c>
      <c r="J747" s="94">
        <v>84</v>
      </c>
      <c r="K747" s="80">
        <f t="shared" si="82"/>
        <v>90.72</v>
      </c>
      <c r="L747" s="80"/>
      <c r="M747" s="80">
        <f t="shared" si="87"/>
        <v>2177.2799999999997</v>
      </c>
      <c r="N747" s="79"/>
      <c r="O747" s="79" t="str">
        <f t="shared" si="97"/>
        <v/>
      </c>
      <c r="P747" s="80" t="str">
        <f t="shared" si="98"/>
        <v/>
      </c>
      <c r="Q747" s="80" t="str">
        <f t="shared" si="99"/>
        <v/>
      </c>
      <c r="R747" s="80" t="str">
        <f t="shared" si="100"/>
        <v/>
      </c>
    </row>
    <row r="748" spans="2:19" x14ac:dyDescent="0.4">
      <c r="B748" s="77">
        <v>44500</v>
      </c>
      <c r="C748" s="64"/>
      <c r="D748" s="64"/>
      <c r="E748" s="64" t="s">
        <v>471</v>
      </c>
      <c r="F748" s="64" t="s">
        <v>1150</v>
      </c>
      <c r="G748" s="71" t="s">
        <v>1155</v>
      </c>
      <c r="H748" s="78">
        <v>0.08</v>
      </c>
      <c r="I748" s="79">
        <f>12*1</f>
        <v>12</v>
      </c>
      <c r="J748" s="94">
        <v>84</v>
      </c>
      <c r="K748" s="80">
        <f t="shared" si="82"/>
        <v>90.72</v>
      </c>
      <c r="L748" s="80"/>
      <c r="M748" s="80">
        <f t="shared" si="87"/>
        <v>1088.6399999999999</v>
      </c>
      <c r="N748" s="79"/>
      <c r="O748" s="79" t="str">
        <f t="shared" si="97"/>
        <v/>
      </c>
      <c r="P748" s="80" t="str">
        <f t="shared" si="98"/>
        <v/>
      </c>
      <c r="Q748" s="80" t="str">
        <f t="shared" si="99"/>
        <v/>
      </c>
      <c r="R748" s="80" t="str">
        <f t="shared" si="100"/>
        <v/>
      </c>
      <c r="S748" s="89">
        <f>SUM(M740:M748)</f>
        <v>20048.16</v>
      </c>
    </row>
  </sheetData>
  <autoFilter ref="F2:F748" xr:uid="{199611C7-F6AF-4183-95F0-7C03170B1418}"/>
  <phoneticPr fontId="3"/>
  <pageMargins left="0.7" right="0.7" top="0.75" bottom="0.75" header="0.3" footer="0.3"/>
  <pageSetup paperSize="9" orientation="portrait" verticalDpi="0" r:id="rId1"/>
  <ignoredErrors>
    <ignoredError sqref="I55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C118-6C2B-4029-9777-D5BF4A06A47B}">
  <dimension ref="B2:R165"/>
  <sheetViews>
    <sheetView showGridLines="0" zoomScale="70" zoomScaleNormal="70" workbookViewId="0">
      <selection activeCell="D1" sqref="A1:XFD1048576"/>
    </sheetView>
  </sheetViews>
  <sheetFormatPr defaultColWidth="9" defaultRowHeight="15.75" x14ac:dyDescent="0.4"/>
  <cols>
    <col min="1" max="1" width="9" style="1"/>
    <col min="2" max="2" width="27.75" style="1" bestFit="1" customWidth="1"/>
    <col min="3" max="4" width="9.125" style="1" bestFit="1" customWidth="1"/>
    <col min="5" max="5" width="27.75" style="1" bestFit="1" customWidth="1"/>
    <col min="6" max="6" width="63.75" style="1" bestFit="1" customWidth="1"/>
    <col min="7" max="7" width="17.375" style="20" bestFit="1" customWidth="1"/>
    <col min="8" max="8" width="7.25" style="1" bestFit="1" customWidth="1"/>
    <col min="9" max="9" width="9.125" style="4" bestFit="1" customWidth="1"/>
    <col min="10" max="10" width="9.125" style="3" bestFit="1" customWidth="1"/>
    <col min="11" max="11" width="10.375" style="3" bestFit="1" customWidth="1"/>
    <col min="12" max="12" width="5.375" style="3" bestFit="1" customWidth="1"/>
    <col min="13" max="13" width="10.375" style="3" bestFit="1" customWidth="1"/>
    <col min="14" max="14" width="11.125" style="4" bestFit="1" customWidth="1"/>
    <col min="15" max="15" width="7.25" style="4" bestFit="1" customWidth="1"/>
    <col min="16" max="16" width="13.125" style="3" bestFit="1" customWidth="1"/>
    <col min="17" max="17" width="9.125" style="3" bestFit="1" customWidth="1"/>
    <col min="18" max="18" width="5.375" style="3" bestFit="1" customWidth="1"/>
    <col min="19" max="16384" width="9" style="1"/>
  </cols>
  <sheetData>
    <row r="2" spans="2:18" ht="33" customHeight="1" x14ac:dyDescent="0.4">
      <c r="B2" s="14" t="s">
        <v>13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73" si="0">K6*I6</f>
        <v>15840.000000000002</v>
      </c>
      <c r="N6" s="10"/>
      <c r="O6" s="10" t="str">
        <f t="shared" ref="O6:O61" si="1">IF(N6="","",I6-N6)</f>
        <v/>
      </c>
      <c r="P6" s="9" t="str">
        <f t="shared" ref="P6:P61" si="2">IFERROR(O6*J6,"")</f>
        <v/>
      </c>
      <c r="Q6" s="9" t="str">
        <f t="shared" ref="Q6:Q61" si="3">IFERROR(P6*O6,"")</f>
        <v/>
      </c>
      <c r="R6" s="9" t="str">
        <f t="shared" ref="R6:R61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301</v>
      </c>
      <c r="F9" s="17" t="s">
        <v>140</v>
      </c>
      <c r="G9" s="19"/>
      <c r="H9" s="13">
        <v>0.1</v>
      </c>
      <c r="I9" s="10">
        <v>120</v>
      </c>
      <c r="J9" s="9">
        <v>450</v>
      </c>
      <c r="K9" s="9">
        <f>J9*110%</f>
        <v>495.00000000000006</v>
      </c>
      <c r="L9" s="9"/>
      <c r="M9" s="9">
        <f t="shared" si="0"/>
        <v>59400.000000000007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301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301</v>
      </c>
      <c r="F11" s="17" t="s">
        <v>142</v>
      </c>
      <c r="G11" s="19"/>
      <c r="H11" s="13">
        <v>0.1</v>
      </c>
      <c r="I11" s="10">
        <v>120</v>
      </c>
      <c r="J11" s="9">
        <v>450</v>
      </c>
      <c r="K11" s="9">
        <f t="shared" si="5"/>
        <v>495.00000000000006</v>
      </c>
      <c r="L11" s="9"/>
      <c r="M11" s="9">
        <f t="shared" si="0"/>
        <v>59400.000000000007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301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301</v>
      </c>
      <c r="F13" s="17" t="s">
        <v>144</v>
      </c>
      <c r="G13" s="19"/>
      <c r="H13" s="13">
        <v>0.1</v>
      </c>
      <c r="I13" s="10">
        <v>28</v>
      </c>
      <c r="J13" s="9">
        <v>75</v>
      </c>
      <c r="K13" s="9">
        <f t="shared" si="5"/>
        <v>82.5</v>
      </c>
      <c r="L13" s="9"/>
      <c r="M13" s="9">
        <f t="shared" si="0"/>
        <v>2310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301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301</v>
      </c>
      <c r="F15" s="17" t="s">
        <v>146</v>
      </c>
      <c r="G15" s="19"/>
      <c r="H15" s="13">
        <v>0.1</v>
      </c>
      <c r="I15" s="10">
        <v>28</v>
      </c>
      <c r="J15" s="9">
        <v>75</v>
      </c>
      <c r="K15" s="9">
        <f t="shared" si="5"/>
        <v>82.5</v>
      </c>
      <c r="L15" s="9"/>
      <c r="M15" s="9">
        <f t="shared" si="0"/>
        <v>2310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301</v>
      </c>
      <c r="F16" s="17" t="s">
        <v>147</v>
      </c>
      <c r="G16" s="19"/>
      <c r="H16" s="13">
        <v>0.1</v>
      </c>
      <c r="I16" s="10">
        <v>28</v>
      </c>
      <c r="J16" s="9">
        <v>75</v>
      </c>
      <c r="K16" s="9">
        <f t="shared" si="5"/>
        <v>82.5</v>
      </c>
      <c r="L16" s="9"/>
      <c r="M16" s="9">
        <f t="shared" si="0"/>
        <v>2310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301</v>
      </c>
      <c r="F17" s="17" t="s">
        <v>148</v>
      </c>
      <c r="G17" s="19"/>
      <c r="H17" s="13">
        <v>0.1</v>
      </c>
      <c r="I17" s="10">
        <v>28</v>
      </c>
      <c r="J17" s="9">
        <v>85</v>
      </c>
      <c r="K17" s="9">
        <f t="shared" si="5"/>
        <v>93.500000000000014</v>
      </c>
      <c r="L17" s="9"/>
      <c r="M17" s="9">
        <f t="shared" si="0"/>
        <v>2618.0000000000005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301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301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301</v>
      </c>
      <c r="F20" s="17" t="s">
        <v>151</v>
      </c>
      <c r="G20" s="19"/>
      <c r="H20" s="13">
        <v>0.1</v>
      </c>
      <c r="I20" s="10">
        <v>28</v>
      </c>
      <c r="J20" s="9">
        <v>120</v>
      </c>
      <c r="K20" s="9">
        <f t="shared" si="5"/>
        <v>132</v>
      </c>
      <c r="L20" s="9"/>
      <c r="M20" s="9">
        <f t="shared" si="0"/>
        <v>3696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301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301</v>
      </c>
      <c r="F22" s="17" t="s">
        <v>153</v>
      </c>
      <c r="G22" s="19"/>
      <c r="H22" s="13">
        <v>0.1</v>
      </c>
      <c r="I22" s="10">
        <v>28</v>
      </c>
      <c r="J22" s="9">
        <v>120</v>
      </c>
      <c r="K22" s="9">
        <f t="shared" si="5"/>
        <v>132</v>
      </c>
      <c r="L22" s="9"/>
      <c r="M22" s="9">
        <f t="shared" si="0"/>
        <v>3696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301</v>
      </c>
      <c r="F23" s="17" t="s">
        <v>154</v>
      </c>
      <c r="G23" s="19"/>
      <c r="H23" s="13">
        <v>0.1</v>
      </c>
      <c r="I23" s="10">
        <v>120</v>
      </c>
      <c r="J23" s="9">
        <v>450</v>
      </c>
      <c r="K23" s="9">
        <f t="shared" si="5"/>
        <v>495.00000000000006</v>
      </c>
      <c r="L23" s="9"/>
      <c r="M23" s="9">
        <f t="shared" si="0"/>
        <v>59400.000000000007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301</v>
      </c>
      <c r="F24" s="17" t="s">
        <v>155</v>
      </c>
      <c r="G24" s="19"/>
      <c r="H24" s="13">
        <v>0.1</v>
      </c>
      <c r="I24" s="10">
        <v>120</v>
      </c>
      <c r="J24" s="9">
        <v>450</v>
      </c>
      <c r="K24" s="9">
        <f t="shared" si="5"/>
        <v>495.00000000000006</v>
      </c>
      <c r="L24" s="9"/>
      <c r="M24" s="9">
        <f t="shared" si="0"/>
        <v>59400.000000000007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301</v>
      </c>
      <c r="F25" s="17" t="s">
        <v>156</v>
      </c>
      <c r="G25" s="19"/>
      <c r="H25" s="13">
        <v>0.1</v>
      </c>
      <c r="I25" s="10">
        <v>120</v>
      </c>
      <c r="J25" s="9">
        <v>450</v>
      </c>
      <c r="K25" s="9">
        <f t="shared" si="5"/>
        <v>495.00000000000006</v>
      </c>
      <c r="L25" s="9"/>
      <c r="M25" s="9">
        <f t="shared" si="0"/>
        <v>59400.000000000007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301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ht="18.75" x14ac:dyDescent="0.4">
      <c r="B27" s="8"/>
      <c r="C27" s="58" t="s">
        <v>300</v>
      </c>
      <c r="D27" s="8"/>
      <c r="E27" s="8" t="s">
        <v>308</v>
      </c>
      <c r="F27" s="59" t="s">
        <v>309</v>
      </c>
      <c r="G27" s="60">
        <v>4977629310376</v>
      </c>
      <c r="H27" s="13">
        <v>0.08</v>
      </c>
      <c r="I27" s="10">
        <v>192</v>
      </c>
      <c r="J27" s="61">
        <v>40</v>
      </c>
      <c r="K27" s="9">
        <f>J27*108%</f>
        <v>43.2</v>
      </c>
      <c r="L27" s="9"/>
      <c r="M27" s="9">
        <f>K27*I27</f>
        <v>8294.4000000000015</v>
      </c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ht="18.75" x14ac:dyDescent="0.4">
      <c r="B28" s="8"/>
      <c r="C28" s="58" t="s">
        <v>303</v>
      </c>
      <c r="D28" s="8"/>
      <c r="E28" s="8" t="s">
        <v>308</v>
      </c>
      <c r="F28" s="62" t="s">
        <v>310</v>
      </c>
      <c r="G28" s="60">
        <v>2000000062716</v>
      </c>
      <c r="H28" s="13">
        <v>0.1</v>
      </c>
      <c r="I28" s="10">
        <v>100</v>
      </c>
      <c r="J28" s="61">
        <v>48</v>
      </c>
      <c r="K28" s="9">
        <f>J28*110%</f>
        <v>52.800000000000004</v>
      </c>
      <c r="L28" s="9"/>
      <c r="M28" s="9">
        <f t="shared" si="0"/>
        <v>5280</v>
      </c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58" t="s">
        <v>304</v>
      </c>
      <c r="D29" s="8"/>
      <c r="E29" s="8" t="s">
        <v>308</v>
      </c>
      <c r="F29" s="62" t="s">
        <v>311</v>
      </c>
      <c r="G29" s="60">
        <v>2000000064529</v>
      </c>
      <c r="H29" s="13">
        <v>0.1</v>
      </c>
      <c r="I29" s="10">
        <v>60</v>
      </c>
      <c r="J29" s="61">
        <v>80</v>
      </c>
      <c r="K29" s="9">
        <f t="shared" ref="K29:K46" si="6">J29*110%</f>
        <v>88</v>
      </c>
      <c r="L29" s="9"/>
      <c r="M29" s="9">
        <f t="shared" si="0"/>
        <v>5280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58" t="s">
        <v>304</v>
      </c>
      <c r="D30" s="8"/>
      <c r="E30" s="8" t="s">
        <v>308</v>
      </c>
      <c r="F30" s="62" t="s">
        <v>312</v>
      </c>
      <c r="G30" s="60">
        <v>4973512263651</v>
      </c>
      <c r="H30" s="13">
        <v>0.1</v>
      </c>
      <c r="I30" s="10">
        <v>100</v>
      </c>
      <c r="J30" s="61">
        <v>80</v>
      </c>
      <c r="K30" s="9">
        <f t="shared" si="6"/>
        <v>88</v>
      </c>
      <c r="L30" s="9"/>
      <c r="M30" s="9">
        <f t="shared" si="0"/>
        <v>8800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58" t="s">
        <v>304</v>
      </c>
      <c r="D31" s="8"/>
      <c r="E31" s="8" t="s">
        <v>308</v>
      </c>
      <c r="F31" s="62" t="s">
        <v>313</v>
      </c>
      <c r="G31" s="60">
        <v>4518516000088</v>
      </c>
      <c r="H31" s="13">
        <v>0.1</v>
      </c>
      <c r="I31" s="10">
        <v>96</v>
      </c>
      <c r="J31" s="61">
        <v>130</v>
      </c>
      <c r="K31" s="9">
        <f t="shared" si="6"/>
        <v>143</v>
      </c>
      <c r="L31" s="9"/>
      <c r="M31" s="9">
        <f t="shared" si="0"/>
        <v>13728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58" t="s">
        <v>303</v>
      </c>
      <c r="D32" s="8"/>
      <c r="E32" s="8" t="s">
        <v>308</v>
      </c>
      <c r="F32" s="62" t="s">
        <v>314</v>
      </c>
      <c r="G32" s="60">
        <v>4580419310328</v>
      </c>
      <c r="H32" s="13">
        <v>0.1</v>
      </c>
      <c r="I32" s="10">
        <v>50</v>
      </c>
      <c r="J32" s="61">
        <v>280</v>
      </c>
      <c r="K32" s="9">
        <f t="shared" si="6"/>
        <v>308</v>
      </c>
      <c r="L32" s="9"/>
      <c r="M32" s="9">
        <f t="shared" si="0"/>
        <v>15400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58" t="s">
        <v>304</v>
      </c>
      <c r="D33" s="8"/>
      <c r="E33" s="8" t="s">
        <v>308</v>
      </c>
      <c r="F33" s="62" t="s">
        <v>315</v>
      </c>
      <c r="G33" s="60">
        <v>4904705163304</v>
      </c>
      <c r="H33" s="13">
        <v>0.1</v>
      </c>
      <c r="I33" s="10">
        <v>240</v>
      </c>
      <c r="J33" s="61">
        <v>19</v>
      </c>
      <c r="K33" s="9">
        <f t="shared" si="6"/>
        <v>20.900000000000002</v>
      </c>
      <c r="L33" s="9"/>
      <c r="M33" s="9">
        <f t="shared" si="0"/>
        <v>5016.0000000000009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58" t="s">
        <v>304</v>
      </c>
      <c r="D34" s="8"/>
      <c r="E34" s="8" t="s">
        <v>308</v>
      </c>
      <c r="F34" s="62" t="s">
        <v>316</v>
      </c>
      <c r="G34" s="60">
        <v>4966840253630</v>
      </c>
      <c r="H34" s="13">
        <v>0.1</v>
      </c>
      <c r="I34" s="10">
        <v>240</v>
      </c>
      <c r="J34" s="61">
        <v>22</v>
      </c>
      <c r="K34" s="9">
        <f t="shared" si="6"/>
        <v>24.200000000000003</v>
      </c>
      <c r="L34" s="9"/>
      <c r="M34" s="9">
        <f t="shared" si="0"/>
        <v>5808.0000000000009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58" t="s">
        <v>304</v>
      </c>
      <c r="D35" s="8"/>
      <c r="E35" s="8" t="s">
        <v>308</v>
      </c>
      <c r="F35" s="62" t="s">
        <v>317</v>
      </c>
      <c r="G35" s="60">
        <v>8010630333869</v>
      </c>
      <c r="H35" s="13">
        <v>0.1</v>
      </c>
      <c r="I35" s="10">
        <v>400</v>
      </c>
      <c r="J35" s="61">
        <v>30</v>
      </c>
      <c r="K35" s="9">
        <f t="shared" si="6"/>
        <v>33</v>
      </c>
      <c r="L35" s="9"/>
      <c r="M35" s="9">
        <f t="shared" si="0"/>
        <v>13200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58" t="s">
        <v>303</v>
      </c>
      <c r="D36" s="8"/>
      <c r="E36" s="8" t="s">
        <v>308</v>
      </c>
      <c r="F36" s="62" t="s">
        <v>318</v>
      </c>
      <c r="G36" s="60">
        <v>4528364820028</v>
      </c>
      <c r="H36" s="13">
        <v>0.1</v>
      </c>
      <c r="I36" s="10">
        <v>100</v>
      </c>
      <c r="J36" s="61">
        <v>35</v>
      </c>
      <c r="K36" s="9">
        <f t="shared" si="6"/>
        <v>38.5</v>
      </c>
      <c r="L36" s="9"/>
      <c r="M36" s="9">
        <f t="shared" si="0"/>
        <v>3850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58" t="s">
        <v>304</v>
      </c>
      <c r="D37" s="8"/>
      <c r="E37" s="8" t="s">
        <v>308</v>
      </c>
      <c r="F37" s="62" t="s">
        <v>319</v>
      </c>
      <c r="G37" s="60">
        <v>4966840251551</v>
      </c>
      <c r="H37" s="13">
        <v>0.1</v>
      </c>
      <c r="I37" s="10">
        <v>144</v>
      </c>
      <c r="J37" s="61">
        <v>40</v>
      </c>
      <c r="K37" s="9">
        <f t="shared" si="6"/>
        <v>44</v>
      </c>
      <c r="L37" s="9"/>
      <c r="M37" s="9">
        <f t="shared" si="0"/>
        <v>6336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58" t="s">
        <v>305</v>
      </c>
      <c r="D38" s="8"/>
      <c r="E38" s="8" t="s">
        <v>308</v>
      </c>
      <c r="F38" s="62" t="s">
        <v>320</v>
      </c>
      <c r="G38" s="60">
        <v>4970687211159</v>
      </c>
      <c r="H38" s="13">
        <v>0.1</v>
      </c>
      <c r="I38" s="10">
        <v>120</v>
      </c>
      <c r="J38" s="61">
        <v>80</v>
      </c>
      <c r="K38" s="9">
        <f t="shared" si="6"/>
        <v>88</v>
      </c>
      <c r="L38" s="9"/>
      <c r="M38" s="9">
        <f t="shared" si="0"/>
        <v>10560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58" t="s">
        <v>305</v>
      </c>
      <c r="D39" s="8"/>
      <c r="E39" s="8" t="s">
        <v>308</v>
      </c>
      <c r="F39" s="62" t="s">
        <v>321</v>
      </c>
      <c r="G39" s="60">
        <v>4970687211241</v>
      </c>
      <c r="H39" s="13">
        <v>0.1</v>
      </c>
      <c r="I39" s="10">
        <v>120</v>
      </c>
      <c r="J39" s="61">
        <v>80</v>
      </c>
      <c r="K39" s="9">
        <f t="shared" si="6"/>
        <v>88</v>
      </c>
      <c r="L39" s="9"/>
      <c r="M39" s="9">
        <f t="shared" si="0"/>
        <v>10560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58" t="s">
        <v>96</v>
      </c>
      <c r="D40" s="8"/>
      <c r="E40" s="8" t="s">
        <v>308</v>
      </c>
      <c r="F40" s="62" t="s">
        <v>322</v>
      </c>
      <c r="G40" s="60">
        <v>4538291208509</v>
      </c>
      <c r="H40" s="13">
        <v>0.1</v>
      </c>
      <c r="I40" s="10">
        <v>72</v>
      </c>
      <c r="J40" s="61">
        <v>90</v>
      </c>
      <c r="K40" s="9">
        <f t="shared" si="6"/>
        <v>99.000000000000014</v>
      </c>
      <c r="L40" s="9"/>
      <c r="M40" s="9">
        <f t="shared" si="0"/>
        <v>7128.0000000000009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120" t="s">
        <v>304</v>
      </c>
      <c r="D41" s="8"/>
      <c r="E41" s="8" t="s">
        <v>308</v>
      </c>
      <c r="F41" s="62" t="s">
        <v>323</v>
      </c>
      <c r="G41" s="60">
        <v>4510482194181</v>
      </c>
      <c r="H41" s="13">
        <v>0.1</v>
      </c>
      <c r="I41" s="10">
        <v>24</v>
      </c>
      <c r="J41" s="61">
        <v>100</v>
      </c>
      <c r="K41" s="9">
        <f t="shared" si="6"/>
        <v>110.00000000000001</v>
      </c>
      <c r="L41" s="9"/>
      <c r="M41" s="9">
        <f t="shared" si="0"/>
        <v>2640.0000000000005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120"/>
      <c r="D42" s="8"/>
      <c r="E42" s="8" t="s">
        <v>308</v>
      </c>
      <c r="F42" s="62" t="s">
        <v>324</v>
      </c>
      <c r="G42" s="60">
        <v>4510482194198</v>
      </c>
      <c r="H42" s="13">
        <v>0.1</v>
      </c>
      <c r="I42" s="10">
        <v>24</v>
      </c>
      <c r="J42" s="61">
        <v>100</v>
      </c>
      <c r="K42" s="9">
        <f t="shared" si="6"/>
        <v>110.00000000000001</v>
      </c>
      <c r="L42" s="9"/>
      <c r="M42" s="9">
        <f t="shared" si="0"/>
        <v>2640.0000000000005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120"/>
      <c r="D43" s="8"/>
      <c r="E43" s="8" t="s">
        <v>308</v>
      </c>
      <c r="F43" s="62" t="s">
        <v>325</v>
      </c>
      <c r="G43" s="60">
        <v>4510482194204</v>
      </c>
      <c r="H43" s="13">
        <v>0.1</v>
      </c>
      <c r="I43" s="10">
        <v>24</v>
      </c>
      <c r="J43" s="61">
        <v>100</v>
      </c>
      <c r="K43" s="9">
        <f t="shared" si="6"/>
        <v>110.00000000000001</v>
      </c>
      <c r="L43" s="9"/>
      <c r="M43" s="9">
        <f t="shared" si="0"/>
        <v>2640.0000000000005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58" t="s">
        <v>304</v>
      </c>
      <c r="D44" s="8"/>
      <c r="E44" s="8" t="s">
        <v>308</v>
      </c>
      <c r="F44" s="62" t="s">
        <v>326</v>
      </c>
      <c r="G44" s="60">
        <v>4972603100585</v>
      </c>
      <c r="H44" s="13">
        <v>0.1</v>
      </c>
      <c r="I44" s="10">
        <v>30</v>
      </c>
      <c r="J44" s="61">
        <v>100</v>
      </c>
      <c r="K44" s="9">
        <f t="shared" si="6"/>
        <v>110.00000000000001</v>
      </c>
      <c r="L44" s="9"/>
      <c r="M44" s="9">
        <f t="shared" si="0"/>
        <v>3300.0000000000005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58" t="s">
        <v>304</v>
      </c>
      <c r="D45" s="8"/>
      <c r="E45" s="8" t="s">
        <v>308</v>
      </c>
      <c r="F45" s="62" t="s">
        <v>327</v>
      </c>
      <c r="G45" s="60">
        <v>4589596691961</v>
      </c>
      <c r="H45" s="13">
        <v>0.1</v>
      </c>
      <c r="I45" s="10">
        <v>72</v>
      </c>
      <c r="J45" s="61">
        <v>140</v>
      </c>
      <c r="K45" s="9">
        <f t="shared" si="6"/>
        <v>154</v>
      </c>
      <c r="L45" s="9"/>
      <c r="M45" s="9">
        <f t="shared" si="0"/>
        <v>11088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18.75" x14ac:dyDescent="0.4">
      <c r="B46" s="8"/>
      <c r="C46" s="58" t="s">
        <v>304</v>
      </c>
      <c r="D46" s="8"/>
      <c r="E46" s="8" t="s">
        <v>308</v>
      </c>
      <c r="F46" s="62" t="s">
        <v>347</v>
      </c>
      <c r="G46" s="60">
        <v>4939560247197</v>
      </c>
      <c r="H46" s="13">
        <v>0.1</v>
      </c>
      <c r="I46" s="10">
        <v>60</v>
      </c>
      <c r="J46" s="61">
        <v>216</v>
      </c>
      <c r="K46" s="9">
        <f t="shared" si="6"/>
        <v>237.60000000000002</v>
      </c>
      <c r="L46" s="9"/>
      <c r="M46" s="9">
        <f t="shared" si="0"/>
        <v>14256.000000000002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37.5" x14ac:dyDescent="0.4">
      <c r="B47" s="8"/>
      <c r="C47" s="58" t="s">
        <v>300</v>
      </c>
      <c r="D47" s="8"/>
      <c r="E47" s="8" t="s">
        <v>308</v>
      </c>
      <c r="F47" s="63" t="s">
        <v>328</v>
      </c>
      <c r="G47" s="60">
        <v>4960867007641</v>
      </c>
      <c r="H47" s="13">
        <v>0.08</v>
      </c>
      <c r="I47" s="10">
        <v>30</v>
      </c>
      <c r="J47" s="61">
        <v>240</v>
      </c>
      <c r="K47" s="9">
        <f t="shared" ref="K47:K48" si="7">J47*108%</f>
        <v>259.20000000000005</v>
      </c>
      <c r="L47" s="9"/>
      <c r="M47" s="9">
        <f t="shared" si="0"/>
        <v>7776.0000000000018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37.5" x14ac:dyDescent="0.4">
      <c r="B48" s="8"/>
      <c r="C48" s="58" t="s">
        <v>300</v>
      </c>
      <c r="D48" s="8"/>
      <c r="E48" s="8" t="s">
        <v>308</v>
      </c>
      <c r="F48" s="63" t="s">
        <v>329</v>
      </c>
      <c r="G48" s="60">
        <v>4960867008396</v>
      </c>
      <c r="H48" s="13">
        <v>0.08</v>
      </c>
      <c r="I48" s="10">
        <v>30</v>
      </c>
      <c r="J48" s="61">
        <v>240</v>
      </c>
      <c r="K48" s="9">
        <f t="shared" si="7"/>
        <v>259.20000000000005</v>
      </c>
      <c r="L48" s="9"/>
      <c r="M48" s="9">
        <f t="shared" si="0"/>
        <v>7776.0000000000018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58" t="s">
        <v>300</v>
      </c>
      <c r="D49" s="8"/>
      <c r="E49" s="8" t="s">
        <v>308</v>
      </c>
      <c r="F49" s="62" t="s">
        <v>330</v>
      </c>
      <c r="G49" s="60">
        <v>4960867008228</v>
      </c>
      <c r="H49" s="13">
        <v>0.08</v>
      </c>
      <c r="I49" s="10">
        <v>60</v>
      </c>
      <c r="J49" s="61">
        <v>300</v>
      </c>
      <c r="K49" s="9"/>
      <c r="L49" s="9"/>
      <c r="M49" s="9">
        <f t="shared" si="0"/>
        <v>0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58" t="s">
        <v>96</v>
      </c>
      <c r="D50" s="8"/>
      <c r="E50" s="8" t="s">
        <v>308</v>
      </c>
      <c r="F50" s="62" t="s">
        <v>331</v>
      </c>
      <c r="G50" s="60">
        <v>4939560521600</v>
      </c>
      <c r="H50" s="13">
        <v>0.1</v>
      </c>
      <c r="I50" s="10">
        <v>24</v>
      </c>
      <c r="J50" s="61">
        <v>360</v>
      </c>
      <c r="K50" s="9">
        <f t="shared" ref="K50:K73" si="8">J50*110%</f>
        <v>396.00000000000006</v>
      </c>
      <c r="L50" s="9"/>
      <c r="M50" s="9">
        <f t="shared" si="0"/>
        <v>9504.0000000000018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58" t="s">
        <v>304</v>
      </c>
      <c r="D51" s="8"/>
      <c r="E51" s="8" t="s">
        <v>308</v>
      </c>
      <c r="F51" s="62" t="s">
        <v>332</v>
      </c>
      <c r="G51" s="60">
        <v>4939560521648</v>
      </c>
      <c r="H51" s="13">
        <v>0.1</v>
      </c>
      <c r="I51" s="10">
        <v>16</v>
      </c>
      <c r="J51" s="61">
        <v>450</v>
      </c>
      <c r="K51" s="9">
        <f t="shared" si="8"/>
        <v>495.00000000000006</v>
      </c>
      <c r="L51" s="9"/>
      <c r="M51" s="9">
        <f t="shared" si="0"/>
        <v>7920.0000000000009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58" t="s">
        <v>304</v>
      </c>
      <c r="D52" s="8"/>
      <c r="E52" s="8" t="s">
        <v>308</v>
      </c>
      <c r="F52" s="62" t="s">
        <v>333</v>
      </c>
      <c r="G52" s="60">
        <v>4939560521617</v>
      </c>
      <c r="H52" s="13">
        <v>0.1</v>
      </c>
      <c r="I52" s="10">
        <v>12</v>
      </c>
      <c r="J52" s="61">
        <v>540</v>
      </c>
      <c r="K52" s="9">
        <f t="shared" si="8"/>
        <v>594</v>
      </c>
      <c r="L52" s="9"/>
      <c r="M52" s="9">
        <f t="shared" si="0"/>
        <v>7128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58" t="s">
        <v>304</v>
      </c>
      <c r="D53" s="8"/>
      <c r="E53" s="8" t="s">
        <v>308</v>
      </c>
      <c r="F53" s="62" t="s">
        <v>334</v>
      </c>
      <c r="G53" s="60">
        <v>2000000068152</v>
      </c>
      <c r="H53" s="13">
        <v>0.1</v>
      </c>
      <c r="I53" s="10">
        <v>200</v>
      </c>
      <c r="J53" s="61">
        <v>30</v>
      </c>
      <c r="K53" s="9">
        <f t="shared" si="8"/>
        <v>33</v>
      </c>
      <c r="L53" s="9"/>
      <c r="M53" s="9">
        <f t="shared" si="0"/>
        <v>6600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58" t="s">
        <v>303</v>
      </c>
      <c r="D54" s="8"/>
      <c r="E54" s="8" t="s">
        <v>308</v>
      </c>
      <c r="F54" s="62" t="s">
        <v>336</v>
      </c>
      <c r="G54" s="60">
        <v>4580419310397</v>
      </c>
      <c r="H54" s="13">
        <v>0.1</v>
      </c>
      <c r="I54" s="10">
        <v>24</v>
      </c>
      <c r="J54" s="61">
        <v>330</v>
      </c>
      <c r="K54" s="9">
        <f t="shared" si="8"/>
        <v>363.00000000000006</v>
      </c>
      <c r="L54" s="9"/>
      <c r="M54" s="9">
        <f t="shared" si="0"/>
        <v>8712.0000000000018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18.75" x14ac:dyDescent="0.4">
      <c r="B55" s="8"/>
      <c r="C55" s="58" t="s">
        <v>96</v>
      </c>
      <c r="D55" s="8"/>
      <c r="E55" s="8" t="s">
        <v>308</v>
      </c>
      <c r="F55" s="62" t="s">
        <v>337</v>
      </c>
      <c r="G55" s="60">
        <v>4904705164646</v>
      </c>
      <c r="H55" s="13">
        <v>0.1</v>
      </c>
      <c r="I55" s="10">
        <v>240</v>
      </c>
      <c r="J55" s="61">
        <v>12</v>
      </c>
      <c r="K55" s="9">
        <f t="shared" si="8"/>
        <v>13.200000000000001</v>
      </c>
      <c r="L55" s="9"/>
      <c r="M55" s="9">
        <f t="shared" si="0"/>
        <v>3168.0000000000005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ht="18.75" x14ac:dyDescent="0.4">
      <c r="B56" s="8"/>
      <c r="C56" s="58" t="s">
        <v>304</v>
      </c>
      <c r="D56" s="8"/>
      <c r="E56" s="8" t="s">
        <v>308</v>
      </c>
      <c r="F56" s="62" t="s">
        <v>338</v>
      </c>
      <c r="G56" s="60">
        <v>4510482229425</v>
      </c>
      <c r="H56" s="13">
        <v>0.1</v>
      </c>
      <c r="I56" s="10">
        <v>24</v>
      </c>
      <c r="J56" s="61">
        <v>80</v>
      </c>
      <c r="K56" s="9">
        <f t="shared" si="8"/>
        <v>88</v>
      </c>
      <c r="L56" s="9"/>
      <c r="M56" s="9">
        <f t="shared" si="0"/>
        <v>2112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ht="18.75" x14ac:dyDescent="0.4">
      <c r="B57" s="8"/>
      <c r="C57" s="58" t="s">
        <v>307</v>
      </c>
      <c r="D57" s="8"/>
      <c r="E57" s="8" t="s">
        <v>308</v>
      </c>
      <c r="F57" s="62" t="s">
        <v>339</v>
      </c>
      <c r="G57" s="60">
        <v>4573135361057</v>
      </c>
      <c r="H57" s="13">
        <v>0.1</v>
      </c>
      <c r="I57" s="10">
        <v>48</v>
      </c>
      <c r="J57" s="61">
        <v>80</v>
      </c>
      <c r="K57" s="9">
        <f t="shared" si="8"/>
        <v>88</v>
      </c>
      <c r="L57" s="9"/>
      <c r="M57" s="9">
        <f t="shared" si="0"/>
        <v>4224</v>
      </c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ht="18.75" x14ac:dyDescent="0.4">
      <c r="B58" s="8"/>
      <c r="C58" s="58" t="s">
        <v>304</v>
      </c>
      <c r="D58" s="8"/>
      <c r="E58" s="8" t="s">
        <v>308</v>
      </c>
      <c r="F58" s="62" t="s">
        <v>342</v>
      </c>
      <c r="G58" s="60">
        <v>4580487007922</v>
      </c>
      <c r="H58" s="13">
        <v>0.1</v>
      </c>
      <c r="I58" s="10">
        <v>6</v>
      </c>
      <c r="J58" s="61">
        <v>850</v>
      </c>
      <c r="K58" s="9">
        <f t="shared" si="8"/>
        <v>935.00000000000011</v>
      </c>
      <c r="L58" s="9"/>
      <c r="M58" s="9">
        <f t="shared" si="0"/>
        <v>5610.0000000000009</v>
      </c>
      <c r="N58" s="10"/>
      <c r="O58" s="10" t="str">
        <f t="shared" si="1"/>
        <v/>
      </c>
      <c r="P58" s="9" t="str">
        <f t="shared" si="2"/>
        <v/>
      </c>
      <c r="Q58" s="9" t="str">
        <f t="shared" si="3"/>
        <v/>
      </c>
      <c r="R58" s="9" t="str">
        <f t="shared" si="4"/>
        <v/>
      </c>
    </row>
    <row r="59" spans="2:18" ht="18.75" x14ac:dyDescent="0.4">
      <c r="B59" s="8"/>
      <c r="C59" s="58" t="s">
        <v>304</v>
      </c>
      <c r="D59" s="8"/>
      <c r="E59" s="8" t="s">
        <v>308</v>
      </c>
      <c r="F59" s="62" t="s">
        <v>343</v>
      </c>
      <c r="G59" s="60"/>
      <c r="H59" s="13">
        <v>0.1</v>
      </c>
      <c r="I59" s="10">
        <v>384</v>
      </c>
      <c r="J59" s="61">
        <v>9</v>
      </c>
      <c r="K59" s="9">
        <f t="shared" si="8"/>
        <v>9.9</v>
      </c>
      <c r="L59" s="9"/>
      <c r="M59" s="9">
        <f t="shared" si="0"/>
        <v>3801.6000000000004</v>
      </c>
      <c r="N59" s="10"/>
      <c r="O59" s="10" t="str">
        <f t="shared" si="1"/>
        <v/>
      </c>
      <c r="P59" s="9" t="str">
        <f t="shared" si="2"/>
        <v/>
      </c>
      <c r="Q59" s="9" t="str">
        <f t="shared" si="3"/>
        <v/>
      </c>
      <c r="R59" s="9" t="str">
        <f t="shared" si="4"/>
        <v/>
      </c>
    </row>
    <row r="60" spans="2:18" ht="18.75" x14ac:dyDescent="0.4">
      <c r="B60" s="8"/>
      <c r="C60" s="58" t="s">
        <v>307</v>
      </c>
      <c r="D60" s="8"/>
      <c r="E60" s="8" t="s">
        <v>308</v>
      </c>
      <c r="F60" s="62" t="s">
        <v>344</v>
      </c>
      <c r="G60" s="60"/>
      <c r="H60" s="13">
        <v>0.1</v>
      </c>
      <c r="I60" s="10">
        <v>108</v>
      </c>
      <c r="J60" s="61">
        <v>140</v>
      </c>
      <c r="K60" s="9">
        <f t="shared" si="8"/>
        <v>154</v>
      </c>
      <c r="L60" s="9"/>
      <c r="M60" s="9">
        <f t="shared" si="0"/>
        <v>16632</v>
      </c>
      <c r="N60" s="10"/>
      <c r="O60" s="10" t="str">
        <f t="shared" si="1"/>
        <v/>
      </c>
      <c r="P60" s="9" t="str">
        <f t="shared" si="2"/>
        <v/>
      </c>
      <c r="Q60" s="9" t="str">
        <f t="shared" si="3"/>
        <v/>
      </c>
      <c r="R60" s="9" t="str">
        <f t="shared" si="4"/>
        <v/>
      </c>
    </row>
    <row r="61" spans="2:18" ht="37.5" x14ac:dyDescent="0.4">
      <c r="B61" s="8"/>
      <c r="C61" s="58" t="s">
        <v>303</v>
      </c>
      <c r="D61" s="8"/>
      <c r="E61" s="8" t="s">
        <v>308</v>
      </c>
      <c r="F61" s="63" t="s">
        <v>348</v>
      </c>
      <c r="G61" s="60"/>
      <c r="H61" s="13">
        <v>0.1</v>
      </c>
      <c r="I61" s="10">
        <v>150</v>
      </c>
      <c r="J61" s="61">
        <v>145</v>
      </c>
      <c r="K61" s="9">
        <f t="shared" si="8"/>
        <v>159.5</v>
      </c>
      <c r="L61" s="9"/>
      <c r="M61" s="9">
        <f t="shared" si="0"/>
        <v>23925</v>
      </c>
      <c r="N61" s="10"/>
      <c r="O61" s="10" t="str">
        <f t="shared" si="1"/>
        <v/>
      </c>
      <c r="P61" s="9" t="str">
        <f t="shared" si="2"/>
        <v/>
      </c>
      <c r="Q61" s="9" t="str">
        <f t="shared" si="3"/>
        <v/>
      </c>
      <c r="R61" s="9" t="str">
        <f t="shared" si="4"/>
        <v/>
      </c>
    </row>
    <row r="62" spans="2:18" ht="18.75" x14ac:dyDescent="0.4">
      <c r="B62" s="8"/>
      <c r="C62" s="58" t="s">
        <v>303</v>
      </c>
      <c r="D62" s="8"/>
      <c r="E62" s="8" t="s">
        <v>308</v>
      </c>
      <c r="F62" s="62" t="s">
        <v>345</v>
      </c>
      <c r="G62" s="60"/>
      <c r="H62" s="13">
        <v>0.1</v>
      </c>
      <c r="I62" s="10">
        <v>60</v>
      </c>
      <c r="J62" s="61">
        <v>145</v>
      </c>
      <c r="K62" s="9">
        <f t="shared" si="8"/>
        <v>159.5</v>
      </c>
      <c r="L62" s="9"/>
      <c r="M62" s="9">
        <f t="shared" si="0"/>
        <v>9570</v>
      </c>
      <c r="N62" s="10"/>
      <c r="O62" s="10" t="str">
        <f t="shared" ref="O62:O75" si="9">IF(N62="","",I62-N62)</f>
        <v/>
      </c>
      <c r="P62" s="9" t="str">
        <f t="shared" ref="P62:P75" si="10">IFERROR(O62*J62,"")</f>
        <v/>
      </c>
      <c r="Q62" s="9" t="str">
        <f t="shared" ref="Q62:Q75" si="11">IFERROR(P62*O62,"")</f>
        <v/>
      </c>
      <c r="R62" s="9" t="str">
        <f t="shared" ref="R62:R75" si="12">IFERROR(Q62-P62,"")</f>
        <v/>
      </c>
    </row>
    <row r="63" spans="2:18" ht="18.75" x14ac:dyDescent="0.4">
      <c r="B63" s="8"/>
      <c r="C63" s="58" t="s">
        <v>96</v>
      </c>
      <c r="D63" s="8"/>
      <c r="E63" s="8" t="s">
        <v>308</v>
      </c>
      <c r="F63" s="62" t="s">
        <v>346</v>
      </c>
      <c r="G63" s="60">
        <v>4560437940714</v>
      </c>
      <c r="H63" s="13">
        <v>0.1</v>
      </c>
      <c r="I63" s="10">
        <v>96</v>
      </c>
      <c r="J63" s="61">
        <v>150</v>
      </c>
      <c r="K63" s="9">
        <f t="shared" si="8"/>
        <v>165</v>
      </c>
      <c r="L63" s="9"/>
      <c r="M63" s="9">
        <f t="shared" si="0"/>
        <v>15840</v>
      </c>
      <c r="N63" s="10"/>
      <c r="O63" s="10" t="str">
        <f t="shared" si="9"/>
        <v/>
      </c>
      <c r="P63" s="9" t="str">
        <f t="shared" si="10"/>
        <v/>
      </c>
      <c r="Q63" s="9" t="str">
        <f t="shared" si="11"/>
        <v/>
      </c>
      <c r="R63" s="9" t="str">
        <f t="shared" si="12"/>
        <v/>
      </c>
    </row>
    <row r="64" spans="2:18" x14ac:dyDescent="0.4">
      <c r="B64" s="56">
        <v>44491</v>
      </c>
      <c r="C64" s="8"/>
      <c r="D64" s="8"/>
      <c r="E64" s="8" t="s">
        <v>378</v>
      </c>
      <c r="F64" s="8" t="s">
        <v>379</v>
      </c>
      <c r="G64" s="19" t="s">
        <v>380</v>
      </c>
      <c r="H64" s="13">
        <v>0.1</v>
      </c>
      <c r="I64" s="10">
        <v>20</v>
      </c>
      <c r="J64" s="9">
        <v>2200</v>
      </c>
      <c r="K64" s="9">
        <f t="shared" si="8"/>
        <v>2420</v>
      </c>
      <c r="L64" s="9"/>
      <c r="M64" s="9">
        <f t="shared" si="0"/>
        <v>48400</v>
      </c>
      <c r="N64" s="10"/>
      <c r="O64" s="10" t="str">
        <f t="shared" si="9"/>
        <v/>
      </c>
      <c r="P64" s="9" t="str">
        <f t="shared" si="10"/>
        <v/>
      </c>
      <c r="Q64" s="9" t="str">
        <f t="shared" si="11"/>
        <v/>
      </c>
      <c r="R64" s="9" t="str">
        <f t="shared" si="12"/>
        <v/>
      </c>
    </row>
    <row r="65" spans="2:18" x14ac:dyDescent="0.4">
      <c r="B65" s="56">
        <v>44494</v>
      </c>
      <c r="C65" s="8"/>
      <c r="D65" s="8"/>
      <c r="E65" s="8" t="s">
        <v>381</v>
      </c>
      <c r="F65" s="8" t="s">
        <v>382</v>
      </c>
      <c r="G65" s="19"/>
      <c r="H65" s="13">
        <v>0.1</v>
      </c>
      <c r="I65" s="10">
        <v>10</v>
      </c>
      <c r="J65" s="9">
        <v>1032</v>
      </c>
      <c r="K65" s="9">
        <f t="shared" si="8"/>
        <v>1135.2</v>
      </c>
      <c r="L65" s="9"/>
      <c r="M65" s="9">
        <f t="shared" si="0"/>
        <v>11352</v>
      </c>
      <c r="N65" s="10"/>
      <c r="O65" s="10" t="str">
        <f t="shared" si="9"/>
        <v/>
      </c>
      <c r="P65" s="9" t="str">
        <f t="shared" si="10"/>
        <v/>
      </c>
      <c r="Q65" s="9" t="str">
        <f t="shared" si="11"/>
        <v/>
      </c>
      <c r="R65" s="9" t="str">
        <f t="shared" si="12"/>
        <v/>
      </c>
    </row>
    <row r="66" spans="2:18" x14ac:dyDescent="0.4">
      <c r="B66" s="56">
        <v>44494</v>
      </c>
      <c r="C66" s="8"/>
      <c r="D66" s="8"/>
      <c r="E66" s="8" t="s">
        <v>381</v>
      </c>
      <c r="F66" s="8" t="s">
        <v>383</v>
      </c>
      <c r="G66" s="19"/>
      <c r="H66" s="13">
        <v>0.1</v>
      </c>
      <c r="I66" s="10">
        <v>10</v>
      </c>
      <c r="J66" s="9">
        <v>1152</v>
      </c>
      <c r="K66" s="9">
        <f t="shared" si="8"/>
        <v>1267.2</v>
      </c>
      <c r="L66" s="9"/>
      <c r="M66" s="9">
        <f t="shared" si="0"/>
        <v>12672</v>
      </c>
      <c r="N66" s="10"/>
      <c r="O66" s="10" t="str">
        <f t="shared" si="9"/>
        <v/>
      </c>
      <c r="P66" s="9" t="str">
        <f t="shared" si="10"/>
        <v/>
      </c>
      <c r="Q66" s="9" t="str">
        <f t="shared" si="11"/>
        <v/>
      </c>
      <c r="R66" s="9" t="str">
        <f t="shared" si="12"/>
        <v/>
      </c>
    </row>
    <row r="67" spans="2:18" x14ac:dyDescent="0.4">
      <c r="B67" s="56">
        <v>44494</v>
      </c>
      <c r="C67" s="8"/>
      <c r="D67" s="8"/>
      <c r="E67" s="8" t="s">
        <v>381</v>
      </c>
      <c r="F67" s="8" t="s">
        <v>384</v>
      </c>
      <c r="G67" s="19"/>
      <c r="H67" s="13">
        <v>0.1</v>
      </c>
      <c r="I67" s="10">
        <v>10</v>
      </c>
      <c r="J67" s="9">
        <v>1032</v>
      </c>
      <c r="K67" s="9">
        <f t="shared" si="8"/>
        <v>1135.2</v>
      </c>
      <c r="L67" s="9"/>
      <c r="M67" s="9">
        <f t="shared" si="0"/>
        <v>11352</v>
      </c>
      <c r="N67" s="10"/>
      <c r="O67" s="10" t="str">
        <f t="shared" si="9"/>
        <v/>
      </c>
      <c r="P67" s="9" t="str">
        <f t="shared" si="10"/>
        <v/>
      </c>
      <c r="Q67" s="9" t="str">
        <f t="shared" si="11"/>
        <v/>
      </c>
      <c r="R67" s="9" t="str">
        <f t="shared" si="12"/>
        <v/>
      </c>
    </row>
    <row r="68" spans="2:18" x14ac:dyDescent="0.4">
      <c r="B68" s="56">
        <v>44494</v>
      </c>
      <c r="C68" s="8"/>
      <c r="D68" s="8"/>
      <c r="E68" s="8" t="s">
        <v>381</v>
      </c>
      <c r="F68" s="8" t="s">
        <v>385</v>
      </c>
      <c r="G68" s="19"/>
      <c r="H68" s="13">
        <v>0.1</v>
      </c>
      <c r="I68" s="10">
        <v>10</v>
      </c>
      <c r="J68" s="9">
        <v>2392</v>
      </c>
      <c r="K68" s="9">
        <f t="shared" si="8"/>
        <v>2631.2000000000003</v>
      </c>
      <c r="L68" s="9"/>
      <c r="M68" s="9">
        <f t="shared" si="0"/>
        <v>26312.000000000004</v>
      </c>
      <c r="N68" s="10"/>
      <c r="O68" s="10" t="str">
        <f t="shared" si="9"/>
        <v/>
      </c>
      <c r="P68" s="9" t="str">
        <f t="shared" si="10"/>
        <v/>
      </c>
      <c r="Q68" s="9" t="str">
        <f t="shared" si="11"/>
        <v/>
      </c>
      <c r="R68" s="9" t="str">
        <f t="shared" si="12"/>
        <v/>
      </c>
    </row>
    <row r="69" spans="2:18" x14ac:dyDescent="0.4">
      <c r="B69" s="56">
        <v>44494</v>
      </c>
      <c r="C69" s="8"/>
      <c r="D69" s="8"/>
      <c r="E69" s="8" t="s">
        <v>381</v>
      </c>
      <c r="F69" s="8" t="s">
        <v>390</v>
      </c>
      <c r="G69" s="19"/>
      <c r="H69" s="13">
        <v>0.1</v>
      </c>
      <c r="I69" s="10">
        <v>10</v>
      </c>
      <c r="J69" s="9">
        <v>992</v>
      </c>
      <c r="K69" s="9">
        <f t="shared" si="8"/>
        <v>1091.2</v>
      </c>
      <c r="L69" s="9"/>
      <c r="M69" s="9">
        <f t="shared" si="0"/>
        <v>10912</v>
      </c>
      <c r="N69" s="10"/>
      <c r="O69" s="10" t="str">
        <f t="shared" si="9"/>
        <v/>
      </c>
      <c r="P69" s="9" t="str">
        <f t="shared" si="10"/>
        <v/>
      </c>
      <c r="Q69" s="9" t="str">
        <f t="shared" si="11"/>
        <v/>
      </c>
      <c r="R69" s="9" t="str">
        <f t="shared" si="12"/>
        <v/>
      </c>
    </row>
    <row r="70" spans="2:18" x14ac:dyDescent="0.4">
      <c r="B70" s="56">
        <v>44494</v>
      </c>
      <c r="C70" s="8"/>
      <c r="D70" s="8"/>
      <c r="E70" s="8" t="s">
        <v>381</v>
      </c>
      <c r="F70" s="8" t="s">
        <v>386</v>
      </c>
      <c r="G70" s="19"/>
      <c r="H70" s="13">
        <v>0.1</v>
      </c>
      <c r="I70" s="10">
        <v>10</v>
      </c>
      <c r="J70" s="9">
        <v>272</v>
      </c>
      <c r="K70" s="9">
        <f t="shared" si="8"/>
        <v>299.20000000000005</v>
      </c>
      <c r="L70" s="9"/>
      <c r="M70" s="9">
        <f t="shared" si="0"/>
        <v>2992.0000000000005</v>
      </c>
      <c r="N70" s="10"/>
      <c r="O70" s="10" t="str">
        <f t="shared" si="9"/>
        <v/>
      </c>
      <c r="P70" s="9" t="str">
        <f t="shared" si="10"/>
        <v/>
      </c>
      <c r="Q70" s="9" t="str">
        <f t="shared" si="11"/>
        <v/>
      </c>
      <c r="R70" s="9" t="str">
        <f t="shared" si="12"/>
        <v/>
      </c>
    </row>
    <row r="71" spans="2:18" x14ac:dyDescent="0.4">
      <c r="B71" s="56">
        <v>44494</v>
      </c>
      <c r="C71" s="8"/>
      <c r="D71" s="8"/>
      <c r="E71" s="8" t="s">
        <v>381</v>
      </c>
      <c r="F71" s="8" t="s">
        <v>387</v>
      </c>
      <c r="G71" s="19"/>
      <c r="H71" s="13">
        <v>0.1</v>
      </c>
      <c r="I71" s="10">
        <v>10</v>
      </c>
      <c r="J71" s="9">
        <v>580</v>
      </c>
      <c r="K71" s="9">
        <f t="shared" si="8"/>
        <v>638</v>
      </c>
      <c r="L71" s="9"/>
      <c r="M71" s="9">
        <f t="shared" si="0"/>
        <v>6380</v>
      </c>
      <c r="N71" s="10"/>
      <c r="O71" s="10" t="str">
        <f t="shared" si="9"/>
        <v/>
      </c>
      <c r="P71" s="9" t="str">
        <f t="shared" si="10"/>
        <v/>
      </c>
      <c r="Q71" s="9" t="str">
        <f t="shared" si="11"/>
        <v/>
      </c>
      <c r="R71" s="9" t="str">
        <f t="shared" si="12"/>
        <v/>
      </c>
    </row>
    <row r="72" spans="2:18" x14ac:dyDescent="0.4">
      <c r="B72" s="56">
        <v>44494</v>
      </c>
      <c r="C72" s="8"/>
      <c r="D72" s="8"/>
      <c r="E72" s="8" t="s">
        <v>381</v>
      </c>
      <c r="F72" s="8" t="s">
        <v>388</v>
      </c>
      <c r="G72" s="19"/>
      <c r="H72" s="13">
        <v>0.1</v>
      </c>
      <c r="I72" s="10">
        <v>10</v>
      </c>
      <c r="J72" s="9">
        <v>1592</v>
      </c>
      <c r="K72" s="9">
        <f t="shared" si="8"/>
        <v>1751.2</v>
      </c>
      <c r="L72" s="9"/>
      <c r="M72" s="9">
        <f t="shared" si="0"/>
        <v>17512</v>
      </c>
      <c r="N72" s="10"/>
      <c r="O72" s="10" t="str">
        <f t="shared" si="9"/>
        <v/>
      </c>
      <c r="P72" s="9" t="str">
        <f t="shared" si="10"/>
        <v/>
      </c>
      <c r="Q72" s="9" t="str">
        <f t="shared" si="11"/>
        <v/>
      </c>
      <c r="R72" s="9" t="str">
        <f t="shared" si="12"/>
        <v/>
      </c>
    </row>
    <row r="73" spans="2:18" x14ac:dyDescent="0.4">
      <c r="B73" s="56">
        <v>44494</v>
      </c>
      <c r="C73" s="8"/>
      <c r="D73" s="8"/>
      <c r="E73" s="8" t="s">
        <v>381</v>
      </c>
      <c r="F73" s="8" t="s">
        <v>389</v>
      </c>
      <c r="G73" s="19"/>
      <c r="H73" s="13">
        <v>0.1</v>
      </c>
      <c r="I73" s="10">
        <v>10</v>
      </c>
      <c r="J73" s="9">
        <v>5120</v>
      </c>
      <c r="K73" s="9">
        <f t="shared" si="8"/>
        <v>5632</v>
      </c>
      <c r="L73" s="9"/>
      <c r="M73" s="9">
        <f t="shared" si="0"/>
        <v>56320</v>
      </c>
      <c r="N73" s="10"/>
      <c r="O73" s="10" t="str">
        <f t="shared" si="9"/>
        <v/>
      </c>
      <c r="P73" s="9" t="str">
        <f t="shared" si="10"/>
        <v/>
      </c>
      <c r="Q73" s="9" t="str">
        <f t="shared" si="11"/>
        <v/>
      </c>
      <c r="R73" s="9" t="str">
        <f t="shared" si="12"/>
        <v/>
      </c>
    </row>
    <row r="74" spans="2:18" x14ac:dyDescent="0.4">
      <c r="B74" s="56">
        <v>44495</v>
      </c>
      <c r="C74" s="8"/>
      <c r="D74" s="8"/>
      <c r="E74" s="8" t="s">
        <v>391</v>
      </c>
      <c r="F74" s="8" t="s">
        <v>392</v>
      </c>
      <c r="G74" s="19"/>
      <c r="H74" s="13">
        <v>0.1</v>
      </c>
      <c r="I74" s="10">
        <v>49</v>
      </c>
      <c r="J74" s="6" t="s">
        <v>393</v>
      </c>
      <c r="K74" s="9">
        <f>M74</f>
        <v>91158</v>
      </c>
      <c r="L74" s="9"/>
      <c r="M74" s="9">
        <v>91158</v>
      </c>
      <c r="N74" s="10"/>
      <c r="O74" s="10" t="str">
        <f t="shared" si="9"/>
        <v/>
      </c>
      <c r="P74" s="9" t="str">
        <f t="shared" si="10"/>
        <v/>
      </c>
      <c r="Q74" s="9" t="str">
        <f t="shared" si="11"/>
        <v/>
      </c>
      <c r="R74" s="9" t="str">
        <f t="shared" si="12"/>
        <v/>
      </c>
    </row>
    <row r="75" spans="2:18" x14ac:dyDescent="0.4">
      <c r="B75" s="56">
        <v>44495</v>
      </c>
      <c r="C75" s="8"/>
      <c r="D75" s="8"/>
      <c r="E75" s="8" t="s">
        <v>394</v>
      </c>
      <c r="F75" s="8" t="s">
        <v>395</v>
      </c>
      <c r="G75" s="19"/>
      <c r="H75" s="13">
        <v>0.1</v>
      </c>
      <c r="I75" s="10">
        <v>6</v>
      </c>
      <c r="J75" s="6" t="s">
        <v>393</v>
      </c>
      <c r="K75" s="9">
        <f>M75</f>
        <v>16195</v>
      </c>
      <c r="L75" s="9"/>
      <c r="M75" s="9">
        <v>16195</v>
      </c>
      <c r="N75" s="10"/>
      <c r="O75" s="10" t="str">
        <f t="shared" si="9"/>
        <v/>
      </c>
      <c r="P75" s="9" t="str">
        <f t="shared" si="10"/>
        <v/>
      </c>
      <c r="Q75" s="9" t="str">
        <f t="shared" si="11"/>
        <v/>
      </c>
      <c r="R75" s="9" t="str">
        <f t="shared" si="12"/>
        <v/>
      </c>
    </row>
    <row r="76" spans="2:18" x14ac:dyDescent="0.4">
      <c r="B76" s="56">
        <v>44495</v>
      </c>
      <c r="C76" s="8"/>
      <c r="D76" s="8"/>
      <c r="E76" s="8" t="s">
        <v>396</v>
      </c>
      <c r="F76" s="8" t="s">
        <v>307</v>
      </c>
      <c r="G76" s="19"/>
      <c r="H76" s="13">
        <v>0.1</v>
      </c>
      <c r="I76" s="10">
        <v>79</v>
      </c>
      <c r="J76" s="6" t="s">
        <v>393</v>
      </c>
      <c r="K76" s="9">
        <f>M76</f>
        <v>42409</v>
      </c>
      <c r="L76" s="9"/>
      <c r="M76" s="9">
        <v>42409</v>
      </c>
      <c r="N76" s="10"/>
      <c r="O76" s="10" t="str">
        <f t="shared" ref="O76:O124" si="13">IF(N76="","",I76-N76)</f>
        <v/>
      </c>
      <c r="P76" s="9" t="str">
        <f t="shared" ref="P76:P124" si="14">IFERROR(O76*J76,"")</f>
        <v/>
      </c>
      <c r="Q76" s="9" t="str">
        <f t="shared" ref="Q76:Q124" si="15">IFERROR(P76*O76,"")</f>
        <v/>
      </c>
      <c r="R76" s="9" t="str">
        <f t="shared" ref="R76:R124" si="16">IFERROR(Q76-P76,"")</f>
        <v/>
      </c>
    </row>
    <row r="77" spans="2:18" x14ac:dyDescent="0.4">
      <c r="B77" s="56">
        <v>44495</v>
      </c>
      <c r="C77" s="8"/>
      <c r="D77" s="8"/>
      <c r="E77" s="8" t="s">
        <v>397</v>
      </c>
      <c r="F77" s="8" t="s">
        <v>392</v>
      </c>
      <c r="G77" s="19"/>
      <c r="H77" s="13">
        <v>0.1</v>
      </c>
      <c r="I77" s="10">
        <v>22</v>
      </c>
      <c r="J77" s="6" t="s">
        <v>393</v>
      </c>
      <c r="K77" s="9">
        <f>M77</f>
        <v>95030</v>
      </c>
      <c r="L77" s="9"/>
      <c r="M77" s="9">
        <v>95030</v>
      </c>
      <c r="N77" s="10"/>
      <c r="O77" s="10" t="str">
        <f t="shared" si="13"/>
        <v/>
      </c>
      <c r="P77" s="9" t="str">
        <f t="shared" si="14"/>
        <v/>
      </c>
      <c r="Q77" s="9" t="str">
        <f t="shared" si="15"/>
        <v/>
      </c>
      <c r="R77" s="9" t="str">
        <f t="shared" si="16"/>
        <v/>
      </c>
    </row>
    <row r="78" spans="2:18" x14ac:dyDescent="0.4">
      <c r="B78" s="56">
        <v>44497</v>
      </c>
      <c r="C78" s="8"/>
      <c r="D78" s="8"/>
      <c r="E78" s="8" t="s">
        <v>398</v>
      </c>
      <c r="F78" s="8" t="s">
        <v>399</v>
      </c>
      <c r="G78" s="19"/>
      <c r="H78" s="13">
        <v>0.1</v>
      </c>
      <c r="I78" s="10">
        <v>86</v>
      </c>
      <c r="J78" s="6" t="s">
        <v>393</v>
      </c>
      <c r="K78" s="9">
        <f>M78</f>
        <v>198660</v>
      </c>
      <c r="L78" s="9"/>
      <c r="M78" s="9">
        <v>198660</v>
      </c>
      <c r="N78" s="10"/>
      <c r="O78" s="10" t="str">
        <f t="shared" si="13"/>
        <v/>
      </c>
      <c r="P78" s="9" t="str">
        <f t="shared" si="14"/>
        <v/>
      </c>
      <c r="Q78" s="9" t="str">
        <f t="shared" si="15"/>
        <v/>
      </c>
      <c r="R78" s="9" t="str">
        <f t="shared" si="16"/>
        <v/>
      </c>
    </row>
    <row r="79" spans="2:18" x14ac:dyDescent="0.4">
      <c r="B79" s="56">
        <v>44497</v>
      </c>
      <c r="C79" s="8"/>
      <c r="D79" s="8"/>
      <c r="E79" s="8" t="s">
        <v>400</v>
      </c>
      <c r="F79" s="8" t="s">
        <v>401</v>
      </c>
      <c r="G79" s="19"/>
      <c r="H79" s="13">
        <v>0.1</v>
      </c>
      <c r="I79" s="10">
        <v>80</v>
      </c>
      <c r="J79" s="9">
        <v>80</v>
      </c>
      <c r="K79" s="9">
        <f t="shared" ref="K79" si="17">J79*110%</f>
        <v>88</v>
      </c>
      <c r="L79" s="9"/>
      <c r="M79" s="9">
        <f t="shared" ref="M79:M87" si="18">K79*I79</f>
        <v>7040</v>
      </c>
      <c r="N79" s="10"/>
      <c r="O79" s="10" t="str">
        <f t="shared" si="13"/>
        <v/>
      </c>
      <c r="P79" s="9" t="str">
        <f t="shared" si="14"/>
        <v/>
      </c>
      <c r="Q79" s="9" t="str">
        <f t="shared" si="15"/>
        <v/>
      </c>
      <c r="R79" s="9" t="str">
        <f t="shared" si="16"/>
        <v/>
      </c>
    </row>
    <row r="80" spans="2:18" x14ac:dyDescent="0.4">
      <c r="B80" s="56">
        <v>44497</v>
      </c>
      <c r="C80" s="8"/>
      <c r="D80" s="8"/>
      <c r="E80" s="8" t="s">
        <v>400</v>
      </c>
      <c r="F80" s="8" t="s">
        <v>402</v>
      </c>
      <c r="G80" s="19"/>
      <c r="H80" s="13">
        <v>0.08</v>
      </c>
      <c r="I80" s="10">
        <v>1000</v>
      </c>
      <c r="J80" s="57">
        <v>12.5</v>
      </c>
      <c r="K80" s="9">
        <f>J80*108%</f>
        <v>13.5</v>
      </c>
      <c r="L80" s="9"/>
      <c r="M80" s="9">
        <f t="shared" si="18"/>
        <v>13500</v>
      </c>
      <c r="N80" s="10"/>
      <c r="O80" s="10" t="str">
        <f t="shared" si="13"/>
        <v/>
      </c>
      <c r="P80" s="9" t="str">
        <f t="shared" si="14"/>
        <v/>
      </c>
      <c r="Q80" s="9" t="str">
        <f t="shared" si="15"/>
        <v/>
      </c>
      <c r="R80" s="9" t="str">
        <f t="shared" si="16"/>
        <v/>
      </c>
    </row>
    <row r="81" spans="2:18" x14ac:dyDescent="0.4">
      <c r="B81" s="56">
        <v>44497</v>
      </c>
      <c r="C81" s="8"/>
      <c r="D81" s="8"/>
      <c r="E81" s="8" t="s">
        <v>400</v>
      </c>
      <c r="F81" s="8" t="s">
        <v>403</v>
      </c>
      <c r="G81" s="19"/>
      <c r="H81" s="13">
        <v>0.08</v>
      </c>
      <c r="I81" s="10">
        <v>5</v>
      </c>
      <c r="J81" s="9">
        <v>800</v>
      </c>
      <c r="K81" s="9">
        <f>J81*108%</f>
        <v>864</v>
      </c>
      <c r="L81" s="9"/>
      <c r="M81" s="9">
        <f t="shared" si="18"/>
        <v>4320</v>
      </c>
      <c r="N81" s="10"/>
      <c r="O81" s="10" t="str">
        <f t="shared" si="13"/>
        <v/>
      </c>
      <c r="P81" s="9" t="str">
        <f t="shared" si="14"/>
        <v/>
      </c>
      <c r="Q81" s="9" t="str">
        <f t="shared" si="15"/>
        <v/>
      </c>
      <c r="R81" s="9" t="str">
        <f t="shared" si="16"/>
        <v/>
      </c>
    </row>
    <row r="82" spans="2:18" x14ac:dyDescent="0.4">
      <c r="B82" s="56">
        <v>44497</v>
      </c>
      <c r="C82" s="8"/>
      <c r="D82" s="8"/>
      <c r="E82" s="8" t="s">
        <v>400</v>
      </c>
      <c r="F82" s="8" t="s">
        <v>404</v>
      </c>
      <c r="G82" s="19"/>
      <c r="H82" s="13">
        <v>0.1</v>
      </c>
      <c r="I82" s="10">
        <v>50</v>
      </c>
      <c r="J82" s="9">
        <v>150</v>
      </c>
      <c r="K82" s="9">
        <f t="shared" ref="K82:K87" si="19">J82*110%</f>
        <v>165</v>
      </c>
      <c r="L82" s="9"/>
      <c r="M82" s="9">
        <f t="shared" si="18"/>
        <v>8250</v>
      </c>
      <c r="N82" s="10"/>
      <c r="O82" s="10" t="str">
        <f t="shared" si="13"/>
        <v/>
      </c>
      <c r="P82" s="9" t="str">
        <f t="shared" si="14"/>
        <v/>
      </c>
      <c r="Q82" s="9" t="str">
        <f t="shared" si="15"/>
        <v/>
      </c>
      <c r="R82" s="9" t="str">
        <f t="shared" si="16"/>
        <v/>
      </c>
    </row>
    <row r="83" spans="2:18" x14ac:dyDescent="0.4">
      <c r="B83" s="56">
        <v>44497</v>
      </c>
      <c r="C83" s="8"/>
      <c r="D83" s="8"/>
      <c r="E83" s="8" t="s">
        <v>400</v>
      </c>
      <c r="F83" s="8" t="s">
        <v>405</v>
      </c>
      <c r="G83" s="19"/>
      <c r="H83" s="13">
        <v>0.1</v>
      </c>
      <c r="I83" s="10">
        <v>60</v>
      </c>
      <c r="J83" s="9">
        <v>30</v>
      </c>
      <c r="K83" s="9">
        <f t="shared" si="19"/>
        <v>33</v>
      </c>
      <c r="L83" s="9"/>
      <c r="M83" s="9">
        <f t="shared" si="18"/>
        <v>1980</v>
      </c>
      <c r="N83" s="10"/>
      <c r="O83" s="10" t="str">
        <f t="shared" si="13"/>
        <v/>
      </c>
      <c r="P83" s="9" t="str">
        <f t="shared" si="14"/>
        <v/>
      </c>
      <c r="Q83" s="9" t="str">
        <f t="shared" si="15"/>
        <v/>
      </c>
      <c r="R83" s="9" t="str">
        <f t="shared" si="16"/>
        <v/>
      </c>
    </row>
    <row r="84" spans="2:18" x14ac:dyDescent="0.4">
      <c r="B84" s="56">
        <v>44497</v>
      </c>
      <c r="C84" s="8"/>
      <c r="D84" s="8"/>
      <c r="E84" s="8" t="s">
        <v>400</v>
      </c>
      <c r="F84" s="8" t="s">
        <v>406</v>
      </c>
      <c r="G84" s="19"/>
      <c r="H84" s="13">
        <v>0.1</v>
      </c>
      <c r="I84" s="10">
        <v>695</v>
      </c>
      <c r="J84" s="9">
        <v>10</v>
      </c>
      <c r="K84" s="9">
        <f t="shared" si="19"/>
        <v>11</v>
      </c>
      <c r="L84" s="9"/>
      <c r="M84" s="9">
        <f t="shared" si="18"/>
        <v>7645</v>
      </c>
      <c r="N84" s="10"/>
      <c r="O84" s="10" t="str">
        <f t="shared" si="13"/>
        <v/>
      </c>
      <c r="P84" s="9" t="str">
        <f t="shared" si="14"/>
        <v/>
      </c>
      <c r="Q84" s="9" t="str">
        <f t="shared" si="15"/>
        <v/>
      </c>
      <c r="R84" s="9" t="str">
        <f t="shared" si="16"/>
        <v/>
      </c>
    </row>
    <row r="85" spans="2:18" x14ac:dyDescent="0.4">
      <c r="B85" s="56">
        <v>44497</v>
      </c>
      <c r="C85" s="8"/>
      <c r="D85" s="8"/>
      <c r="E85" s="8" t="s">
        <v>400</v>
      </c>
      <c r="F85" s="8" t="s">
        <v>407</v>
      </c>
      <c r="G85" s="19"/>
      <c r="H85" s="13">
        <v>0.1</v>
      </c>
      <c r="I85" s="10">
        <v>405</v>
      </c>
      <c r="J85" s="9">
        <v>50</v>
      </c>
      <c r="K85" s="9">
        <f t="shared" si="19"/>
        <v>55.000000000000007</v>
      </c>
      <c r="L85" s="9"/>
      <c r="M85" s="9">
        <f t="shared" si="18"/>
        <v>22275.000000000004</v>
      </c>
      <c r="N85" s="10"/>
      <c r="O85" s="10" t="str">
        <f t="shared" si="13"/>
        <v/>
      </c>
      <c r="P85" s="9" t="str">
        <f t="shared" si="14"/>
        <v/>
      </c>
      <c r="Q85" s="9" t="str">
        <f t="shared" si="15"/>
        <v/>
      </c>
      <c r="R85" s="9" t="str">
        <f t="shared" si="16"/>
        <v/>
      </c>
    </row>
    <row r="86" spans="2:18" x14ac:dyDescent="0.4">
      <c r="B86" s="56">
        <v>44497</v>
      </c>
      <c r="C86" s="8"/>
      <c r="D86" s="8"/>
      <c r="E86" s="8" t="s">
        <v>400</v>
      </c>
      <c r="F86" s="8" t="s">
        <v>408</v>
      </c>
      <c r="G86" s="19"/>
      <c r="H86" s="13">
        <v>0.1</v>
      </c>
      <c r="I86" s="10">
        <v>50</v>
      </c>
      <c r="J86" s="9">
        <v>100</v>
      </c>
      <c r="K86" s="9">
        <f t="shared" si="19"/>
        <v>110.00000000000001</v>
      </c>
      <c r="L86" s="9"/>
      <c r="M86" s="9">
        <f t="shared" si="18"/>
        <v>5500.0000000000009</v>
      </c>
      <c r="N86" s="10"/>
      <c r="O86" s="10" t="str">
        <f t="shared" si="13"/>
        <v/>
      </c>
      <c r="P86" s="9" t="str">
        <f t="shared" si="14"/>
        <v/>
      </c>
      <c r="Q86" s="9" t="str">
        <f t="shared" si="15"/>
        <v/>
      </c>
      <c r="R86" s="9" t="str">
        <f t="shared" si="16"/>
        <v/>
      </c>
    </row>
    <row r="87" spans="2:18" x14ac:dyDescent="0.4">
      <c r="B87" s="56">
        <v>44497</v>
      </c>
      <c r="C87" s="8"/>
      <c r="D87" s="8"/>
      <c r="E87" s="8" t="s">
        <v>400</v>
      </c>
      <c r="F87" s="8" t="s">
        <v>409</v>
      </c>
      <c r="G87" s="19"/>
      <c r="H87" s="13">
        <v>0.1</v>
      </c>
      <c r="I87" s="10">
        <v>300</v>
      </c>
      <c r="J87" s="9">
        <v>22</v>
      </c>
      <c r="K87" s="9">
        <f t="shared" si="19"/>
        <v>24.200000000000003</v>
      </c>
      <c r="L87" s="9"/>
      <c r="M87" s="9">
        <f t="shared" si="18"/>
        <v>7260.0000000000009</v>
      </c>
      <c r="N87" s="10"/>
      <c r="O87" s="10" t="str">
        <f t="shared" si="13"/>
        <v/>
      </c>
      <c r="P87" s="9" t="str">
        <f t="shared" si="14"/>
        <v/>
      </c>
      <c r="Q87" s="9" t="str">
        <f t="shared" si="15"/>
        <v/>
      </c>
      <c r="R87" s="9" t="str">
        <f t="shared" si="16"/>
        <v/>
      </c>
    </row>
    <row r="88" spans="2:18" x14ac:dyDescent="0.4">
      <c r="B88" s="56">
        <v>44497</v>
      </c>
      <c r="C88" s="8"/>
      <c r="D88" s="8"/>
      <c r="E88" s="8" t="s">
        <v>410</v>
      </c>
      <c r="F88" s="8" t="s">
        <v>412</v>
      </c>
      <c r="G88" s="19"/>
      <c r="H88" s="13">
        <v>0.1</v>
      </c>
      <c r="I88" s="10">
        <v>34</v>
      </c>
      <c r="J88" s="6" t="s">
        <v>393</v>
      </c>
      <c r="K88" s="9">
        <v>104569</v>
      </c>
      <c r="L88" s="9"/>
      <c r="M88" s="9">
        <v>91158</v>
      </c>
      <c r="N88" s="10"/>
      <c r="O88" s="10" t="str">
        <f t="shared" si="13"/>
        <v/>
      </c>
      <c r="P88" s="9" t="str">
        <f t="shared" si="14"/>
        <v/>
      </c>
      <c r="Q88" s="9" t="str">
        <f t="shared" si="15"/>
        <v/>
      </c>
      <c r="R88" s="9" t="str">
        <f t="shared" si="16"/>
        <v/>
      </c>
    </row>
    <row r="89" spans="2:18" x14ac:dyDescent="0.4">
      <c r="B89" s="56">
        <v>44497</v>
      </c>
      <c r="C89" s="8"/>
      <c r="D89" s="8"/>
      <c r="E89" s="8" t="s">
        <v>410</v>
      </c>
      <c r="F89" s="8" t="s">
        <v>411</v>
      </c>
      <c r="G89" s="19"/>
      <c r="H89" s="13">
        <v>0.1</v>
      </c>
      <c r="I89" s="10">
        <v>63</v>
      </c>
      <c r="J89" s="6" t="s">
        <v>393</v>
      </c>
      <c r="K89" s="9">
        <v>127229.30000000002</v>
      </c>
      <c r="L89" s="9"/>
      <c r="M89" s="9">
        <v>127229.30000000002</v>
      </c>
      <c r="N89" s="10"/>
      <c r="O89" s="10" t="str">
        <f t="shared" si="13"/>
        <v/>
      </c>
      <c r="P89" s="9" t="str">
        <f t="shared" si="14"/>
        <v/>
      </c>
      <c r="Q89" s="9" t="str">
        <f t="shared" si="15"/>
        <v/>
      </c>
      <c r="R89" s="9" t="str">
        <f t="shared" si="16"/>
        <v/>
      </c>
    </row>
    <row r="90" spans="2:18" x14ac:dyDescent="0.4">
      <c r="B90" s="56">
        <v>44497</v>
      </c>
      <c r="C90" s="8"/>
      <c r="D90" s="8"/>
      <c r="E90" s="8" t="s">
        <v>410</v>
      </c>
      <c r="F90" s="8" t="s">
        <v>413</v>
      </c>
      <c r="G90" s="19"/>
      <c r="H90" s="13">
        <v>0.1</v>
      </c>
      <c r="I90" s="10">
        <v>23</v>
      </c>
      <c r="J90" s="6" t="s">
        <v>393</v>
      </c>
      <c r="K90" s="9">
        <v>22466</v>
      </c>
      <c r="L90" s="9"/>
      <c r="M90" s="9">
        <v>22466</v>
      </c>
      <c r="N90" s="10"/>
      <c r="O90" s="10" t="str">
        <f t="shared" si="13"/>
        <v/>
      </c>
      <c r="P90" s="9" t="str">
        <f t="shared" si="14"/>
        <v/>
      </c>
      <c r="Q90" s="9" t="str">
        <f t="shared" si="15"/>
        <v/>
      </c>
      <c r="R90" s="9" t="str">
        <f t="shared" si="16"/>
        <v/>
      </c>
    </row>
    <row r="91" spans="2:18" x14ac:dyDescent="0.4">
      <c r="B91" s="56">
        <v>44497</v>
      </c>
      <c r="C91" s="8"/>
      <c r="D91" s="8"/>
      <c r="E91" s="8" t="s">
        <v>410</v>
      </c>
      <c r="F91" s="8" t="s">
        <v>414</v>
      </c>
      <c r="G91" s="19"/>
      <c r="H91" s="13">
        <v>0.1</v>
      </c>
      <c r="I91" s="10">
        <v>74</v>
      </c>
      <c r="J91" s="6" t="s">
        <v>393</v>
      </c>
      <c r="K91" s="9">
        <v>73172</v>
      </c>
      <c r="L91" s="9"/>
      <c r="M91" s="9">
        <v>73172</v>
      </c>
      <c r="N91" s="10"/>
      <c r="O91" s="10" t="str">
        <f t="shared" si="13"/>
        <v/>
      </c>
      <c r="P91" s="9" t="str">
        <f t="shared" si="14"/>
        <v/>
      </c>
      <c r="Q91" s="9" t="str">
        <f t="shared" si="15"/>
        <v/>
      </c>
      <c r="R91" s="9" t="str">
        <f t="shared" si="16"/>
        <v/>
      </c>
    </row>
    <row r="92" spans="2:18" x14ac:dyDescent="0.4">
      <c r="B92" s="56">
        <v>44497</v>
      </c>
      <c r="C92" s="8"/>
      <c r="D92" s="8"/>
      <c r="E92" s="8" t="s">
        <v>410</v>
      </c>
      <c r="F92" s="8" t="s">
        <v>415</v>
      </c>
      <c r="G92" s="19"/>
      <c r="H92" s="13">
        <v>0.1</v>
      </c>
      <c r="I92" s="10">
        <v>162</v>
      </c>
      <c r="J92" s="6" t="s">
        <v>393</v>
      </c>
      <c r="K92" s="9">
        <v>146259.29999999999</v>
      </c>
      <c r="L92" s="9"/>
      <c r="M92" s="9">
        <v>146259.29999999999</v>
      </c>
      <c r="N92" s="10"/>
      <c r="O92" s="10" t="str">
        <f t="shared" si="13"/>
        <v/>
      </c>
      <c r="P92" s="9" t="str">
        <f t="shared" si="14"/>
        <v/>
      </c>
      <c r="Q92" s="9" t="str">
        <f t="shared" si="15"/>
        <v/>
      </c>
      <c r="R92" s="9" t="str">
        <f t="shared" si="16"/>
        <v/>
      </c>
    </row>
    <row r="93" spans="2:18" x14ac:dyDescent="0.4">
      <c r="B93" s="56">
        <v>44497</v>
      </c>
      <c r="C93" s="8"/>
      <c r="D93" s="8"/>
      <c r="E93" s="8" t="s">
        <v>410</v>
      </c>
      <c r="F93" s="8" t="s">
        <v>416</v>
      </c>
      <c r="G93" s="19"/>
      <c r="H93" s="13">
        <v>0.1</v>
      </c>
      <c r="I93" s="10">
        <v>252</v>
      </c>
      <c r="J93" s="6" t="s">
        <v>393</v>
      </c>
      <c r="K93" s="9">
        <v>146401.20000000001</v>
      </c>
      <c r="L93" s="9"/>
      <c r="M93" s="9">
        <v>146401.20000000001</v>
      </c>
      <c r="N93" s="10"/>
      <c r="O93" s="10" t="str">
        <f t="shared" si="13"/>
        <v/>
      </c>
      <c r="P93" s="9" t="str">
        <f t="shared" si="14"/>
        <v/>
      </c>
      <c r="Q93" s="9" t="str">
        <f t="shared" si="15"/>
        <v/>
      </c>
      <c r="R93" s="9" t="str">
        <f t="shared" si="16"/>
        <v/>
      </c>
    </row>
    <row r="94" spans="2:18" x14ac:dyDescent="0.4">
      <c r="B94" s="56">
        <v>44497</v>
      </c>
      <c r="C94" s="8"/>
      <c r="D94" s="8"/>
      <c r="E94" s="8" t="s">
        <v>410</v>
      </c>
      <c r="F94" s="8" t="s">
        <v>417</v>
      </c>
      <c r="G94" s="19"/>
      <c r="H94" s="13">
        <v>0.1</v>
      </c>
      <c r="I94" s="10">
        <v>20</v>
      </c>
      <c r="J94" s="6" t="s">
        <v>393</v>
      </c>
      <c r="K94" s="9">
        <v>22550</v>
      </c>
      <c r="L94" s="9"/>
      <c r="M94" s="9">
        <v>22550</v>
      </c>
      <c r="N94" s="10"/>
      <c r="O94" s="10" t="str">
        <f t="shared" si="13"/>
        <v/>
      </c>
      <c r="P94" s="9" t="str">
        <f t="shared" si="14"/>
        <v/>
      </c>
      <c r="Q94" s="9" t="str">
        <f t="shared" si="15"/>
        <v/>
      </c>
      <c r="R94" s="9" t="str">
        <f t="shared" si="16"/>
        <v/>
      </c>
    </row>
    <row r="95" spans="2:18" x14ac:dyDescent="0.4">
      <c r="B95" s="56">
        <v>44497</v>
      </c>
      <c r="C95" s="8"/>
      <c r="D95" s="8"/>
      <c r="E95" s="8" t="s">
        <v>418</v>
      </c>
      <c r="F95" s="8" t="s">
        <v>419</v>
      </c>
      <c r="G95" s="19"/>
      <c r="H95" s="13">
        <v>0.08</v>
      </c>
      <c r="I95" s="10">
        <v>10</v>
      </c>
      <c r="J95" s="6" t="s">
        <v>393</v>
      </c>
      <c r="K95" s="9">
        <v>990</v>
      </c>
      <c r="L95" s="9"/>
      <c r="M95" s="9">
        <f>K95</f>
        <v>990</v>
      </c>
      <c r="N95" s="10"/>
      <c r="O95" s="10" t="str">
        <f t="shared" si="13"/>
        <v/>
      </c>
      <c r="P95" s="9" t="str">
        <f t="shared" si="14"/>
        <v/>
      </c>
      <c r="Q95" s="9" t="str">
        <f t="shared" si="15"/>
        <v/>
      </c>
      <c r="R95" s="9" t="str">
        <f t="shared" si="16"/>
        <v/>
      </c>
    </row>
    <row r="96" spans="2:18" x14ac:dyDescent="0.4">
      <c r="B96" s="56">
        <v>44497</v>
      </c>
      <c r="C96" s="8"/>
      <c r="D96" s="8"/>
      <c r="E96" s="8" t="s">
        <v>418</v>
      </c>
      <c r="F96" s="8" t="s">
        <v>420</v>
      </c>
      <c r="G96" s="19"/>
      <c r="H96" s="13">
        <v>0.08</v>
      </c>
      <c r="I96" s="10">
        <v>10</v>
      </c>
      <c r="J96" s="6" t="s">
        <v>393</v>
      </c>
      <c r="K96" s="9">
        <v>1290</v>
      </c>
      <c r="L96" s="9"/>
      <c r="M96" s="9">
        <f t="shared" ref="M96:M114" si="20">K96</f>
        <v>1290</v>
      </c>
      <c r="N96" s="10"/>
      <c r="O96" s="10" t="str">
        <f t="shared" si="13"/>
        <v/>
      </c>
      <c r="P96" s="9" t="str">
        <f t="shared" si="14"/>
        <v/>
      </c>
      <c r="Q96" s="9" t="str">
        <f t="shared" si="15"/>
        <v/>
      </c>
      <c r="R96" s="9" t="str">
        <f t="shared" si="16"/>
        <v/>
      </c>
    </row>
    <row r="97" spans="2:18" x14ac:dyDescent="0.4">
      <c r="B97" s="56">
        <v>44497</v>
      </c>
      <c r="C97" s="8"/>
      <c r="D97" s="8"/>
      <c r="E97" s="8" t="s">
        <v>418</v>
      </c>
      <c r="F97" s="8" t="s">
        <v>421</v>
      </c>
      <c r="G97" s="19"/>
      <c r="H97" s="13">
        <v>0.08</v>
      </c>
      <c r="I97" s="10">
        <v>10</v>
      </c>
      <c r="J97" s="6" t="s">
        <v>393</v>
      </c>
      <c r="K97" s="9">
        <v>1290</v>
      </c>
      <c r="L97" s="9"/>
      <c r="M97" s="9">
        <f t="shared" si="20"/>
        <v>1290</v>
      </c>
      <c r="N97" s="10"/>
      <c r="O97" s="10" t="str">
        <f t="shared" si="13"/>
        <v/>
      </c>
      <c r="P97" s="9" t="str">
        <f t="shared" si="14"/>
        <v/>
      </c>
      <c r="Q97" s="9" t="str">
        <f t="shared" si="15"/>
        <v/>
      </c>
      <c r="R97" s="9" t="str">
        <f t="shared" si="16"/>
        <v/>
      </c>
    </row>
    <row r="98" spans="2:18" x14ac:dyDescent="0.4">
      <c r="B98" s="56">
        <v>44497</v>
      </c>
      <c r="C98" s="8"/>
      <c r="D98" s="8"/>
      <c r="E98" s="8" t="s">
        <v>418</v>
      </c>
      <c r="F98" s="8" t="s">
        <v>422</v>
      </c>
      <c r="G98" s="19"/>
      <c r="H98" s="13">
        <v>0.08</v>
      </c>
      <c r="I98" s="10">
        <v>10</v>
      </c>
      <c r="J98" s="6" t="s">
        <v>393</v>
      </c>
      <c r="K98" s="9">
        <v>990</v>
      </c>
      <c r="L98" s="9"/>
      <c r="M98" s="9">
        <f t="shared" si="20"/>
        <v>990</v>
      </c>
      <c r="N98" s="10"/>
      <c r="O98" s="10" t="str">
        <f t="shared" si="13"/>
        <v/>
      </c>
      <c r="P98" s="9" t="str">
        <f t="shared" si="14"/>
        <v/>
      </c>
      <c r="Q98" s="9" t="str">
        <f t="shared" si="15"/>
        <v/>
      </c>
      <c r="R98" s="9" t="str">
        <f t="shared" si="16"/>
        <v/>
      </c>
    </row>
    <row r="99" spans="2:18" x14ac:dyDescent="0.4">
      <c r="B99" s="56">
        <v>44497</v>
      </c>
      <c r="C99" s="8"/>
      <c r="D99" s="8"/>
      <c r="E99" s="8" t="s">
        <v>418</v>
      </c>
      <c r="F99" s="8" t="s">
        <v>423</v>
      </c>
      <c r="G99" s="19"/>
      <c r="H99" s="13">
        <v>0.08</v>
      </c>
      <c r="I99" s="10">
        <v>10</v>
      </c>
      <c r="J99" s="6" t="s">
        <v>393</v>
      </c>
      <c r="K99" s="9">
        <v>790</v>
      </c>
      <c r="L99" s="9"/>
      <c r="M99" s="9">
        <f t="shared" si="20"/>
        <v>790</v>
      </c>
      <c r="N99" s="10"/>
      <c r="O99" s="10" t="str">
        <f t="shared" si="13"/>
        <v/>
      </c>
      <c r="P99" s="9" t="str">
        <f t="shared" si="14"/>
        <v/>
      </c>
      <c r="Q99" s="9" t="str">
        <f t="shared" si="15"/>
        <v/>
      </c>
      <c r="R99" s="9" t="str">
        <f t="shared" si="16"/>
        <v/>
      </c>
    </row>
    <row r="100" spans="2:18" x14ac:dyDescent="0.4">
      <c r="B100" s="56">
        <v>44497</v>
      </c>
      <c r="C100" s="8"/>
      <c r="D100" s="8"/>
      <c r="E100" s="8" t="s">
        <v>418</v>
      </c>
      <c r="F100" s="8" t="s">
        <v>424</v>
      </c>
      <c r="G100" s="19"/>
      <c r="H100" s="13">
        <v>0.08</v>
      </c>
      <c r="I100" s="10">
        <v>6</v>
      </c>
      <c r="J100" s="6" t="s">
        <v>393</v>
      </c>
      <c r="K100" s="9">
        <v>1194</v>
      </c>
      <c r="L100" s="9"/>
      <c r="M100" s="9">
        <f t="shared" si="20"/>
        <v>1194</v>
      </c>
      <c r="N100" s="10"/>
      <c r="O100" s="10" t="str">
        <f t="shared" si="13"/>
        <v/>
      </c>
      <c r="P100" s="9" t="str">
        <f t="shared" si="14"/>
        <v/>
      </c>
      <c r="Q100" s="9" t="str">
        <f t="shared" si="15"/>
        <v/>
      </c>
      <c r="R100" s="9" t="str">
        <f t="shared" si="16"/>
        <v/>
      </c>
    </row>
    <row r="101" spans="2:18" x14ac:dyDescent="0.4">
      <c r="B101" s="56">
        <v>44497</v>
      </c>
      <c r="C101" s="8"/>
      <c r="D101" s="8"/>
      <c r="E101" s="8" t="s">
        <v>418</v>
      </c>
      <c r="F101" s="8" t="s">
        <v>425</v>
      </c>
      <c r="G101" s="19"/>
      <c r="H101" s="13">
        <v>0.08</v>
      </c>
      <c r="I101" s="10">
        <v>10</v>
      </c>
      <c r="J101" s="6" t="s">
        <v>393</v>
      </c>
      <c r="K101" s="9">
        <v>990</v>
      </c>
      <c r="L101" s="9"/>
      <c r="M101" s="9">
        <f t="shared" si="20"/>
        <v>990</v>
      </c>
      <c r="N101" s="10"/>
      <c r="O101" s="10" t="str">
        <f t="shared" si="13"/>
        <v/>
      </c>
      <c r="P101" s="9" t="str">
        <f t="shared" si="14"/>
        <v/>
      </c>
      <c r="Q101" s="9" t="str">
        <f t="shared" si="15"/>
        <v/>
      </c>
      <c r="R101" s="9" t="str">
        <f t="shared" si="16"/>
        <v/>
      </c>
    </row>
    <row r="102" spans="2:18" x14ac:dyDescent="0.4">
      <c r="B102" s="56">
        <v>44497</v>
      </c>
      <c r="C102" s="8"/>
      <c r="D102" s="8"/>
      <c r="E102" s="8" t="s">
        <v>418</v>
      </c>
      <c r="F102" s="8" t="s">
        <v>426</v>
      </c>
      <c r="G102" s="19"/>
      <c r="H102" s="13">
        <v>0.08</v>
      </c>
      <c r="I102" s="10">
        <v>4</v>
      </c>
      <c r="J102" s="6" t="s">
        <v>393</v>
      </c>
      <c r="K102" s="9">
        <v>716</v>
      </c>
      <c r="L102" s="9"/>
      <c r="M102" s="9">
        <f t="shared" si="20"/>
        <v>716</v>
      </c>
      <c r="N102" s="10"/>
      <c r="O102" s="10" t="str">
        <f t="shared" si="13"/>
        <v/>
      </c>
      <c r="P102" s="9" t="str">
        <f t="shared" si="14"/>
        <v/>
      </c>
      <c r="Q102" s="9" t="str">
        <f t="shared" si="15"/>
        <v/>
      </c>
      <c r="R102" s="9" t="str">
        <f t="shared" si="16"/>
        <v/>
      </c>
    </row>
    <row r="103" spans="2:18" x14ac:dyDescent="0.4">
      <c r="B103" s="56">
        <v>44497</v>
      </c>
      <c r="C103" s="8"/>
      <c r="D103" s="8"/>
      <c r="E103" s="8" t="s">
        <v>418</v>
      </c>
      <c r="F103" s="8" t="s">
        <v>427</v>
      </c>
      <c r="G103" s="19"/>
      <c r="H103" s="13">
        <v>0.08</v>
      </c>
      <c r="I103" s="10">
        <v>2</v>
      </c>
      <c r="J103" s="6" t="s">
        <v>393</v>
      </c>
      <c r="K103" s="9">
        <v>3200</v>
      </c>
      <c r="L103" s="9"/>
      <c r="M103" s="9">
        <f t="shared" si="20"/>
        <v>3200</v>
      </c>
      <c r="N103" s="10"/>
      <c r="O103" s="10" t="str">
        <f t="shared" si="13"/>
        <v/>
      </c>
      <c r="P103" s="9" t="str">
        <f t="shared" si="14"/>
        <v/>
      </c>
      <c r="Q103" s="9" t="str">
        <f t="shared" si="15"/>
        <v/>
      </c>
      <c r="R103" s="9" t="str">
        <f t="shared" si="16"/>
        <v/>
      </c>
    </row>
    <row r="104" spans="2:18" x14ac:dyDescent="0.4">
      <c r="B104" s="56">
        <v>44497</v>
      </c>
      <c r="C104" s="8"/>
      <c r="D104" s="8"/>
      <c r="E104" s="8" t="s">
        <v>418</v>
      </c>
      <c r="F104" s="8" t="s">
        <v>428</v>
      </c>
      <c r="G104" s="19"/>
      <c r="H104" s="13">
        <v>0.08</v>
      </c>
      <c r="I104" s="10">
        <v>1</v>
      </c>
      <c r="J104" s="6" t="s">
        <v>393</v>
      </c>
      <c r="K104" s="9">
        <v>1845</v>
      </c>
      <c r="L104" s="9"/>
      <c r="M104" s="9">
        <f t="shared" si="20"/>
        <v>1845</v>
      </c>
      <c r="N104" s="10"/>
      <c r="O104" s="10" t="str">
        <f t="shared" si="13"/>
        <v/>
      </c>
      <c r="P104" s="9" t="str">
        <f t="shared" si="14"/>
        <v/>
      </c>
      <c r="Q104" s="9" t="str">
        <f t="shared" si="15"/>
        <v/>
      </c>
      <c r="R104" s="9" t="str">
        <f t="shared" si="16"/>
        <v/>
      </c>
    </row>
    <row r="105" spans="2:18" x14ac:dyDescent="0.4">
      <c r="B105" s="56">
        <v>44497</v>
      </c>
      <c r="C105" s="8"/>
      <c r="D105" s="8"/>
      <c r="E105" s="8" t="s">
        <v>418</v>
      </c>
      <c r="F105" s="8" t="s">
        <v>429</v>
      </c>
      <c r="G105" s="19"/>
      <c r="H105" s="13">
        <v>0.08</v>
      </c>
      <c r="I105" s="10">
        <v>1</v>
      </c>
      <c r="J105" s="6" t="s">
        <v>393</v>
      </c>
      <c r="K105" s="9">
        <v>1495</v>
      </c>
      <c r="L105" s="9"/>
      <c r="M105" s="9">
        <f t="shared" si="20"/>
        <v>1495</v>
      </c>
      <c r="N105" s="10"/>
      <c r="O105" s="10"/>
      <c r="P105" s="9"/>
      <c r="Q105" s="9"/>
      <c r="R105" s="9"/>
    </row>
    <row r="106" spans="2:18" x14ac:dyDescent="0.4">
      <c r="B106" s="56">
        <v>44497</v>
      </c>
      <c r="C106" s="8"/>
      <c r="D106" s="8"/>
      <c r="E106" s="8" t="s">
        <v>418</v>
      </c>
      <c r="F106" s="8" t="s">
        <v>430</v>
      </c>
      <c r="G106" s="19"/>
      <c r="H106" s="13">
        <v>0.08</v>
      </c>
      <c r="I106" s="10">
        <v>2</v>
      </c>
      <c r="J106" s="6" t="s">
        <v>393</v>
      </c>
      <c r="K106" s="9">
        <v>358</v>
      </c>
      <c r="L106" s="9"/>
      <c r="M106" s="9">
        <f t="shared" si="20"/>
        <v>358</v>
      </c>
      <c r="N106" s="10"/>
      <c r="O106" s="10"/>
      <c r="P106" s="9"/>
      <c r="Q106" s="9"/>
      <c r="R106" s="9"/>
    </row>
    <row r="107" spans="2:18" x14ac:dyDescent="0.4">
      <c r="B107" s="56">
        <v>44497</v>
      </c>
      <c r="C107" s="8"/>
      <c r="D107" s="8"/>
      <c r="E107" s="8" t="s">
        <v>418</v>
      </c>
      <c r="F107" s="8" t="s">
        <v>431</v>
      </c>
      <c r="G107" s="19"/>
      <c r="H107" s="13">
        <v>0.08</v>
      </c>
      <c r="I107" s="10">
        <v>2</v>
      </c>
      <c r="J107" s="6" t="s">
        <v>393</v>
      </c>
      <c r="K107" s="9">
        <v>3000</v>
      </c>
      <c r="L107" s="9"/>
      <c r="M107" s="9">
        <f t="shared" si="20"/>
        <v>3000</v>
      </c>
      <c r="N107" s="10"/>
      <c r="O107" s="10"/>
      <c r="P107" s="9"/>
      <c r="Q107" s="9"/>
      <c r="R107" s="9"/>
    </row>
    <row r="108" spans="2:18" x14ac:dyDescent="0.4">
      <c r="B108" s="56">
        <v>44497</v>
      </c>
      <c r="C108" s="8"/>
      <c r="D108" s="8"/>
      <c r="E108" s="8" t="s">
        <v>418</v>
      </c>
      <c r="F108" s="8" t="s">
        <v>432</v>
      </c>
      <c r="G108" s="19"/>
      <c r="H108" s="13">
        <v>0.08</v>
      </c>
      <c r="I108" s="10">
        <v>2</v>
      </c>
      <c r="J108" s="6" t="s">
        <v>393</v>
      </c>
      <c r="K108" s="9">
        <v>3200</v>
      </c>
      <c r="L108" s="9"/>
      <c r="M108" s="9">
        <f t="shared" si="20"/>
        <v>3200</v>
      </c>
      <c r="N108" s="10"/>
      <c r="O108" s="10" t="str">
        <f t="shared" si="13"/>
        <v/>
      </c>
      <c r="P108" s="9" t="str">
        <f t="shared" si="14"/>
        <v/>
      </c>
      <c r="Q108" s="9" t="str">
        <f t="shared" si="15"/>
        <v/>
      </c>
      <c r="R108" s="9" t="str">
        <f t="shared" si="16"/>
        <v/>
      </c>
    </row>
    <row r="109" spans="2:18" x14ac:dyDescent="0.4">
      <c r="B109" s="56">
        <v>44497</v>
      </c>
      <c r="C109" s="8"/>
      <c r="D109" s="8"/>
      <c r="E109" s="8" t="s">
        <v>418</v>
      </c>
      <c r="F109" s="8" t="s">
        <v>433</v>
      </c>
      <c r="G109" s="19"/>
      <c r="H109" s="13">
        <v>0.08</v>
      </c>
      <c r="I109" s="10">
        <v>2</v>
      </c>
      <c r="J109" s="6" t="s">
        <v>393</v>
      </c>
      <c r="K109" s="9">
        <v>3200</v>
      </c>
      <c r="L109" s="9"/>
      <c r="M109" s="9">
        <v>1896</v>
      </c>
      <c r="N109" s="10"/>
      <c r="O109" s="10" t="str">
        <f t="shared" si="13"/>
        <v/>
      </c>
      <c r="P109" s="9" t="str">
        <f t="shared" si="14"/>
        <v/>
      </c>
      <c r="Q109" s="9" t="str">
        <f t="shared" si="15"/>
        <v/>
      </c>
      <c r="R109" s="9" t="str">
        <f t="shared" si="16"/>
        <v/>
      </c>
    </row>
    <row r="110" spans="2:18" x14ac:dyDescent="0.4">
      <c r="B110" s="56">
        <v>44497</v>
      </c>
      <c r="C110" s="8"/>
      <c r="D110" s="8"/>
      <c r="E110" s="8" t="s">
        <v>418</v>
      </c>
      <c r="F110" s="8" t="s">
        <v>434</v>
      </c>
      <c r="G110" s="19"/>
      <c r="H110" s="13">
        <v>0.08</v>
      </c>
      <c r="I110" s="10">
        <v>6</v>
      </c>
      <c r="J110" s="6" t="s">
        <v>393</v>
      </c>
      <c r="K110" s="9">
        <v>2214</v>
      </c>
      <c r="L110" s="9"/>
      <c r="M110" s="9">
        <f t="shared" si="20"/>
        <v>2214</v>
      </c>
      <c r="N110" s="10"/>
      <c r="O110" s="10" t="str">
        <f t="shared" si="13"/>
        <v/>
      </c>
      <c r="P110" s="9" t="str">
        <f t="shared" si="14"/>
        <v/>
      </c>
      <c r="Q110" s="9" t="str">
        <f t="shared" si="15"/>
        <v/>
      </c>
      <c r="R110" s="9" t="str">
        <f t="shared" si="16"/>
        <v/>
      </c>
    </row>
    <row r="111" spans="2:18" x14ac:dyDescent="0.4">
      <c r="B111" s="56">
        <v>44497</v>
      </c>
      <c r="C111" s="8"/>
      <c r="D111" s="8"/>
      <c r="E111" s="8" t="s">
        <v>418</v>
      </c>
      <c r="F111" s="8" t="s">
        <v>435</v>
      </c>
      <c r="G111" s="19"/>
      <c r="H111" s="13">
        <v>0.08</v>
      </c>
      <c r="I111" s="10">
        <v>1</v>
      </c>
      <c r="J111" s="6" t="s">
        <v>393</v>
      </c>
      <c r="K111" s="9">
        <v>2388</v>
      </c>
      <c r="L111" s="9"/>
      <c r="M111" s="9">
        <f t="shared" si="20"/>
        <v>2388</v>
      </c>
      <c r="N111" s="10"/>
      <c r="O111" s="10" t="str">
        <f t="shared" si="13"/>
        <v/>
      </c>
      <c r="P111" s="9" t="str">
        <f t="shared" si="14"/>
        <v/>
      </c>
      <c r="Q111" s="9" t="str">
        <f t="shared" si="15"/>
        <v/>
      </c>
      <c r="R111" s="9" t="str">
        <f t="shared" si="16"/>
        <v/>
      </c>
    </row>
    <row r="112" spans="2:18" x14ac:dyDescent="0.4">
      <c r="B112" s="56">
        <v>44497</v>
      </c>
      <c r="C112" s="8"/>
      <c r="D112" s="8"/>
      <c r="E112" s="8" t="s">
        <v>418</v>
      </c>
      <c r="F112" s="8" t="s">
        <v>436</v>
      </c>
      <c r="G112" s="19"/>
      <c r="H112" s="13">
        <v>0.08</v>
      </c>
      <c r="I112" s="10">
        <v>40</v>
      </c>
      <c r="J112" s="6" t="s">
        <v>393</v>
      </c>
      <c r="K112" s="9">
        <v>2760</v>
      </c>
      <c r="L112" s="9"/>
      <c r="M112" s="9">
        <f t="shared" si="20"/>
        <v>2760</v>
      </c>
      <c r="N112" s="10"/>
      <c r="O112" s="10" t="str">
        <f t="shared" si="13"/>
        <v/>
      </c>
      <c r="P112" s="9" t="str">
        <f t="shared" si="14"/>
        <v/>
      </c>
      <c r="Q112" s="9" t="str">
        <f t="shared" si="15"/>
        <v/>
      </c>
      <c r="R112" s="9" t="str">
        <f t="shared" si="16"/>
        <v/>
      </c>
    </row>
    <row r="113" spans="2:18" x14ac:dyDescent="0.4">
      <c r="B113" s="56">
        <v>44497</v>
      </c>
      <c r="C113" s="8"/>
      <c r="D113" s="8"/>
      <c r="E113" s="8" t="s">
        <v>418</v>
      </c>
      <c r="F113" s="8" t="s">
        <v>437</v>
      </c>
      <c r="G113" s="19"/>
      <c r="H113" s="13">
        <v>0.08</v>
      </c>
      <c r="I113" s="10">
        <v>12</v>
      </c>
      <c r="J113" s="6" t="s">
        <v>393</v>
      </c>
      <c r="K113" s="9">
        <v>1188</v>
      </c>
      <c r="L113" s="9"/>
      <c r="M113" s="9">
        <f t="shared" si="20"/>
        <v>1188</v>
      </c>
      <c r="N113" s="10"/>
      <c r="O113" s="10" t="str">
        <f t="shared" si="13"/>
        <v/>
      </c>
      <c r="P113" s="9" t="str">
        <f t="shared" si="14"/>
        <v/>
      </c>
      <c r="Q113" s="9" t="str">
        <f t="shared" si="15"/>
        <v/>
      </c>
      <c r="R113" s="9" t="str">
        <f t="shared" si="16"/>
        <v/>
      </c>
    </row>
    <row r="114" spans="2:18" x14ac:dyDescent="0.4">
      <c r="B114" s="56">
        <v>44497</v>
      </c>
      <c r="C114" s="8"/>
      <c r="D114" s="8"/>
      <c r="E114" s="8" t="s">
        <v>418</v>
      </c>
      <c r="F114" s="8" t="s">
        <v>438</v>
      </c>
      <c r="G114" s="19"/>
      <c r="H114" s="13">
        <v>0.08</v>
      </c>
      <c r="I114" s="10">
        <v>2</v>
      </c>
      <c r="J114" s="6" t="s">
        <v>393</v>
      </c>
      <c r="K114" s="9">
        <v>2990</v>
      </c>
      <c r="L114" s="9"/>
      <c r="M114" s="9">
        <f t="shared" si="20"/>
        <v>2990</v>
      </c>
      <c r="N114" s="10"/>
      <c r="O114" s="10" t="str">
        <f t="shared" si="13"/>
        <v/>
      </c>
      <c r="P114" s="9" t="str">
        <f t="shared" si="14"/>
        <v/>
      </c>
      <c r="Q114" s="9" t="str">
        <f t="shared" si="15"/>
        <v/>
      </c>
      <c r="R114" s="9" t="str">
        <f t="shared" si="16"/>
        <v/>
      </c>
    </row>
    <row r="115" spans="2:18" x14ac:dyDescent="0.4">
      <c r="B115" s="56">
        <v>44497</v>
      </c>
      <c r="C115" s="8"/>
      <c r="D115" s="8"/>
      <c r="E115" s="8" t="s">
        <v>439</v>
      </c>
      <c r="F115" s="8" t="s">
        <v>440</v>
      </c>
      <c r="G115" s="19"/>
      <c r="H115" s="13">
        <v>0.08</v>
      </c>
      <c r="I115" s="10">
        <v>12</v>
      </c>
      <c r="J115" s="6">
        <v>178</v>
      </c>
      <c r="K115" s="9">
        <f>ROUNDDOWN(J115*108%,0)</f>
        <v>192</v>
      </c>
      <c r="L115" s="9"/>
      <c r="M115" s="9">
        <f>I115*K115</f>
        <v>2304</v>
      </c>
      <c r="N115" s="10"/>
      <c r="O115" s="10" t="str">
        <f t="shared" si="13"/>
        <v/>
      </c>
      <c r="P115" s="9" t="str">
        <f t="shared" si="14"/>
        <v/>
      </c>
      <c r="Q115" s="9" t="str">
        <f t="shared" si="15"/>
        <v/>
      </c>
      <c r="R115" s="9" t="str">
        <f t="shared" si="16"/>
        <v/>
      </c>
    </row>
    <row r="116" spans="2:18" x14ac:dyDescent="0.4">
      <c r="B116" s="56">
        <v>44497</v>
      </c>
      <c r="C116" s="8"/>
      <c r="D116" s="8"/>
      <c r="E116" s="8" t="s">
        <v>439</v>
      </c>
      <c r="F116" s="8" t="s">
        <v>441</v>
      </c>
      <c r="G116" s="19"/>
      <c r="H116" s="13">
        <v>0.08</v>
      </c>
      <c r="I116" s="10">
        <v>12</v>
      </c>
      <c r="J116" s="6">
        <v>69</v>
      </c>
      <c r="K116" s="9">
        <f t="shared" ref="K116:K121" si="21">ROUNDDOWN(J116*108%,0)</f>
        <v>74</v>
      </c>
      <c r="L116" s="9"/>
      <c r="M116" s="9">
        <f t="shared" ref="M116:M128" si="22">I116*K116</f>
        <v>888</v>
      </c>
      <c r="N116" s="10"/>
      <c r="O116" s="10" t="str">
        <f t="shared" si="13"/>
        <v/>
      </c>
      <c r="P116" s="9" t="str">
        <f t="shared" si="14"/>
        <v/>
      </c>
      <c r="Q116" s="9" t="str">
        <f t="shared" si="15"/>
        <v/>
      </c>
      <c r="R116" s="9" t="str">
        <f t="shared" si="16"/>
        <v/>
      </c>
    </row>
    <row r="117" spans="2:18" x14ac:dyDescent="0.4">
      <c r="B117" s="56">
        <v>44497</v>
      </c>
      <c r="C117" s="8"/>
      <c r="D117" s="8"/>
      <c r="E117" s="8" t="s">
        <v>439</v>
      </c>
      <c r="F117" s="8" t="s">
        <v>442</v>
      </c>
      <c r="G117" s="19"/>
      <c r="H117" s="13">
        <v>0.08</v>
      </c>
      <c r="I117" s="10">
        <v>12</v>
      </c>
      <c r="J117" s="6">
        <v>98</v>
      </c>
      <c r="K117" s="9">
        <f t="shared" si="21"/>
        <v>105</v>
      </c>
      <c r="L117" s="9"/>
      <c r="M117" s="9">
        <f t="shared" si="22"/>
        <v>1260</v>
      </c>
      <c r="N117" s="10"/>
      <c r="O117" s="10" t="str">
        <f t="shared" si="13"/>
        <v/>
      </c>
      <c r="P117" s="9" t="str">
        <f t="shared" si="14"/>
        <v/>
      </c>
      <c r="Q117" s="9" t="str">
        <f t="shared" si="15"/>
        <v/>
      </c>
      <c r="R117" s="9" t="str">
        <f t="shared" si="16"/>
        <v/>
      </c>
    </row>
    <row r="118" spans="2:18" x14ac:dyDescent="0.4">
      <c r="B118" s="56">
        <v>44497</v>
      </c>
      <c r="C118" s="8"/>
      <c r="D118" s="8"/>
      <c r="E118" s="8" t="s">
        <v>439</v>
      </c>
      <c r="F118" s="8" t="s">
        <v>443</v>
      </c>
      <c r="G118" s="19"/>
      <c r="H118" s="13">
        <v>0.08</v>
      </c>
      <c r="I118" s="10">
        <v>12</v>
      </c>
      <c r="J118" s="6">
        <v>98</v>
      </c>
      <c r="K118" s="9">
        <f t="shared" si="21"/>
        <v>105</v>
      </c>
      <c r="L118" s="9"/>
      <c r="M118" s="9">
        <f t="shared" si="22"/>
        <v>1260</v>
      </c>
      <c r="N118" s="10"/>
      <c r="O118" s="10" t="str">
        <f t="shared" si="13"/>
        <v/>
      </c>
      <c r="P118" s="9" t="str">
        <f t="shared" si="14"/>
        <v/>
      </c>
      <c r="Q118" s="9" t="str">
        <f t="shared" si="15"/>
        <v/>
      </c>
      <c r="R118" s="9" t="str">
        <f t="shared" si="16"/>
        <v/>
      </c>
    </row>
    <row r="119" spans="2:18" x14ac:dyDescent="0.4">
      <c r="B119" s="56">
        <v>44497</v>
      </c>
      <c r="C119" s="8"/>
      <c r="D119" s="8"/>
      <c r="E119" s="8" t="s">
        <v>439</v>
      </c>
      <c r="F119" s="8" t="s">
        <v>444</v>
      </c>
      <c r="G119" s="19"/>
      <c r="H119" s="13">
        <v>0.08</v>
      </c>
      <c r="I119" s="10">
        <v>12</v>
      </c>
      <c r="J119" s="6">
        <v>98</v>
      </c>
      <c r="K119" s="9">
        <f t="shared" si="21"/>
        <v>105</v>
      </c>
      <c r="L119" s="9"/>
      <c r="M119" s="9">
        <f t="shared" si="22"/>
        <v>1260</v>
      </c>
      <c r="N119" s="10"/>
      <c r="O119" s="10" t="str">
        <f t="shared" si="13"/>
        <v/>
      </c>
      <c r="P119" s="9" t="str">
        <f t="shared" si="14"/>
        <v/>
      </c>
      <c r="Q119" s="9" t="str">
        <f t="shared" si="15"/>
        <v/>
      </c>
      <c r="R119" s="9" t="str">
        <f t="shared" si="16"/>
        <v/>
      </c>
    </row>
    <row r="120" spans="2:18" x14ac:dyDescent="0.4">
      <c r="B120" s="56">
        <v>44497</v>
      </c>
      <c r="C120" s="8"/>
      <c r="D120" s="8"/>
      <c r="E120" s="8" t="s">
        <v>439</v>
      </c>
      <c r="F120" s="8" t="s">
        <v>445</v>
      </c>
      <c r="G120" s="19"/>
      <c r="H120" s="13">
        <v>0.08</v>
      </c>
      <c r="I120" s="10">
        <v>14</v>
      </c>
      <c r="J120" s="6">
        <v>248</v>
      </c>
      <c r="K120" s="9">
        <f t="shared" si="21"/>
        <v>267</v>
      </c>
      <c r="L120" s="9"/>
      <c r="M120" s="9">
        <f t="shared" si="22"/>
        <v>3738</v>
      </c>
      <c r="N120" s="10"/>
      <c r="O120" s="10" t="str">
        <f t="shared" si="13"/>
        <v/>
      </c>
      <c r="P120" s="9" t="str">
        <f t="shared" si="14"/>
        <v/>
      </c>
      <c r="Q120" s="9" t="str">
        <f t="shared" si="15"/>
        <v/>
      </c>
      <c r="R120" s="9" t="str">
        <f t="shared" si="16"/>
        <v/>
      </c>
    </row>
    <row r="121" spans="2:18" x14ac:dyDescent="0.4">
      <c r="B121" s="56">
        <v>44497</v>
      </c>
      <c r="C121" s="8"/>
      <c r="D121" s="8"/>
      <c r="E121" s="8" t="s">
        <v>439</v>
      </c>
      <c r="F121" s="8" t="s">
        <v>446</v>
      </c>
      <c r="G121" s="19"/>
      <c r="H121" s="13">
        <v>0.08</v>
      </c>
      <c r="I121" s="10">
        <v>80</v>
      </c>
      <c r="J121" s="6">
        <v>148</v>
      </c>
      <c r="K121" s="9">
        <f t="shared" si="21"/>
        <v>159</v>
      </c>
      <c r="L121" s="9"/>
      <c r="M121" s="9">
        <f t="shared" si="22"/>
        <v>12720</v>
      </c>
      <c r="N121" s="10"/>
      <c r="O121" s="10" t="str">
        <f t="shared" si="13"/>
        <v/>
      </c>
      <c r="P121" s="9" t="str">
        <f t="shared" si="14"/>
        <v/>
      </c>
      <c r="Q121" s="9" t="str">
        <f t="shared" si="15"/>
        <v/>
      </c>
      <c r="R121" s="9" t="str">
        <f t="shared" si="16"/>
        <v/>
      </c>
    </row>
    <row r="122" spans="2:18" x14ac:dyDescent="0.4">
      <c r="B122" s="56">
        <v>44497</v>
      </c>
      <c r="C122" s="8"/>
      <c r="D122" s="8"/>
      <c r="E122" s="8" t="s">
        <v>447</v>
      </c>
      <c r="F122" s="8" t="s">
        <v>448</v>
      </c>
      <c r="G122" s="19"/>
      <c r="H122" s="13">
        <v>0.1</v>
      </c>
      <c r="I122" s="10">
        <v>9</v>
      </c>
      <c r="J122" s="6" t="s">
        <v>393</v>
      </c>
      <c r="K122" s="9">
        <v>217</v>
      </c>
      <c r="L122" s="9"/>
      <c r="M122" s="9">
        <f t="shared" si="22"/>
        <v>1953</v>
      </c>
      <c r="N122" s="10"/>
      <c r="O122" s="10" t="str">
        <f t="shared" si="13"/>
        <v/>
      </c>
      <c r="P122" s="9" t="str">
        <f t="shared" si="14"/>
        <v/>
      </c>
      <c r="Q122" s="9" t="str">
        <f t="shared" si="15"/>
        <v/>
      </c>
      <c r="R122" s="9" t="str">
        <f t="shared" si="16"/>
        <v/>
      </c>
    </row>
    <row r="123" spans="2:18" x14ac:dyDescent="0.4">
      <c r="B123" s="56">
        <v>44497</v>
      </c>
      <c r="C123" s="8"/>
      <c r="D123" s="8"/>
      <c r="E123" s="8" t="s">
        <v>447</v>
      </c>
      <c r="F123" s="8" t="s">
        <v>448</v>
      </c>
      <c r="G123" s="19"/>
      <c r="H123" s="13">
        <v>0.1</v>
      </c>
      <c r="I123" s="10">
        <v>4</v>
      </c>
      <c r="J123" s="6" t="s">
        <v>393</v>
      </c>
      <c r="K123" s="9">
        <v>217</v>
      </c>
      <c r="L123" s="9"/>
      <c r="M123" s="9">
        <f t="shared" si="22"/>
        <v>868</v>
      </c>
      <c r="N123" s="10"/>
      <c r="O123" s="10" t="str">
        <f t="shared" si="13"/>
        <v/>
      </c>
      <c r="P123" s="9" t="str">
        <f t="shared" si="14"/>
        <v/>
      </c>
      <c r="Q123" s="9" t="str">
        <f t="shared" si="15"/>
        <v/>
      </c>
      <c r="R123" s="9" t="str">
        <f t="shared" si="16"/>
        <v/>
      </c>
    </row>
    <row r="124" spans="2:18" x14ac:dyDescent="0.4">
      <c r="B124" s="56">
        <v>44497</v>
      </c>
      <c r="C124" s="8"/>
      <c r="D124" s="8"/>
      <c r="E124" s="8" t="s">
        <v>447</v>
      </c>
      <c r="F124" s="8" t="s">
        <v>449</v>
      </c>
      <c r="G124" s="19"/>
      <c r="H124" s="13">
        <v>0.1</v>
      </c>
      <c r="I124" s="10">
        <v>2</v>
      </c>
      <c r="J124" s="6" t="s">
        <v>393</v>
      </c>
      <c r="K124" s="9">
        <v>217</v>
      </c>
      <c r="L124" s="9"/>
      <c r="M124" s="9">
        <f t="shared" si="22"/>
        <v>434</v>
      </c>
      <c r="N124" s="10"/>
      <c r="O124" s="10" t="str">
        <f t="shared" si="13"/>
        <v/>
      </c>
      <c r="P124" s="9" t="str">
        <f t="shared" si="14"/>
        <v/>
      </c>
      <c r="Q124" s="9" t="str">
        <f t="shared" si="15"/>
        <v/>
      </c>
      <c r="R124" s="9" t="str">
        <f t="shared" si="16"/>
        <v/>
      </c>
    </row>
    <row r="125" spans="2:18" x14ac:dyDescent="0.4">
      <c r="B125" s="56">
        <v>44497</v>
      </c>
      <c r="C125" s="8"/>
      <c r="D125" s="8"/>
      <c r="E125" s="8" t="s">
        <v>447</v>
      </c>
      <c r="F125" s="8" t="s">
        <v>450</v>
      </c>
      <c r="G125" s="19"/>
      <c r="H125" s="13">
        <v>0.1</v>
      </c>
      <c r="I125" s="10">
        <v>5</v>
      </c>
      <c r="J125" s="6" t="s">
        <v>393</v>
      </c>
      <c r="K125" s="9">
        <v>217</v>
      </c>
      <c r="L125" s="9"/>
      <c r="M125" s="9">
        <f t="shared" si="22"/>
        <v>1085</v>
      </c>
      <c r="N125" s="10"/>
      <c r="O125" s="10" t="str">
        <f t="shared" ref="O125:O165" si="23">IF(N125="","",I125-N125)</f>
        <v/>
      </c>
      <c r="P125" s="9" t="str">
        <f t="shared" ref="P125:P165" si="24">IFERROR(O125*J125,"")</f>
        <v/>
      </c>
      <c r="Q125" s="9" t="str">
        <f t="shared" ref="Q125:Q165" si="25">IFERROR(P125*O125,"")</f>
        <v/>
      </c>
      <c r="R125" s="9" t="str">
        <f t="shared" ref="R125:R165" si="26">IFERROR(Q125-P125,"")</f>
        <v/>
      </c>
    </row>
    <row r="126" spans="2:18" x14ac:dyDescent="0.4">
      <c r="B126" s="56">
        <v>44497</v>
      </c>
      <c r="C126" s="8"/>
      <c r="D126" s="8"/>
      <c r="E126" s="8" t="s">
        <v>418</v>
      </c>
      <c r="F126" s="8" t="s">
        <v>451</v>
      </c>
      <c r="G126" s="19"/>
      <c r="H126" s="13">
        <v>0.1</v>
      </c>
      <c r="I126" s="10">
        <v>24</v>
      </c>
      <c r="J126" s="6" t="s">
        <v>393</v>
      </c>
      <c r="K126" s="9">
        <v>679</v>
      </c>
      <c r="L126" s="9"/>
      <c r="M126" s="9">
        <f t="shared" si="22"/>
        <v>16296</v>
      </c>
      <c r="N126" s="10"/>
      <c r="O126" s="10" t="str">
        <f t="shared" si="23"/>
        <v/>
      </c>
      <c r="P126" s="9" t="str">
        <f t="shared" si="24"/>
        <v/>
      </c>
      <c r="Q126" s="9" t="str">
        <f t="shared" si="25"/>
        <v/>
      </c>
      <c r="R126" s="9" t="str">
        <f t="shared" si="26"/>
        <v/>
      </c>
    </row>
    <row r="127" spans="2:18" x14ac:dyDescent="0.4">
      <c r="B127" s="56">
        <v>44497</v>
      </c>
      <c r="C127" s="8"/>
      <c r="D127" s="8"/>
      <c r="E127" s="8" t="s">
        <v>418</v>
      </c>
      <c r="F127" s="8" t="s">
        <v>452</v>
      </c>
      <c r="G127" s="19"/>
      <c r="H127" s="13">
        <v>0.1</v>
      </c>
      <c r="I127" s="10">
        <v>48</v>
      </c>
      <c r="J127" s="6" t="s">
        <v>393</v>
      </c>
      <c r="K127" s="9">
        <v>199</v>
      </c>
      <c r="L127" s="9"/>
      <c r="M127" s="9">
        <f t="shared" si="22"/>
        <v>9552</v>
      </c>
      <c r="N127" s="10"/>
      <c r="O127" s="10" t="str">
        <f t="shared" si="23"/>
        <v/>
      </c>
      <c r="P127" s="9" t="str">
        <f t="shared" si="24"/>
        <v/>
      </c>
      <c r="Q127" s="9" t="str">
        <f t="shared" si="25"/>
        <v/>
      </c>
      <c r="R127" s="9" t="str">
        <f t="shared" si="26"/>
        <v/>
      </c>
    </row>
    <row r="128" spans="2:18" x14ac:dyDescent="0.4">
      <c r="B128" s="56">
        <v>44497</v>
      </c>
      <c r="C128" s="8"/>
      <c r="D128" s="8"/>
      <c r="E128" s="8" t="s">
        <v>418</v>
      </c>
      <c r="F128" s="8" t="s">
        <v>451</v>
      </c>
      <c r="G128" s="19"/>
      <c r="H128" s="13">
        <v>0.1</v>
      </c>
      <c r="I128" s="10">
        <v>12</v>
      </c>
      <c r="J128" s="6" t="s">
        <v>393</v>
      </c>
      <c r="K128" s="9">
        <v>679</v>
      </c>
      <c r="L128" s="9"/>
      <c r="M128" s="9">
        <f t="shared" si="22"/>
        <v>8148</v>
      </c>
      <c r="N128" s="10"/>
      <c r="O128" s="10" t="str">
        <f t="shared" si="23"/>
        <v/>
      </c>
      <c r="P128" s="9" t="str">
        <f t="shared" si="24"/>
        <v/>
      </c>
      <c r="Q128" s="9" t="str">
        <f t="shared" si="25"/>
        <v/>
      </c>
      <c r="R128" s="9" t="str">
        <f t="shared" si="26"/>
        <v/>
      </c>
    </row>
    <row r="129" spans="2:18" x14ac:dyDescent="0.4">
      <c r="B129" s="56">
        <v>44497</v>
      </c>
      <c r="C129" s="8"/>
      <c r="D129" s="8"/>
      <c r="E129" s="8" t="s">
        <v>418</v>
      </c>
      <c r="F129" s="8" t="s">
        <v>453</v>
      </c>
      <c r="G129" s="19"/>
      <c r="H129" s="13">
        <v>0.08</v>
      </c>
      <c r="I129" s="10">
        <v>2</v>
      </c>
      <c r="J129" s="6" t="s">
        <v>393</v>
      </c>
      <c r="K129" s="9">
        <v>1656</v>
      </c>
      <c r="L129" s="9"/>
      <c r="M129" s="9">
        <v>3312</v>
      </c>
      <c r="N129" s="10"/>
      <c r="O129" s="10" t="str">
        <f t="shared" si="23"/>
        <v/>
      </c>
      <c r="P129" s="9" t="str">
        <f t="shared" si="24"/>
        <v/>
      </c>
      <c r="Q129" s="9" t="str">
        <f t="shared" si="25"/>
        <v/>
      </c>
      <c r="R129" s="9" t="str">
        <f t="shared" si="26"/>
        <v/>
      </c>
    </row>
    <row r="130" spans="2:18" x14ac:dyDescent="0.4">
      <c r="B130" s="56">
        <v>44497</v>
      </c>
      <c r="C130" s="8"/>
      <c r="D130" s="8"/>
      <c r="E130" s="8" t="s">
        <v>418</v>
      </c>
      <c r="F130" s="8" t="s">
        <v>454</v>
      </c>
      <c r="G130" s="19"/>
      <c r="H130" s="13">
        <v>0.08</v>
      </c>
      <c r="I130" s="10">
        <v>2</v>
      </c>
      <c r="J130" s="6" t="s">
        <v>393</v>
      </c>
      <c r="K130" s="9">
        <v>1656</v>
      </c>
      <c r="L130" s="9"/>
      <c r="M130" s="9">
        <f>K130*I130</f>
        <v>3312</v>
      </c>
      <c r="N130" s="10"/>
      <c r="O130" s="10" t="str">
        <f t="shared" si="23"/>
        <v/>
      </c>
      <c r="P130" s="9" t="str">
        <f t="shared" si="24"/>
        <v/>
      </c>
      <c r="Q130" s="9" t="str">
        <f t="shared" si="25"/>
        <v/>
      </c>
      <c r="R130" s="9" t="str">
        <f t="shared" si="26"/>
        <v/>
      </c>
    </row>
    <row r="131" spans="2:18" x14ac:dyDescent="0.4">
      <c r="B131" s="56">
        <v>44497</v>
      </c>
      <c r="C131" s="8"/>
      <c r="D131" s="8"/>
      <c r="E131" s="8" t="s">
        <v>418</v>
      </c>
      <c r="F131" s="8" t="s">
        <v>455</v>
      </c>
      <c r="G131" s="19"/>
      <c r="H131" s="13">
        <v>0.08</v>
      </c>
      <c r="I131" s="10">
        <v>2</v>
      </c>
      <c r="J131" s="6" t="s">
        <v>393</v>
      </c>
      <c r="K131" s="9">
        <v>1170</v>
      </c>
      <c r="L131" s="9"/>
      <c r="M131" s="9">
        <f t="shared" ref="M131:M150" si="27">K131*I131</f>
        <v>2340</v>
      </c>
      <c r="N131" s="10"/>
      <c r="O131" s="10" t="str">
        <f t="shared" si="23"/>
        <v/>
      </c>
      <c r="P131" s="9" t="str">
        <f t="shared" si="24"/>
        <v/>
      </c>
      <c r="Q131" s="9" t="str">
        <f t="shared" si="25"/>
        <v/>
      </c>
      <c r="R131" s="9" t="str">
        <f t="shared" si="26"/>
        <v/>
      </c>
    </row>
    <row r="132" spans="2:18" x14ac:dyDescent="0.4">
      <c r="B132" s="56">
        <v>44497</v>
      </c>
      <c r="C132" s="8"/>
      <c r="D132" s="8"/>
      <c r="E132" s="8" t="s">
        <v>418</v>
      </c>
      <c r="F132" s="8" t="s">
        <v>456</v>
      </c>
      <c r="G132" s="19"/>
      <c r="H132" s="13">
        <v>0.08</v>
      </c>
      <c r="I132" s="10">
        <v>2</v>
      </c>
      <c r="J132" s="6" t="s">
        <v>393</v>
      </c>
      <c r="K132" s="9">
        <v>1170</v>
      </c>
      <c r="L132" s="9"/>
      <c r="M132" s="9">
        <f t="shared" si="27"/>
        <v>2340</v>
      </c>
      <c r="N132" s="10"/>
      <c r="O132" s="10" t="str">
        <f t="shared" si="23"/>
        <v/>
      </c>
      <c r="P132" s="9" t="str">
        <f t="shared" si="24"/>
        <v/>
      </c>
      <c r="Q132" s="9" t="str">
        <f t="shared" si="25"/>
        <v/>
      </c>
      <c r="R132" s="9" t="str">
        <f t="shared" si="26"/>
        <v/>
      </c>
    </row>
    <row r="133" spans="2:18" x14ac:dyDescent="0.4">
      <c r="B133" s="56">
        <v>44497</v>
      </c>
      <c r="C133" s="8"/>
      <c r="D133" s="8"/>
      <c r="E133" s="8" t="s">
        <v>418</v>
      </c>
      <c r="F133" s="8" t="s">
        <v>457</v>
      </c>
      <c r="G133" s="19"/>
      <c r="H133" s="13">
        <v>0.08</v>
      </c>
      <c r="I133" s="10">
        <v>2</v>
      </c>
      <c r="J133" s="6" t="s">
        <v>393</v>
      </c>
      <c r="K133" s="9">
        <v>1656</v>
      </c>
      <c r="L133" s="9"/>
      <c r="M133" s="9">
        <f t="shared" si="27"/>
        <v>3312</v>
      </c>
      <c r="N133" s="10"/>
      <c r="O133" s="10" t="str">
        <f t="shared" si="23"/>
        <v/>
      </c>
      <c r="P133" s="9" t="str">
        <f t="shared" si="24"/>
        <v/>
      </c>
      <c r="Q133" s="9" t="str">
        <f t="shared" si="25"/>
        <v/>
      </c>
      <c r="R133" s="9" t="str">
        <f t="shared" si="26"/>
        <v/>
      </c>
    </row>
    <row r="134" spans="2:18" x14ac:dyDescent="0.4">
      <c r="B134" s="56">
        <v>44497</v>
      </c>
      <c r="C134" s="8"/>
      <c r="D134" s="8"/>
      <c r="E134" s="8" t="s">
        <v>418</v>
      </c>
      <c r="F134" s="8" t="s">
        <v>458</v>
      </c>
      <c r="G134" s="19"/>
      <c r="H134" s="13">
        <v>0.08</v>
      </c>
      <c r="I134" s="10">
        <v>2</v>
      </c>
      <c r="J134" s="6" t="s">
        <v>393</v>
      </c>
      <c r="K134" s="9">
        <v>1656</v>
      </c>
      <c r="L134" s="9"/>
      <c r="M134" s="9">
        <f t="shared" si="27"/>
        <v>3312</v>
      </c>
      <c r="N134" s="10"/>
      <c r="O134" s="10" t="str">
        <f t="shared" si="23"/>
        <v/>
      </c>
      <c r="P134" s="9" t="str">
        <f t="shared" si="24"/>
        <v/>
      </c>
      <c r="Q134" s="9" t="str">
        <f t="shared" si="25"/>
        <v/>
      </c>
      <c r="R134" s="9" t="str">
        <f t="shared" si="26"/>
        <v/>
      </c>
    </row>
    <row r="135" spans="2:18" x14ac:dyDescent="0.4">
      <c r="B135" s="56">
        <v>44497</v>
      </c>
      <c r="C135" s="8"/>
      <c r="D135" s="8"/>
      <c r="E135" s="8" t="s">
        <v>418</v>
      </c>
      <c r="F135" s="8" t="s">
        <v>459</v>
      </c>
      <c r="G135" s="19"/>
      <c r="H135" s="13">
        <v>0.08</v>
      </c>
      <c r="I135" s="10">
        <v>2</v>
      </c>
      <c r="J135" s="6" t="s">
        <v>393</v>
      </c>
      <c r="K135" s="9">
        <v>1470</v>
      </c>
      <c r="L135" s="9"/>
      <c r="M135" s="9">
        <f t="shared" si="27"/>
        <v>2940</v>
      </c>
      <c r="N135" s="10"/>
      <c r="O135" s="10" t="str">
        <f t="shared" si="23"/>
        <v/>
      </c>
      <c r="P135" s="9" t="str">
        <f t="shared" si="24"/>
        <v/>
      </c>
      <c r="Q135" s="9" t="str">
        <f t="shared" si="25"/>
        <v/>
      </c>
      <c r="R135" s="9" t="str">
        <f t="shared" si="26"/>
        <v/>
      </c>
    </row>
    <row r="136" spans="2:18" x14ac:dyDescent="0.4">
      <c r="B136" s="56">
        <v>44497</v>
      </c>
      <c r="C136" s="8"/>
      <c r="D136" s="8"/>
      <c r="E136" s="8" t="s">
        <v>418</v>
      </c>
      <c r="F136" s="8" t="s">
        <v>460</v>
      </c>
      <c r="G136" s="19"/>
      <c r="H136" s="13">
        <v>0.08</v>
      </c>
      <c r="I136" s="10">
        <v>2</v>
      </c>
      <c r="J136" s="6" t="s">
        <v>393</v>
      </c>
      <c r="K136" s="9">
        <v>1470</v>
      </c>
      <c r="L136" s="9"/>
      <c r="M136" s="9">
        <f t="shared" si="27"/>
        <v>2940</v>
      </c>
      <c r="N136" s="10"/>
      <c r="O136" s="10" t="str">
        <f t="shared" si="23"/>
        <v/>
      </c>
      <c r="P136" s="9" t="str">
        <f t="shared" si="24"/>
        <v/>
      </c>
      <c r="Q136" s="9" t="str">
        <f t="shared" si="25"/>
        <v/>
      </c>
      <c r="R136" s="9" t="str">
        <f t="shared" si="26"/>
        <v/>
      </c>
    </row>
    <row r="137" spans="2:18" x14ac:dyDescent="0.4">
      <c r="B137" s="56">
        <v>44497</v>
      </c>
      <c r="C137" s="8"/>
      <c r="D137" s="8"/>
      <c r="E137" s="8" t="s">
        <v>418</v>
      </c>
      <c r="F137" s="8" t="s">
        <v>461</v>
      </c>
      <c r="G137" s="19"/>
      <c r="H137" s="13">
        <v>0.08</v>
      </c>
      <c r="I137" s="10">
        <v>2</v>
      </c>
      <c r="J137" s="6" t="s">
        <v>393</v>
      </c>
      <c r="K137" s="9">
        <v>1896</v>
      </c>
      <c r="L137" s="9"/>
      <c r="M137" s="9">
        <f t="shared" si="27"/>
        <v>3792</v>
      </c>
      <c r="N137" s="10"/>
      <c r="O137" s="10" t="str">
        <f t="shared" si="23"/>
        <v/>
      </c>
      <c r="P137" s="9" t="str">
        <f t="shared" si="24"/>
        <v/>
      </c>
      <c r="Q137" s="9" t="str">
        <f t="shared" si="25"/>
        <v/>
      </c>
      <c r="R137" s="9" t="str">
        <f t="shared" si="26"/>
        <v/>
      </c>
    </row>
    <row r="138" spans="2:18" x14ac:dyDescent="0.4">
      <c r="B138" s="56">
        <v>44497</v>
      </c>
      <c r="C138" s="8"/>
      <c r="D138" s="8"/>
      <c r="E138" s="8" t="s">
        <v>418</v>
      </c>
      <c r="F138" s="8" t="s">
        <v>462</v>
      </c>
      <c r="G138" s="19"/>
      <c r="H138" s="13">
        <v>0.08</v>
      </c>
      <c r="I138" s="10">
        <v>2</v>
      </c>
      <c r="J138" s="6" t="s">
        <v>393</v>
      </c>
      <c r="K138" s="9">
        <v>1416</v>
      </c>
      <c r="L138" s="9"/>
      <c r="M138" s="9">
        <f t="shared" si="27"/>
        <v>2832</v>
      </c>
      <c r="N138" s="10"/>
      <c r="O138" s="10" t="str">
        <f t="shared" si="23"/>
        <v/>
      </c>
      <c r="P138" s="9" t="str">
        <f t="shared" si="24"/>
        <v/>
      </c>
      <c r="Q138" s="9" t="str">
        <f t="shared" si="25"/>
        <v/>
      </c>
      <c r="R138" s="9" t="str">
        <f t="shared" si="26"/>
        <v/>
      </c>
    </row>
    <row r="139" spans="2:18" x14ac:dyDescent="0.4">
      <c r="B139" s="56">
        <v>44497</v>
      </c>
      <c r="C139" s="8"/>
      <c r="D139" s="8"/>
      <c r="E139" s="8" t="s">
        <v>418</v>
      </c>
      <c r="F139" s="8" t="s">
        <v>463</v>
      </c>
      <c r="G139" s="19"/>
      <c r="H139" s="13">
        <v>0.08</v>
      </c>
      <c r="I139" s="10">
        <v>2</v>
      </c>
      <c r="J139" s="6" t="s">
        <v>393</v>
      </c>
      <c r="K139" s="9">
        <v>1896</v>
      </c>
      <c r="L139" s="9"/>
      <c r="M139" s="9">
        <f t="shared" si="27"/>
        <v>3792</v>
      </c>
      <c r="N139" s="10"/>
      <c r="O139" s="10" t="str">
        <f t="shared" si="23"/>
        <v/>
      </c>
      <c r="P139" s="9" t="str">
        <f t="shared" si="24"/>
        <v/>
      </c>
      <c r="Q139" s="9" t="str">
        <f t="shared" si="25"/>
        <v/>
      </c>
      <c r="R139" s="9" t="str">
        <f t="shared" si="26"/>
        <v/>
      </c>
    </row>
    <row r="140" spans="2:18" x14ac:dyDescent="0.4">
      <c r="B140" s="56">
        <v>44497</v>
      </c>
      <c r="C140" s="8"/>
      <c r="D140" s="8"/>
      <c r="E140" s="8" t="s">
        <v>418</v>
      </c>
      <c r="F140" s="8" t="s">
        <v>464</v>
      </c>
      <c r="G140" s="19"/>
      <c r="H140" s="13">
        <v>0.08</v>
      </c>
      <c r="I140" s="10">
        <v>2</v>
      </c>
      <c r="J140" s="6" t="s">
        <v>393</v>
      </c>
      <c r="K140" s="9">
        <v>1000</v>
      </c>
      <c r="L140" s="9"/>
      <c r="M140" s="9">
        <f t="shared" si="27"/>
        <v>2000</v>
      </c>
      <c r="N140" s="10"/>
      <c r="O140" s="10" t="str">
        <f t="shared" si="23"/>
        <v/>
      </c>
      <c r="P140" s="9" t="str">
        <f t="shared" si="24"/>
        <v/>
      </c>
      <c r="Q140" s="9" t="str">
        <f t="shared" si="25"/>
        <v/>
      </c>
      <c r="R140" s="9" t="str">
        <f t="shared" si="26"/>
        <v/>
      </c>
    </row>
    <row r="141" spans="2:18" x14ac:dyDescent="0.4">
      <c r="B141" s="56">
        <v>44497</v>
      </c>
      <c r="C141" s="8"/>
      <c r="D141" s="8"/>
      <c r="E141" s="8" t="s">
        <v>418</v>
      </c>
      <c r="F141" s="8" t="s">
        <v>465</v>
      </c>
      <c r="G141" s="19"/>
      <c r="H141" s="13">
        <v>0.08</v>
      </c>
      <c r="I141" s="10">
        <v>2</v>
      </c>
      <c r="J141" s="6" t="s">
        <v>393</v>
      </c>
      <c r="K141" s="9">
        <v>1000</v>
      </c>
      <c r="L141" s="9"/>
      <c r="M141" s="9">
        <f t="shared" si="27"/>
        <v>2000</v>
      </c>
      <c r="N141" s="10"/>
      <c r="O141" s="10" t="str">
        <f t="shared" si="23"/>
        <v/>
      </c>
      <c r="P141" s="9" t="str">
        <f t="shared" si="24"/>
        <v/>
      </c>
      <c r="Q141" s="9" t="str">
        <f t="shared" si="25"/>
        <v/>
      </c>
      <c r="R141" s="9" t="str">
        <f t="shared" si="26"/>
        <v/>
      </c>
    </row>
    <row r="142" spans="2:18" x14ac:dyDescent="0.4">
      <c r="B142" s="56">
        <v>44497</v>
      </c>
      <c r="C142" s="8"/>
      <c r="D142" s="8"/>
      <c r="E142" s="8" t="s">
        <v>439</v>
      </c>
      <c r="F142" s="8" t="s">
        <v>445</v>
      </c>
      <c r="G142" s="19"/>
      <c r="H142" s="13">
        <v>0.08</v>
      </c>
      <c r="I142" s="10">
        <v>14</v>
      </c>
      <c r="J142" s="6" t="s">
        <v>393</v>
      </c>
      <c r="K142" s="9">
        <v>248</v>
      </c>
      <c r="L142" s="9"/>
      <c r="M142" s="9">
        <f t="shared" si="27"/>
        <v>3472</v>
      </c>
      <c r="N142" s="10"/>
      <c r="O142" s="10" t="str">
        <f t="shared" si="23"/>
        <v/>
      </c>
      <c r="P142" s="9" t="str">
        <f t="shared" si="24"/>
        <v/>
      </c>
      <c r="Q142" s="9" t="str">
        <f t="shared" si="25"/>
        <v/>
      </c>
      <c r="R142" s="9" t="str">
        <f t="shared" si="26"/>
        <v/>
      </c>
    </row>
    <row r="143" spans="2:18" x14ac:dyDescent="0.4">
      <c r="B143" s="56">
        <v>44497</v>
      </c>
      <c r="C143" s="8"/>
      <c r="D143" s="8"/>
      <c r="E143" s="8" t="s">
        <v>439</v>
      </c>
      <c r="F143" s="8" t="s">
        <v>466</v>
      </c>
      <c r="G143" s="19"/>
      <c r="H143" s="13">
        <v>0.08</v>
      </c>
      <c r="I143" s="10">
        <v>24</v>
      </c>
      <c r="J143" s="6" t="s">
        <v>393</v>
      </c>
      <c r="K143" s="9">
        <v>198</v>
      </c>
      <c r="L143" s="9"/>
      <c r="M143" s="9">
        <f t="shared" si="27"/>
        <v>4752</v>
      </c>
      <c r="N143" s="10"/>
      <c r="O143" s="10" t="str">
        <f t="shared" si="23"/>
        <v/>
      </c>
      <c r="P143" s="9" t="str">
        <f t="shared" si="24"/>
        <v/>
      </c>
      <c r="Q143" s="9" t="str">
        <f t="shared" si="25"/>
        <v/>
      </c>
      <c r="R143" s="9" t="str">
        <f t="shared" si="26"/>
        <v/>
      </c>
    </row>
    <row r="144" spans="2:18" x14ac:dyDescent="0.4">
      <c r="B144" s="56">
        <v>44497</v>
      </c>
      <c r="C144" s="8"/>
      <c r="D144" s="8"/>
      <c r="E144" s="8" t="s">
        <v>439</v>
      </c>
      <c r="F144" s="8" t="s">
        <v>467</v>
      </c>
      <c r="G144" s="19"/>
      <c r="H144" s="13">
        <v>0.08</v>
      </c>
      <c r="I144" s="10">
        <v>12</v>
      </c>
      <c r="J144" s="6" t="s">
        <v>393</v>
      </c>
      <c r="K144" s="9">
        <v>69</v>
      </c>
      <c r="L144" s="9"/>
      <c r="M144" s="9">
        <f t="shared" si="27"/>
        <v>828</v>
      </c>
      <c r="N144" s="10"/>
      <c r="O144" s="10" t="str">
        <f t="shared" si="23"/>
        <v/>
      </c>
      <c r="P144" s="9" t="str">
        <f t="shared" si="24"/>
        <v/>
      </c>
      <c r="Q144" s="9" t="str">
        <f t="shared" si="25"/>
        <v/>
      </c>
      <c r="R144" s="9" t="str">
        <f t="shared" si="26"/>
        <v/>
      </c>
    </row>
    <row r="145" spans="2:18" x14ac:dyDescent="0.4">
      <c r="B145" s="56">
        <v>44497</v>
      </c>
      <c r="C145" s="8"/>
      <c r="D145" s="8"/>
      <c r="E145" s="8" t="s">
        <v>439</v>
      </c>
      <c r="F145" s="8" t="s">
        <v>441</v>
      </c>
      <c r="G145" s="19"/>
      <c r="H145" s="13">
        <v>0.08</v>
      </c>
      <c r="I145" s="10">
        <v>12</v>
      </c>
      <c r="J145" s="6" t="s">
        <v>393</v>
      </c>
      <c r="K145" s="9">
        <v>69</v>
      </c>
      <c r="L145" s="9"/>
      <c r="M145" s="9">
        <f t="shared" si="27"/>
        <v>828</v>
      </c>
      <c r="N145" s="10"/>
      <c r="O145" s="10" t="str">
        <f t="shared" si="23"/>
        <v/>
      </c>
      <c r="P145" s="9" t="str">
        <f t="shared" si="24"/>
        <v/>
      </c>
      <c r="Q145" s="9" t="str">
        <f t="shared" si="25"/>
        <v/>
      </c>
      <c r="R145" s="9" t="str">
        <f t="shared" si="26"/>
        <v/>
      </c>
    </row>
    <row r="146" spans="2:18" x14ac:dyDescent="0.4">
      <c r="B146" s="56">
        <v>44497</v>
      </c>
      <c r="C146" s="8"/>
      <c r="D146" s="8"/>
      <c r="E146" s="8" t="s">
        <v>439</v>
      </c>
      <c r="F146" s="8" t="s">
        <v>444</v>
      </c>
      <c r="G146" s="19"/>
      <c r="H146" s="13">
        <v>0.08</v>
      </c>
      <c r="I146" s="10">
        <v>12</v>
      </c>
      <c r="J146" s="6" t="s">
        <v>393</v>
      </c>
      <c r="K146" s="9">
        <v>98</v>
      </c>
      <c r="L146" s="9"/>
      <c r="M146" s="9">
        <f t="shared" si="27"/>
        <v>1176</v>
      </c>
      <c r="N146" s="10"/>
      <c r="O146" s="10" t="str">
        <f t="shared" si="23"/>
        <v/>
      </c>
      <c r="P146" s="9" t="str">
        <f t="shared" si="24"/>
        <v/>
      </c>
      <c r="Q146" s="9" t="str">
        <f t="shared" si="25"/>
        <v/>
      </c>
      <c r="R146" s="9" t="str">
        <f t="shared" si="26"/>
        <v/>
      </c>
    </row>
    <row r="147" spans="2:18" x14ac:dyDescent="0.4">
      <c r="B147" s="56">
        <v>44497</v>
      </c>
      <c r="C147" s="8"/>
      <c r="D147" s="8"/>
      <c r="E147" s="8" t="s">
        <v>439</v>
      </c>
      <c r="F147" s="8" t="s">
        <v>446</v>
      </c>
      <c r="G147" s="19"/>
      <c r="H147" s="13">
        <v>0.08</v>
      </c>
      <c r="I147" s="10">
        <v>40</v>
      </c>
      <c r="J147" s="6" t="s">
        <v>393</v>
      </c>
      <c r="K147" s="9">
        <v>148</v>
      </c>
      <c r="L147" s="9"/>
      <c r="M147" s="9">
        <f t="shared" si="27"/>
        <v>5920</v>
      </c>
      <c r="N147" s="10"/>
      <c r="O147" s="10" t="str">
        <f t="shared" si="23"/>
        <v/>
      </c>
      <c r="P147" s="9" t="str">
        <f t="shared" si="24"/>
        <v/>
      </c>
      <c r="Q147" s="9" t="str">
        <f t="shared" si="25"/>
        <v/>
      </c>
      <c r="R147" s="9" t="str">
        <f t="shared" si="26"/>
        <v/>
      </c>
    </row>
    <row r="148" spans="2:18" x14ac:dyDescent="0.4">
      <c r="B148" s="56">
        <v>44497</v>
      </c>
      <c r="C148" s="8"/>
      <c r="D148" s="8"/>
      <c r="E148" s="8" t="s">
        <v>439</v>
      </c>
      <c r="F148" s="8" t="s">
        <v>443</v>
      </c>
      <c r="G148" s="19"/>
      <c r="H148" s="13">
        <v>0.08</v>
      </c>
      <c r="I148" s="10">
        <v>9</v>
      </c>
      <c r="J148" s="6" t="s">
        <v>393</v>
      </c>
      <c r="K148" s="9">
        <v>98</v>
      </c>
      <c r="L148" s="9"/>
      <c r="M148" s="9">
        <f t="shared" si="27"/>
        <v>882</v>
      </c>
      <c r="N148" s="10"/>
      <c r="O148" s="10" t="str">
        <f t="shared" si="23"/>
        <v/>
      </c>
      <c r="P148" s="9" t="str">
        <f t="shared" si="24"/>
        <v/>
      </c>
      <c r="Q148" s="9" t="str">
        <f t="shared" si="25"/>
        <v/>
      </c>
      <c r="R148" s="9" t="str">
        <f t="shared" si="26"/>
        <v/>
      </c>
    </row>
    <row r="149" spans="2:18" x14ac:dyDescent="0.4">
      <c r="B149" s="56">
        <v>44497</v>
      </c>
      <c r="C149" s="8"/>
      <c r="D149" s="8"/>
      <c r="E149" s="8" t="s">
        <v>439</v>
      </c>
      <c r="F149" s="8" t="s">
        <v>468</v>
      </c>
      <c r="G149" s="19"/>
      <c r="H149" s="13">
        <v>0.08</v>
      </c>
      <c r="I149" s="10">
        <v>50</v>
      </c>
      <c r="J149" s="6" t="s">
        <v>393</v>
      </c>
      <c r="K149" s="9">
        <v>78</v>
      </c>
      <c r="L149" s="9"/>
      <c r="M149" s="9">
        <f t="shared" si="27"/>
        <v>3900</v>
      </c>
      <c r="N149" s="10"/>
      <c r="O149" s="10" t="str">
        <f t="shared" si="23"/>
        <v/>
      </c>
      <c r="P149" s="9" t="str">
        <f t="shared" si="24"/>
        <v/>
      </c>
      <c r="Q149" s="9" t="str">
        <f t="shared" si="25"/>
        <v/>
      </c>
      <c r="R149" s="9" t="str">
        <f t="shared" si="26"/>
        <v/>
      </c>
    </row>
    <row r="150" spans="2:18" x14ac:dyDescent="0.4">
      <c r="B150" s="56">
        <v>44497</v>
      </c>
      <c r="C150" s="8"/>
      <c r="D150" s="8"/>
      <c r="E150" s="8" t="s">
        <v>439</v>
      </c>
      <c r="F150" s="8" t="s">
        <v>469</v>
      </c>
      <c r="G150" s="19"/>
      <c r="H150" s="13">
        <v>0.08</v>
      </c>
      <c r="I150" s="10">
        <v>50</v>
      </c>
      <c r="J150" s="6" t="s">
        <v>393</v>
      </c>
      <c r="K150" s="9">
        <v>78</v>
      </c>
      <c r="L150" s="9"/>
      <c r="M150" s="9">
        <f t="shared" si="27"/>
        <v>3900</v>
      </c>
      <c r="N150" s="10"/>
      <c r="O150" s="10" t="str">
        <f t="shared" si="23"/>
        <v/>
      </c>
      <c r="P150" s="9" t="str">
        <f t="shared" si="24"/>
        <v/>
      </c>
      <c r="Q150" s="9" t="str">
        <f t="shared" si="25"/>
        <v/>
      </c>
      <c r="R150" s="9" t="str">
        <f t="shared" si="26"/>
        <v/>
      </c>
    </row>
    <row r="151" spans="2:18" x14ac:dyDescent="0.4">
      <c r="B151" s="8"/>
      <c r="C151" s="8"/>
      <c r="D151" s="8"/>
      <c r="E151" s="8"/>
      <c r="F151" s="8"/>
      <c r="G151" s="19"/>
      <c r="H151" s="8"/>
      <c r="I151" s="10"/>
      <c r="J151" s="9"/>
      <c r="K151" s="9"/>
      <c r="L151" s="9"/>
      <c r="M151" s="9"/>
      <c r="N151" s="10"/>
      <c r="O151" s="10" t="str">
        <f t="shared" si="23"/>
        <v/>
      </c>
      <c r="P151" s="9" t="str">
        <f t="shared" si="24"/>
        <v/>
      </c>
      <c r="Q151" s="9" t="str">
        <f t="shared" si="25"/>
        <v/>
      </c>
      <c r="R151" s="9" t="str">
        <f t="shared" si="26"/>
        <v/>
      </c>
    </row>
    <row r="152" spans="2:18" x14ac:dyDescent="0.4">
      <c r="B152" s="8"/>
      <c r="C152" s="8"/>
      <c r="D152" s="8"/>
      <c r="E152" s="8"/>
      <c r="F152" s="8"/>
      <c r="G152" s="19"/>
      <c r="H152" s="8"/>
      <c r="I152" s="10"/>
      <c r="J152" s="9"/>
      <c r="K152" s="9"/>
      <c r="L152" s="9"/>
      <c r="M152" s="9"/>
      <c r="N152" s="10"/>
      <c r="O152" s="10" t="str">
        <f t="shared" si="23"/>
        <v/>
      </c>
      <c r="P152" s="9" t="str">
        <f t="shared" si="24"/>
        <v/>
      </c>
      <c r="Q152" s="9" t="str">
        <f t="shared" si="25"/>
        <v/>
      </c>
      <c r="R152" s="9" t="str">
        <f t="shared" si="26"/>
        <v/>
      </c>
    </row>
    <row r="153" spans="2:18" x14ac:dyDescent="0.4">
      <c r="B153" s="8"/>
      <c r="C153" s="8"/>
      <c r="D153" s="8"/>
      <c r="E153" s="8"/>
      <c r="F153" s="8"/>
      <c r="G153" s="19"/>
      <c r="H153" s="8"/>
      <c r="I153" s="10"/>
      <c r="J153" s="9"/>
      <c r="K153" s="9"/>
      <c r="L153" s="9"/>
      <c r="M153" s="9"/>
      <c r="N153" s="10"/>
      <c r="O153" s="10" t="str">
        <f t="shared" si="23"/>
        <v/>
      </c>
      <c r="P153" s="9" t="str">
        <f t="shared" si="24"/>
        <v/>
      </c>
      <c r="Q153" s="9" t="str">
        <f t="shared" si="25"/>
        <v/>
      </c>
      <c r="R153" s="9" t="str">
        <f t="shared" si="26"/>
        <v/>
      </c>
    </row>
    <row r="154" spans="2:18" x14ac:dyDescent="0.4">
      <c r="B154" s="8"/>
      <c r="C154" s="8"/>
      <c r="D154" s="8"/>
      <c r="E154" s="8"/>
      <c r="F154" s="8"/>
      <c r="G154" s="19"/>
      <c r="H154" s="8"/>
      <c r="I154" s="10"/>
      <c r="J154" s="9"/>
      <c r="K154" s="9"/>
      <c r="L154" s="9"/>
      <c r="M154" s="9"/>
      <c r="N154" s="10"/>
      <c r="O154" s="10" t="str">
        <f t="shared" si="23"/>
        <v/>
      </c>
      <c r="P154" s="9" t="str">
        <f t="shared" si="24"/>
        <v/>
      </c>
      <c r="Q154" s="9" t="str">
        <f t="shared" si="25"/>
        <v/>
      </c>
      <c r="R154" s="9" t="str">
        <f t="shared" si="26"/>
        <v/>
      </c>
    </row>
    <row r="155" spans="2:18" x14ac:dyDescent="0.4">
      <c r="B155" s="8"/>
      <c r="C155" s="8"/>
      <c r="D155" s="8"/>
      <c r="E155" s="8"/>
      <c r="F155" s="8"/>
      <c r="G155" s="19"/>
      <c r="H155" s="8"/>
      <c r="I155" s="10"/>
      <c r="J155" s="9"/>
      <c r="K155" s="9"/>
      <c r="L155" s="9"/>
      <c r="M155" s="9"/>
      <c r="N155" s="10"/>
      <c r="O155" s="10" t="str">
        <f t="shared" si="23"/>
        <v/>
      </c>
      <c r="P155" s="9" t="str">
        <f t="shared" si="24"/>
        <v/>
      </c>
      <c r="Q155" s="9" t="str">
        <f t="shared" si="25"/>
        <v/>
      </c>
      <c r="R155" s="9" t="str">
        <f t="shared" si="26"/>
        <v/>
      </c>
    </row>
    <row r="156" spans="2:18" x14ac:dyDescent="0.4">
      <c r="B156" s="8"/>
      <c r="C156" s="8"/>
      <c r="D156" s="8"/>
      <c r="E156" s="8"/>
      <c r="F156" s="8"/>
      <c r="G156" s="19"/>
      <c r="H156" s="8"/>
      <c r="I156" s="10"/>
      <c r="J156" s="9"/>
      <c r="K156" s="9"/>
      <c r="L156" s="9"/>
      <c r="M156" s="9"/>
      <c r="N156" s="10"/>
      <c r="O156" s="10" t="str">
        <f t="shared" si="23"/>
        <v/>
      </c>
      <c r="P156" s="9" t="str">
        <f t="shared" si="24"/>
        <v/>
      </c>
      <c r="Q156" s="9" t="str">
        <f t="shared" si="25"/>
        <v/>
      </c>
      <c r="R156" s="9" t="str">
        <f t="shared" si="26"/>
        <v/>
      </c>
    </row>
    <row r="157" spans="2:18" x14ac:dyDescent="0.4">
      <c r="B157" s="8"/>
      <c r="C157" s="8"/>
      <c r="D157" s="8"/>
      <c r="E157" s="8"/>
      <c r="F157" s="8"/>
      <c r="G157" s="19"/>
      <c r="H157" s="8"/>
      <c r="I157" s="10"/>
      <c r="J157" s="9"/>
      <c r="K157" s="9"/>
      <c r="L157" s="9"/>
      <c r="M157" s="9"/>
      <c r="N157" s="10"/>
      <c r="O157" s="10" t="str">
        <f t="shared" si="23"/>
        <v/>
      </c>
      <c r="P157" s="9" t="str">
        <f t="shared" si="24"/>
        <v/>
      </c>
      <c r="Q157" s="9" t="str">
        <f t="shared" si="25"/>
        <v/>
      </c>
      <c r="R157" s="9" t="str">
        <f t="shared" si="26"/>
        <v/>
      </c>
    </row>
    <row r="158" spans="2:18" x14ac:dyDescent="0.4">
      <c r="B158" s="8"/>
      <c r="C158" s="8"/>
      <c r="D158" s="8"/>
      <c r="E158" s="8"/>
      <c r="F158" s="8"/>
      <c r="G158" s="19"/>
      <c r="H158" s="8"/>
      <c r="I158" s="10"/>
      <c r="J158" s="9"/>
      <c r="K158" s="9"/>
      <c r="L158" s="9"/>
      <c r="M158" s="9"/>
      <c r="N158" s="10"/>
      <c r="O158" s="10" t="str">
        <f t="shared" si="23"/>
        <v/>
      </c>
      <c r="P158" s="9" t="str">
        <f t="shared" si="24"/>
        <v/>
      </c>
      <c r="Q158" s="9" t="str">
        <f t="shared" si="25"/>
        <v/>
      </c>
      <c r="R158" s="9" t="str">
        <f t="shared" si="26"/>
        <v/>
      </c>
    </row>
    <row r="159" spans="2:18" x14ac:dyDescent="0.4">
      <c r="B159" s="8"/>
      <c r="C159" s="8"/>
      <c r="D159" s="8"/>
      <c r="E159" s="8"/>
      <c r="F159" s="8"/>
      <c r="G159" s="19"/>
      <c r="H159" s="8"/>
      <c r="I159" s="10"/>
      <c r="J159" s="9"/>
      <c r="K159" s="9"/>
      <c r="L159" s="9"/>
      <c r="M159" s="9"/>
      <c r="N159" s="10"/>
      <c r="O159" s="10" t="str">
        <f t="shared" si="23"/>
        <v/>
      </c>
      <c r="P159" s="9" t="str">
        <f t="shared" si="24"/>
        <v/>
      </c>
      <c r="Q159" s="9" t="str">
        <f t="shared" si="25"/>
        <v/>
      </c>
      <c r="R159" s="9" t="str">
        <f t="shared" si="26"/>
        <v/>
      </c>
    </row>
    <row r="160" spans="2:18" x14ac:dyDescent="0.4">
      <c r="B160" s="8"/>
      <c r="C160" s="8"/>
      <c r="D160" s="8"/>
      <c r="E160" s="8"/>
      <c r="F160" s="8"/>
      <c r="G160" s="19"/>
      <c r="H160" s="8"/>
      <c r="I160" s="10"/>
      <c r="J160" s="9"/>
      <c r="K160" s="9"/>
      <c r="L160" s="9"/>
      <c r="M160" s="9"/>
      <c r="N160" s="10"/>
      <c r="O160" s="10" t="str">
        <f t="shared" si="23"/>
        <v/>
      </c>
      <c r="P160" s="9" t="str">
        <f t="shared" si="24"/>
        <v/>
      </c>
      <c r="Q160" s="9" t="str">
        <f t="shared" si="25"/>
        <v/>
      </c>
      <c r="R160" s="9" t="str">
        <f t="shared" si="26"/>
        <v/>
      </c>
    </row>
    <row r="161" spans="2:18" x14ac:dyDescent="0.4">
      <c r="B161" s="8"/>
      <c r="C161" s="8"/>
      <c r="D161" s="8"/>
      <c r="E161" s="8"/>
      <c r="F161" s="8"/>
      <c r="G161" s="19"/>
      <c r="H161" s="8"/>
      <c r="I161" s="10"/>
      <c r="J161" s="9"/>
      <c r="K161" s="9"/>
      <c r="L161" s="9"/>
      <c r="M161" s="9"/>
      <c r="N161" s="10"/>
      <c r="O161" s="10" t="str">
        <f t="shared" si="23"/>
        <v/>
      </c>
      <c r="P161" s="9" t="str">
        <f t="shared" si="24"/>
        <v/>
      </c>
      <c r="Q161" s="9" t="str">
        <f t="shared" si="25"/>
        <v/>
      </c>
      <c r="R161" s="9" t="str">
        <f t="shared" si="26"/>
        <v/>
      </c>
    </row>
    <row r="162" spans="2:18" x14ac:dyDescent="0.4">
      <c r="B162" s="8"/>
      <c r="C162" s="8"/>
      <c r="D162" s="8"/>
      <c r="E162" s="8"/>
      <c r="F162" s="8"/>
      <c r="G162" s="19"/>
      <c r="H162" s="8"/>
      <c r="I162" s="10"/>
      <c r="J162" s="9"/>
      <c r="K162" s="9"/>
      <c r="L162" s="9"/>
      <c r="M162" s="9"/>
      <c r="N162" s="10"/>
      <c r="O162" s="10" t="str">
        <f t="shared" si="23"/>
        <v/>
      </c>
      <c r="P162" s="9" t="str">
        <f t="shared" si="24"/>
        <v/>
      </c>
      <c r="Q162" s="9" t="str">
        <f t="shared" si="25"/>
        <v/>
      </c>
      <c r="R162" s="9" t="str">
        <f t="shared" si="26"/>
        <v/>
      </c>
    </row>
    <row r="163" spans="2:18" x14ac:dyDescent="0.4">
      <c r="B163" s="8"/>
      <c r="C163" s="8"/>
      <c r="D163" s="8"/>
      <c r="E163" s="8"/>
      <c r="F163" s="8"/>
      <c r="G163" s="19"/>
      <c r="H163" s="8"/>
      <c r="I163" s="10"/>
      <c r="J163" s="9"/>
      <c r="K163" s="9"/>
      <c r="L163" s="9"/>
      <c r="M163" s="9"/>
      <c r="N163" s="10"/>
      <c r="O163" s="10" t="str">
        <f t="shared" si="23"/>
        <v/>
      </c>
      <c r="P163" s="9" t="str">
        <f t="shared" si="24"/>
        <v/>
      </c>
      <c r="Q163" s="9" t="str">
        <f t="shared" si="25"/>
        <v/>
      </c>
      <c r="R163" s="9" t="str">
        <f t="shared" si="26"/>
        <v/>
      </c>
    </row>
    <row r="164" spans="2:18" x14ac:dyDescent="0.4">
      <c r="B164" s="8"/>
      <c r="C164" s="8"/>
      <c r="D164" s="8"/>
      <c r="E164" s="8"/>
      <c r="F164" s="8"/>
      <c r="G164" s="19"/>
      <c r="H164" s="8"/>
      <c r="I164" s="10"/>
      <c r="J164" s="9"/>
      <c r="K164" s="9"/>
      <c r="L164" s="9"/>
      <c r="M164" s="9"/>
      <c r="N164" s="10"/>
      <c r="O164" s="10" t="str">
        <f t="shared" si="23"/>
        <v/>
      </c>
      <c r="P164" s="9" t="str">
        <f t="shared" si="24"/>
        <v/>
      </c>
      <c r="Q164" s="9" t="str">
        <f t="shared" si="25"/>
        <v/>
      </c>
      <c r="R164" s="9" t="str">
        <f t="shared" si="26"/>
        <v/>
      </c>
    </row>
    <row r="165" spans="2:18" x14ac:dyDescent="0.4">
      <c r="B165" s="8"/>
      <c r="C165" s="8"/>
      <c r="D165" s="8"/>
      <c r="E165" s="8"/>
      <c r="F165" s="8"/>
      <c r="G165" s="19"/>
      <c r="H165" s="8"/>
      <c r="I165" s="10"/>
      <c r="J165" s="9"/>
      <c r="K165" s="9"/>
      <c r="L165" s="9"/>
      <c r="M165" s="9"/>
      <c r="N165" s="10"/>
      <c r="O165" s="10" t="str">
        <f t="shared" si="23"/>
        <v/>
      </c>
      <c r="P165" s="9" t="str">
        <f t="shared" si="24"/>
        <v/>
      </c>
      <c r="Q165" s="9" t="str">
        <f t="shared" si="25"/>
        <v/>
      </c>
      <c r="R165" s="9" t="str">
        <f t="shared" si="26"/>
        <v/>
      </c>
    </row>
  </sheetData>
  <mergeCells count="1">
    <mergeCell ref="C41:C43"/>
  </mergeCells>
  <phoneticPr fontId="3"/>
  <pageMargins left="0.7" right="0.7" top="0.75" bottom="0.75" header="0.3" footer="0.3"/>
  <pageSetup paperSize="9" orientation="portrait" verticalDpi="0" r:id="rId1"/>
  <ignoredErrors>
    <ignoredError sqref="G8 G5:G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C491-8F16-4ED0-9D13-A9B2E2DEE26D}">
  <dimension ref="B2:R78"/>
  <sheetViews>
    <sheetView zoomScale="85" zoomScaleNormal="85" workbookViewId="0">
      <selection activeCell="A52" sqref="A52:XFD53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14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6" si="0">K6*I6</f>
        <v>15840.000000000002</v>
      </c>
      <c r="N6" s="10"/>
      <c r="O6" s="10" t="str">
        <f t="shared" ref="O6:O60" si="1">IF(N6="","",I6-N6)</f>
        <v/>
      </c>
      <c r="P6" s="9" t="str">
        <f t="shared" ref="P6:P60" si="2">IFERROR(O6*J6,"")</f>
        <v/>
      </c>
      <c r="Q6" s="9" t="str">
        <f t="shared" ref="Q6:Q60" si="3">IFERROR(P6*O6,"")</f>
        <v/>
      </c>
      <c r="R6" s="9" t="str">
        <f t="shared" ref="R6:R60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302</v>
      </c>
      <c r="F9" s="17" t="s">
        <v>140</v>
      </c>
      <c r="G9" s="19"/>
      <c r="H9" s="13">
        <v>0.1</v>
      </c>
      <c r="I9" s="10">
        <v>30</v>
      </c>
      <c r="J9" s="9">
        <v>450</v>
      </c>
      <c r="K9" s="9">
        <f>J9*110%</f>
        <v>495.00000000000006</v>
      </c>
      <c r="L9" s="9"/>
      <c r="M9" s="9">
        <f t="shared" si="0"/>
        <v>14850.000000000002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302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302</v>
      </c>
      <c r="F11" s="17" t="s">
        <v>142</v>
      </c>
      <c r="G11" s="19"/>
      <c r="H11" s="13">
        <v>0.1</v>
      </c>
      <c r="I11" s="10">
        <v>30</v>
      </c>
      <c r="J11" s="9">
        <v>450</v>
      </c>
      <c r="K11" s="9">
        <f t="shared" si="5"/>
        <v>495.00000000000006</v>
      </c>
      <c r="L11" s="9"/>
      <c r="M11" s="9">
        <f t="shared" si="0"/>
        <v>14850.000000000002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302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302</v>
      </c>
      <c r="F13" s="17" t="s">
        <v>144</v>
      </c>
      <c r="G13" s="19"/>
      <c r="H13" s="13">
        <v>0.1</v>
      </c>
      <c r="I13" s="10">
        <v>7</v>
      </c>
      <c r="J13" s="9">
        <v>75</v>
      </c>
      <c r="K13" s="9">
        <f t="shared" si="5"/>
        <v>82.5</v>
      </c>
      <c r="L13" s="9"/>
      <c r="M13" s="9">
        <f t="shared" si="0"/>
        <v>577.5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302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302</v>
      </c>
      <c r="F15" s="17" t="s">
        <v>146</v>
      </c>
      <c r="G15" s="19"/>
      <c r="H15" s="13">
        <v>0.1</v>
      </c>
      <c r="I15" s="10">
        <v>7</v>
      </c>
      <c r="J15" s="9">
        <v>75</v>
      </c>
      <c r="K15" s="9">
        <f t="shared" si="5"/>
        <v>82.5</v>
      </c>
      <c r="L15" s="9"/>
      <c r="M15" s="9">
        <f t="shared" si="0"/>
        <v>577.5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302</v>
      </c>
      <c r="F16" s="17" t="s">
        <v>147</v>
      </c>
      <c r="G16" s="19"/>
      <c r="H16" s="13">
        <v>0.1</v>
      </c>
      <c r="I16" s="10">
        <v>7</v>
      </c>
      <c r="J16" s="9">
        <v>75</v>
      </c>
      <c r="K16" s="9">
        <f t="shared" si="5"/>
        <v>82.5</v>
      </c>
      <c r="L16" s="9"/>
      <c r="M16" s="9">
        <f t="shared" si="0"/>
        <v>577.5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302</v>
      </c>
      <c r="F17" s="17" t="s">
        <v>148</v>
      </c>
      <c r="G17" s="19"/>
      <c r="H17" s="13">
        <v>0.1</v>
      </c>
      <c r="I17" s="10">
        <v>7</v>
      </c>
      <c r="J17" s="9">
        <v>85</v>
      </c>
      <c r="K17" s="9">
        <f t="shared" si="5"/>
        <v>93.500000000000014</v>
      </c>
      <c r="L17" s="9"/>
      <c r="M17" s="9">
        <f t="shared" si="0"/>
        <v>654.50000000000011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302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302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302</v>
      </c>
      <c r="F20" s="17" t="s">
        <v>151</v>
      </c>
      <c r="G20" s="19"/>
      <c r="H20" s="13">
        <v>0.1</v>
      </c>
      <c r="I20" s="10">
        <v>7</v>
      </c>
      <c r="J20" s="9">
        <v>120</v>
      </c>
      <c r="K20" s="9">
        <f t="shared" si="5"/>
        <v>132</v>
      </c>
      <c r="L20" s="9"/>
      <c r="M20" s="9">
        <f t="shared" si="0"/>
        <v>924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302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302</v>
      </c>
      <c r="F22" s="17" t="s">
        <v>153</v>
      </c>
      <c r="G22" s="19"/>
      <c r="H22" s="13">
        <v>0.1</v>
      </c>
      <c r="I22" s="10">
        <v>7</v>
      </c>
      <c r="J22" s="9">
        <v>120</v>
      </c>
      <c r="K22" s="9">
        <f t="shared" si="5"/>
        <v>132</v>
      </c>
      <c r="L22" s="9"/>
      <c r="M22" s="9">
        <f t="shared" si="0"/>
        <v>924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302</v>
      </c>
      <c r="F23" s="17" t="s">
        <v>154</v>
      </c>
      <c r="G23" s="19"/>
      <c r="H23" s="13">
        <v>0.1</v>
      </c>
      <c r="I23" s="10">
        <v>30</v>
      </c>
      <c r="J23" s="9">
        <v>450</v>
      </c>
      <c r="K23" s="9">
        <f t="shared" si="5"/>
        <v>495.00000000000006</v>
      </c>
      <c r="L23" s="9"/>
      <c r="M23" s="9">
        <f t="shared" si="0"/>
        <v>14850.000000000002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302</v>
      </c>
      <c r="F24" s="17" t="s">
        <v>155</v>
      </c>
      <c r="G24" s="19"/>
      <c r="H24" s="13">
        <v>0.1</v>
      </c>
      <c r="I24" s="10">
        <v>30</v>
      </c>
      <c r="J24" s="9">
        <v>450</v>
      </c>
      <c r="K24" s="9">
        <f t="shared" si="5"/>
        <v>495.00000000000006</v>
      </c>
      <c r="L24" s="9"/>
      <c r="M24" s="9">
        <f t="shared" si="0"/>
        <v>14850.000000000002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302</v>
      </c>
      <c r="F25" s="17" t="s">
        <v>156</v>
      </c>
      <c r="G25" s="19"/>
      <c r="H25" s="13">
        <v>0.1</v>
      </c>
      <c r="I25" s="10">
        <v>30</v>
      </c>
      <c r="J25" s="9">
        <v>450</v>
      </c>
      <c r="K25" s="9">
        <f t="shared" si="5"/>
        <v>495.00000000000006</v>
      </c>
      <c r="L25" s="9"/>
      <c r="M25" s="9">
        <f t="shared" si="0"/>
        <v>14850.000000000002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302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ht="18.75" x14ac:dyDescent="0.4">
      <c r="B27" s="8"/>
      <c r="C27" s="26" t="s">
        <v>300</v>
      </c>
      <c r="D27" s="8"/>
      <c r="E27" s="8" t="s">
        <v>308</v>
      </c>
      <c r="F27" s="27" t="s">
        <v>309</v>
      </c>
      <c r="G27" s="30">
        <v>4977629310376</v>
      </c>
      <c r="H27" s="41">
        <v>0.08</v>
      </c>
      <c r="I27" s="10">
        <v>96</v>
      </c>
      <c r="J27" s="31">
        <v>40</v>
      </c>
      <c r="K27" s="9">
        <f>J27*108%</f>
        <v>43.2</v>
      </c>
      <c r="L27" s="9"/>
      <c r="M27" s="9">
        <f>K27*I27</f>
        <v>4147.2000000000007</v>
      </c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ht="18.75" x14ac:dyDescent="0.4">
      <c r="B28" s="8"/>
      <c r="C28" s="26" t="s">
        <v>303</v>
      </c>
      <c r="D28" s="8"/>
      <c r="E28" s="8" t="s">
        <v>308</v>
      </c>
      <c r="F28" s="28" t="s">
        <v>310</v>
      </c>
      <c r="G28" s="30">
        <v>2000000062716</v>
      </c>
      <c r="H28" s="41">
        <v>0.1</v>
      </c>
      <c r="I28" s="10">
        <v>100</v>
      </c>
      <c r="J28" s="31">
        <v>48</v>
      </c>
      <c r="K28" s="9">
        <f>J28*110%</f>
        <v>52.800000000000004</v>
      </c>
      <c r="L28" s="9"/>
      <c r="M28" s="9">
        <f t="shared" ref="M28:M57" si="6">K28*I28</f>
        <v>5280</v>
      </c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304</v>
      </c>
      <c r="D29" s="8"/>
      <c r="E29" s="8" t="s">
        <v>308</v>
      </c>
      <c r="F29" s="28" t="s">
        <v>311</v>
      </c>
      <c r="G29" s="30">
        <v>2000000064529</v>
      </c>
      <c r="H29" s="41">
        <v>0.1</v>
      </c>
      <c r="I29" s="10">
        <v>60</v>
      </c>
      <c r="J29" s="31">
        <v>80</v>
      </c>
      <c r="K29" s="9">
        <f t="shared" ref="K29:K45" si="7">J29*110%</f>
        <v>88</v>
      </c>
      <c r="L29" s="9"/>
      <c r="M29" s="9">
        <f t="shared" si="6"/>
        <v>5280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304</v>
      </c>
      <c r="D30" s="8"/>
      <c r="E30" s="8" t="s">
        <v>308</v>
      </c>
      <c r="F30" s="28" t="s">
        <v>312</v>
      </c>
      <c r="G30" s="30">
        <v>4973512263651</v>
      </c>
      <c r="H30" s="41">
        <v>0.1</v>
      </c>
      <c r="I30" s="10">
        <v>100</v>
      </c>
      <c r="J30" s="31">
        <v>80</v>
      </c>
      <c r="K30" s="9">
        <f t="shared" si="7"/>
        <v>88</v>
      </c>
      <c r="L30" s="9"/>
      <c r="M30" s="9">
        <f t="shared" si="6"/>
        <v>8800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313</v>
      </c>
      <c r="G31" s="30">
        <v>4518516000088</v>
      </c>
      <c r="H31" s="41">
        <v>0.1</v>
      </c>
      <c r="I31" s="10">
        <v>48</v>
      </c>
      <c r="J31" s="31">
        <v>130</v>
      </c>
      <c r="K31" s="9">
        <f t="shared" si="7"/>
        <v>143</v>
      </c>
      <c r="L31" s="9"/>
      <c r="M31" s="9">
        <f t="shared" si="6"/>
        <v>6864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303</v>
      </c>
      <c r="D32" s="8"/>
      <c r="E32" s="8" t="s">
        <v>308</v>
      </c>
      <c r="F32" s="28" t="s">
        <v>314</v>
      </c>
      <c r="G32" s="30">
        <v>4580419310328</v>
      </c>
      <c r="H32" s="41">
        <v>0.1</v>
      </c>
      <c r="I32" s="10">
        <v>50</v>
      </c>
      <c r="J32" s="31">
        <v>280</v>
      </c>
      <c r="K32" s="9">
        <f t="shared" si="7"/>
        <v>308</v>
      </c>
      <c r="L32" s="9"/>
      <c r="M32" s="9">
        <f t="shared" si="6"/>
        <v>15400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304</v>
      </c>
      <c r="D33" s="8"/>
      <c r="E33" s="8" t="s">
        <v>308</v>
      </c>
      <c r="F33" s="28" t="s">
        <v>315</v>
      </c>
      <c r="G33" s="30">
        <v>4904705163304</v>
      </c>
      <c r="H33" s="41">
        <v>0.1</v>
      </c>
      <c r="I33" s="10">
        <v>240</v>
      </c>
      <c r="J33" s="31">
        <v>19</v>
      </c>
      <c r="K33" s="9">
        <f t="shared" si="7"/>
        <v>20.900000000000002</v>
      </c>
      <c r="L33" s="9"/>
      <c r="M33" s="9">
        <f t="shared" si="6"/>
        <v>5016.0000000000009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304</v>
      </c>
      <c r="D34" s="8"/>
      <c r="E34" s="8" t="s">
        <v>308</v>
      </c>
      <c r="F34" s="28" t="s">
        <v>316</v>
      </c>
      <c r="G34" s="30">
        <v>4966840253630</v>
      </c>
      <c r="H34" s="41">
        <v>0.1</v>
      </c>
      <c r="I34" s="10">
        <v>240</v>
      </c>
      <c r="J34" s="31">
        <v>22</v>
      </c>
      <c r="K34" s="9">
        <f t="shared" si="7"/>
        <v>24.200000000000003</v>
      </c>
      <c r="L34" s="9"/>
      <c r="M34" s="9">
        <f t="shared" si="6"/>
        <v>5808.0000000000009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317</v>
      </c>
      <c r="G35" s="30">
        <v>8010630333869</v>
      </c>
      <c r="H35" s="41">
        <v>0.1</v>
      </c>
      <c r="I35" s="10">
        <v>400</v>
      </c>
      <c r="J35" s="31">
        <v>30</v>
      </c>
      <c r="K35" s="9">
        <f t="shared" si="7"/>
        <v>33</v>
      </c>
      <c r="L35" s="9"/>
      <c r="M35" s="9">
        <f t="shared" si="6"/>
        <v>13200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303</v>
      </c>
      <c r="D36" s="8"/>
      <c r="E36" s="8" t="s">
        <v>308</v>
      </c>
      <c r="F36" s="28" t="s">
        <v>318</v>
      </c>
      <c r="G36" s="30">
        <v>4528364820028</v>
      </c>
      <c r="H36" s="41">
        <v>0.1</v>
      </c>
      <c r="I36" s="10">
        <v>100</v>
      </c>
      <c r="J36" s="31">
        <v>35</v>
      </c>
      <c r="K36" s="9">
        <f t="shared" si="7"/>
        <v>38.5</v>
      </c>
      <c r="L36" s="9"/>
      <c r="M36" s="9">
        <f t="shared" si="6"/>
        <v>3850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304</v>
      </c>
      <c r="D37" s="8"/>
      <c r="E37" s="8" t="s">
        <v>308</v>
      </c>
      <c r="F37" s="28" t="s">
        <v>319</v>
      </c>
      <c r="G37" s="30">
        <v>4966840251551</v>
      </c>
      <c r="H37" s="41">
        <v>0.1</v>
      </c>
      <c r="I37" s="10">
        <v>144</v>
      </c>
      <c r="J37" s="31">
        <v>40</v>
      </c>
      <c r="K37" s="9">
        <f t="shared" si="7"/>
        <v>44</v>
      </c>
      <c r="L37" s="9"/>
      <c r="M37" s="9">
        <f t="shared" si="6"/>
        <v>6336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305</v>
      </c>
      <c r="D38" s="8"/>
      <c r="E38" s="8" t="s">
        <v>308</v>
      </c>
      <c r="F38" s="28" t="s">
        <v>320</v>
      </c>
      <c r="G38" s="30">
        <v>4970687211159</v>
      </c>
      <c r="H38" s="41">
        <v>0.1</v>
      </c>
      <c r="I38" s="10">
        <v>120</v>
      </c>
      <c r="J38" s="31">
        <v>80</v>
      </c>
      <c r="K38" s="9">
        <f t="shared" si="7"/>
        <v>88</v>
      </c>
      <c r="L38" s="9"/>
      <c r="M38" s="9">
        <f t="shared" si="6"/>
        <v>10560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305</v>
      </c>
      <c r="D39" s="8"/>
      <c r="E39" s="8" t="s">
        <v>308</v>
      </c>
      <c r="F39" s="28" t="s">
        <v>321</v>
      </c>
      <c r="G39" s="30">
        <v>4970687211241</v>
      </c>
      <c r="H39" s="41">
        <v>0.1</v>
      </c>
      <c r="I39" s="10">
        <v>120</v>
      </c>
      <c r="J39" s="31">
        <v>80</v>
      </c>
      <c r="K39" s="9">
        <f t="shared" si="7"/>
        <v>88</v>
      </c>
      <c r="L39" s="9"/>
      <c r="M39" s="9">
        <f t="shared" si="6"/>
        <v>10560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26" t="s">
        <v>96</v>
      </c>
      <c r="D40" s="8"/>
      <c r="E40" s="8" t="s">
        <v>308</v>
      </c>
      <c r="F40" s="28" t="s">
        <v>322</v>
      </c>
      <c r="G40" s="30">
        <v>4538291208509</v>
      </c>
      <c r="H40" s="41">
        <v>0.1</v>
      </c>
      <c r="I40" s="10">
        <v>72</v>
      </c>
      <c r="J40" s="31">
        <v>90</v>
      </c>
      <c r="K40" s="9">
        <f t="shared" si="7"/>
        <v>99.000000000000014</v>
      </c>
      <c r="L40" s="9"/>
      <c r="M40" s="9">
        <f t="shared" si="6"/>
        <v>7128.0000000000009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121" t="s">
        <v>304</v>
      </c>
      <c r="D41" s="8"/>
      <c r="E41" s="8" t="s">
        <v>308</v>
      </c>
      <c r="F41" s="28" t="s">
        <v>323</v>
      </c>
      <c r="G41" s="30">
        <v>4510482194181</v>
      </c>
      <c r="H41" s="41">
        <v>0.1</v>
      </c>
      <c r="I41" s="10">
        <v>24</v>
      </c>
      <c r="J41" s="31">
        <v>100</v>
      </c>
      <c r="K41" s="9">
        <f t="shared" si="7"/>
        <v>110.00000000000001</v>
      </c>
      <c r="L41" s="9"/>
      <c r="M41" s="9">
        <f t="shared" si="6"/>
        <v>2640.0000000000005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122"/>
      <c r="D42" s="8"/>
      <c r="E42" s="8" t="s">
        <v>308</v>
      </c>
      <c r="F42" s="28" t="s">
        <v>325</v>
      </c>
      <c r="G42" s="30">
        <v>4510482194204</v>
      </c>
      <c r="H42" s="41">
        <v>0.1</v>
      </c>
      <c r="I42" s="10">
        <v>24</v>
      </c>
      <c r="J42" s="31">
        <v>100</v>
      </c>
      <c r="K42" s="9">
        <f t="shared" si="7"/>
        <v>110.00000000000001</v>
      </c>
      <c r="L42" s="9"/>
      <c r="M42" s="9">
        <f t="shared" si="6"/>
        <v>2640.0000000000005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26" t="s">
        <v>304</v>
      </c>
      <c r="D43" s="8"/>
      <c r="E43" s="8" t="s">
        <v>308</v>
      </c>
      <c r="F43" s="28" t="s">
        <v>326</v>
      </c>
      <c r="G43" s="30">
        <v>4972603100585</v>
      </c>
      <c r="H43" s="41">
        <v>0.1</v>
      </c>
      <c r="I43" s="10">
        <v>30</v>
      </c>
      <c r="J43" s="31">
        <v>100</v>
      </c>
      <c r="K43" s="9">
        <f t="shared" si="7"/>
        <v>110.00000000000001</v>
      </c>
      <c r="L43" s="9"/>
      <c r="M43" s="9">
        <f t="shared" si="6"/>
        <v>3300.0000000000005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26" t="s">
        <v>304</v>
      </c>
      <c r="D44" s="8"/>
      <c r="E44" s="8" t="s">
        <v>308</v>
      </c>
      <c r="F44" s="28" t="s">
        <v>327</v>
      </c>
      <c r="G44" s="30">
        <v>4589596691961</v>
      </c>
      <c r="H44" s="41">
        <v>0.1</v>
      </c>
      <c r="I44" s="10">
        <v>36</v>
      </c>
      <c r="J44" s="31">
        <v>140</v>
      </c>
      <c r="K44" s="9">
        <f t="shared" si="7"/>
        <v>154</v>
      </c>
      <c r="L44" s="9"/>
      <c r="M44" s="9">
        <f t="shared" si="6"/>
        <v>5544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26" t="s">
        <v>304</v>
      </c>
      <c r="D45" s="8"/>
      <c r="E45" s="8" t="s">
        <v>308</v>
      </c>
      <c r="F45" s="28" t="s">
        <v>347</v>
      </c>
      <c r="G45" s="30">
        <v>4939560247197</v>
      </c>
      <c r="H45" s="41">
        <v>0.1</v>
      </c>
      <c r="I45" s="10">
        <v>60</v>
      </c>
      <c r="J45" s="31">
        <v>216</v>
      </c>
      <c r="K45" s="9">
        <f t="shared" si="7"/>
        <v>237.60000000000002</v>
      </c>
      <c r="L45" s="9"/>
      <c r="M45" s="9">
        <f t="shared" si="6"/>
        <v>14256.000000000002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37.5" x14ac:dyDescent="0.4">
      <c r="B46" s="8"/>
      <c r="C46" s="26" t="s">
        <v>300</v>
      </c>
      <c r="D46" s="8"/>
      <c r="E46" s="8" t="s">
        <v>308</v>
      </c>
      <c r="F46" s="29" t="s">
        <v>329</v>
      </c>
      <c r="G46" s="30">
        <v>4960867008396</v>
      </c>
      <c r="H46" s="41">
        <v>0.08</v>
      </c>
      <c r="I46" s="10">
        <v>30</v>
      </c>
      <c r="J46" s="31">
        <v>240</v>
      </c>
      <c r="K46" s="9">
        <f t="shared" ref="K46" si="8">J46*108%</f>
        <v>259.20000000000005</v>
      </c>
      <c r="L46" s="9"/>
      <c r="M46" s="9">
        <f t="shared" si="6"/>
        <v>7776.0000000000018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18.75" x14ac:dyDescent="0.4">
      <c r="B47" s="8"/>
      <c r="C47" s="26" t="s">
        <v>304</v>
      </c>
      <c r="D47" s="8"/>
      <c r="E47" s="8" t="s">
        <v>308</v>
      </c>
      <c r="F47" s="28" t="s">
        <v>333</v>
      </c>
      <c r="G47" s="30">
        <v>4939560521617</v>
      </c>
      <c r="H47" s="41">
        <v>0.1</v>
      </c>
      <c r="I47" s="10">
        <v>12</v>
      </c>
      <c r="J47" s="31">
        <v>540</v>
      </c>
      <c r="K47" s="9">
        <f t="shared" ref="K47:K57" si="9">J47*110%</f>
        <v>594</v>
      </c>
      <c r="L47" s="9"/>
      <c r="M47" s="9">
        <f t="shared" si="6"/>
        <v>7128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18.75" x14ac:dyDescent="0.4">
      <c r="B48" s="8"/>
      <c r="C48" s="26" t="s">
        <v>304</v>
      </c>
      <c r="D48" s="8"/>
      <c r="E48" s="8" t="s">
        <v>308</v>
      </c>
      <c r="F48" s="28" t="s">
        <v>334</v>
      </c>
      <c r="G48" s="30">
        <v>2000000068152</v>
      </c>
      <c r="H48" s="41">
        <v>0.1</v>
      </c>
      <c r="I48" s="10">
        <v>200</v>
      </c>
      <c r="J48" s="31">
        <v>30</v>
      </c>
      <c r="K48" s="9">
        <f t="shared" si="9"/>
        <v>33</v>
      </c>
      <c r="L48" s="9"/>
      <c r="M48" s="9">
        <f t="shared" si="6"/>
        <v>6600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306</v>
      </c>
      <c r="D49" s="8"/>
      <c r="E49" s="8" t="s">
        <v>308</v>
      </c>
      <c r="F49" s="28" t="s">
        <v>335</v>
      </c>
      <c r="G49" s="30">
        <v>4904070062660</v>
      </c>
      <c r="H49" s="41">
        <v>0.1</v>
      </c>
      <c r="I49" s="10">
        <v>0</v>
      </c>
      <c r="J49" s="31">
        <v>295</v>
      </c>
      <c r="K49" s="9">
        <f t="shared" si="9"/>
        <v>324.5</v>
      </c>
      <c r="L49" s="9"/>
      <c r="M49" s="9">
        <f t="shared" si="6"/>
        <v>0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304</v>
      </c>
      <c r="D50" s="8"/>
      <c r="E50" s="8" t="s">
        <v>308</v>
      </c>
      <c r="F50" s="28" t="s">
        <v>338</v>
      </c>
      <c r="G50" s="30">
        <v>4510482229425</v>
      </c>
      <c r="H50" s="41">
        <v>0.1</v>
      </c>
      <c r="I50" s="10">
        <v>24</v>
      </c>
      <c r="J50" s="31">
        <v>80</v>
      </c>
      <c r="K50" s="9">
        <f t="shared" si="9"/>
        <v>88</v>
      </c>
      <c r="L50" s="9"/>
      <c r="M50" s="9">
        <f t="shared" si="6"/>
        <v>2112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307</v>
      </c>
      <c r="D51" s="8"/>
      <c r="E51" s="8" t="s">
        <v>308</v>
      </c>
      <c r="F51" s="28" t="s">
        <v>339</v>
      </c>
      <c r="G51" s="30">
        <v>4573135361057</v>
      </c>
      <c r="H51" s="41">
        <v>0.1</v>
      </c>
      <c r="I51" s="10">
        <v>48</v>
      </c>
      <c r="J51" s="31">
        <v>80</v>
      </c>
      <c r="K51" s="9">
        <f t="shared" si="9"/>
        <v>88</v>
      </c>
      <c r="L51" s="9"/>
      <c r="M51" s="9">
        <f t="shared" si="6"/>
        <v>4224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26" t="s">
        <v>304</v>
      </c>
      <c r="D52" s="8"/>
      <c r="E52" s="8" t="s">
        <v>308</v>
      </c>
      <c r="F52" s="28" t="s">
        <v>342</v>
      </c>
      <c r="G52" s="30">
        <v>4580487007922</v>
      </c>
      <c r="H52" s="41">
        <v>0.1</v>
      </c>
      <c r="I52" s="10">
        <v>6</v>
      </c>
      <c r="J52" s="31">
        <v>850</v>
      </c>
      <c r="K52" s="9">
        <f t="shared" si="9"/>
        <v>935.00000000000011</v>
      </c>
      <c r="L52" s="9"/>
      <c r="M52" s="9">
        <f t="shared" si="6"/>
        <v>5610.0000000000009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26" t="s">
        <v>304</v>
      </c>
      <c r="D53" s="8"/>
      <c r="E53" s="8" t="s">
        <v>308</v>
      </c>
      <c r="F53" s="28" t="s">
        <v>343</v>
      </c>
      <c r="G53" s="30"/>
      <c r="H53" s="41">
        <v>0.1</v>
      </c>
      <c r="I53" s="10">
        <v>384</v>
      </c>
      <c r="J53" s="31">
        <v>9</v>
      </c>
      <c r="K53" s="9">
        <f t="shared" si="9"/>
        <v>9.9</v>
      </c>
      <c r="L53" s="9"/>
      <c r="M53" s="9">
        <f t="shared" si="6"/>
        <v>3801.6000000000004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26" t="s">
        <v>307</v>
      </c>
      <c r="D54" s="8"/>
      <c r="E54" s="8" t="s">
        <v>308</v>
      </c>
      <c r="F54" s="28" t="s">
        <v>344</v>
      </c>
      <c r="G54" s="30"/>
      <c r="H54" s="41">
        <v>0.1</v>
      </c>
      <c r="I54" s="10">
        <v>108</v>
      </c>
      <c r="J54" s="31">
        <v>140</v>
      </c>
      <c r="K54" s="9">
        <f t="shared" si="9"/>
        <v>154</v>
      </c>
      <c r="L54" s="9"/>
      <c r="M54" s="9">
        <f t="shared" si="6"/>
        <v>16632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37.5" x14ac:dyDescent="0.4">
      <c r="B55" s="8"/>
      <c r="C55" s="26" t="s">
        <v>303</v>
      </c>
      <c r="D55" s="8"/>
      <c r="E55" s="8" t="s">
        <v>308</v>
      </c>
      <c r="F55" s="29" t="s">
        <v>348</v>
      </c>
      <c r="G55" s="30"/>
      <c r="H55" s="41">
        <v>0.1</v>
      </c>
      <c r="I55" s="10">
        <v>150</v>
      </c>
      <c r="J55" s="31">
        <v>145</v>
      </c>
      <c r="K55" s="9">
        <f t="shared" si="9"/>
        <v>159.5</v>
      </c>
      <c r="L55" s="9"/>
      <c r="M55" s="9">
        <f t="shared" si="6"/>
        <v>23925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ht="18.75" x14ac:dyDescent="0.4">
      <c r="B56" s="8"/>
      <c r="C56" s="26" t="s">
        <v>303</v>
      </c>
      <c r="D56" s="8"/>
      <c r="E56" s="8" t="s">
        <v>308</v>
      </c>
      <c r="F56" s="28" t="s">
        <v>345</v>
      </c>
      <c r="G56" s="30"/>
      <c r="H56" s="41">
        <v>0.1</v>
      </c>
      <c r="I56" s="10">
        <v>60</v>
      </c>
      <c r="J56" s="31">
        <v>145</v>
      </c>
      <c r="K56" s="9">
        <f t="shared" si="9"/>
        <v>159.5</v>
      </c>
      <c r="L56" s="9"/>
      <c r="M56" s="9">
        <f t="shared" si="6"/>
        <v>9570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ht="18.75" x14ac:dyDescent="0.4">
      <c r="B57" s="8"/>
      <c r="C57" s="26" t="s">
        <v>96</v>
      </c>
      <c r="D57" s="8"/>
      <c r="E57" s="8" t="s">
        <v>308</v>
      </c>
      <c r="F57" s="28" t="s">
        <v>346</v>
      </c>
      <c r="G57" s="30">
        <v>4560437940714</v>
      </c>
      <c r="H57" s="41">
        <v>0.1</v>
      </c>
      <c r="I57" s="10">
        <v>48</v>
      </c>
      <c r="J57" s="31">
        <v>150</v>
      </c>
      <c r="K57" s="9">
        <f t="shared" si="9"/>
        <v>165</v>
      </c>
      <c r="L57" s="9"/>
      <c r="M57" s="9">
        <f t="shared" si="6"/>
        <v>7920</v>
      </c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x14ac:dyDescent="0.4">
      <c r="B58" s="8"/>
      <c r="C58" s="8"/>
      <c r="D58" s="8"/>
      <c r="E58" s="8"/>
      <c r="F58" s="8"/>
      <c r="G58" s="19"/>
      <c r="H58" s="8"/>
      <c r="I58" s="10"/>
      <c r="J58" s="9"/>
      <c r="K58" s="9"/>
      <c r="L58" s="9"/>
      <c r="M58" s="9"/>
      <c r="N58" s="10"/>
      <c r="O58" s="10" t="str">
        <f t="shared" si="1"/>
        <v/>
      </c>
      <c r="P58" s="9" t="str">
        <f t="shared" si="2"/>
        <v/>
      </c>
      <c r="Q58" s="9" t="str">
        <f t="shared" si="3"/>
        <v/>
      </c>
      <c r="R58" s="9" t="str">
        <f t="shared" si="4"/>
        <v/>
      </c>
    </row>
    <row r="59" spans="2:18" x14ac:dyDescent="0.4">
      <c r="B59" s="8"/>
      <c r="C59" s="8"/>
      <c r="D59" s="8"/>
      <c r="E59" s="8"/>
      <c r="F59" s="8"/>
      <c r="G59" s="19"/>
      <c r="H59" s="8"/>
      <c r="I59" s="10"/>
      <c r="J59" s="9"/>
      <c r="K59" s="9"/>
      <c r="L59" s="9"/>
      <c r="M59" s="9"/>
      <c r="N59" s="10"/>
      <c r="O59" s="10" t="str">
        <f t="shared" si="1"/>
        <v/>
      </c>
      <c r="P59" s="9" t="str">
        <f t="shared" si="2"/>
        <v/>
      </c>
      <c r="Q59" s="9" t="str">
        <f t="shared" si="3"/>
        <v/>
      </c>
      <c r="R59" s="9" t="str">
        <f t="shared" si="4"/>
        <v/>
      </c>
    </row>
    <row r="60" spans="2:18" x14ac:dyDescent="0.4">
      <c r="B60" s="8"/>
      <c r="C60" s="8"/>
      <c r="D60" s="8"/>
      <c r="E60" s="8"/>
      <c r="F60" s="8"/>
      <c r="G60" s="19"/>
      <c r="H60" s="8"/>
      <c r="I60" s="10"/>
      <c r="J60" s="9"/>
      <c r="K60" s="9"/>
      <c r="L60" s="9"/>
      <c r="M60" s="9"/>
      <c r="N60" s="10"/>
      <c r="O60" s="10" t="str">
        <f t="shared" si="1"/>
        <v/>
      </c>
      <c r="P60" s="9" t="str">
        <f t="shared" si="2"/>
        <v/>
      </c>
      <c r="Q60" s="9" t="str">
        <f t="shared" si="3"/>
        <v/>
      </c>
      <c r="R60" s="9" t="str">
        <f t="shared" si="4"/>
        <v/>
      </c>
    </row>
    <row r="61" spans="2:18" x14ac:dyDescent="0.4">
      <c r="B61" s="8"/>
      <c r="C61" s="8"/>
      <c r="D61" s="8"/>
      <c r="E61" s="8"/>
      <c r="F61" s="8"/>
      <c r="G61" s="19"/>
      <c r="H61" s="8"/>
      <c r="I61" s="10"/>
      <c r="J61" s="9"/>
      <c r="K61" s="9"/>
      <c r="L61" s="9"/>
      <c r="M61" s="9"/>
      <c r="N61" s="10"/>
      <c r="O61" s="10" t="str">
        <f t="shared" ref="O61:O78" si="10">IF(N61="","",I61-N61)</f>
        <v/>
      </c>
      <c r="P61" s="9" t="str">
        <f t="shared" ref="P61:P78" si="11">IFERROR(O61*J61,"")</f>
        <v/>
      </c>
      <c r="Q61" s="9" t="str">
        <f t="shared" ref="Q61:Q78" si="12">IFERROR(P61*O61,"")</f>
        <v/>
      </c>
      <c r="R61" s="9" t="str">
        <f t="shared" ref="R61:R78" si="13">IFERROR(Q61-P61,"")</f>
        <v/>
      </c>
    </row>
    <row r="62" spans="2:18" x14ac:dyDescent="0.4">
      <c r="B62" s="8"/>
      <c r="C62" s="8"/>
      <c r="D62" s="8"/>
      <c r="E62" s="8"/>
      <c r="F62" s="8"/>
      <c r="G62" s="19"/>
      <c r="H62" s="8"/>
      <c r="I62" s="10"/>
      <c r="J62" s="9"/>
      <c r="K62" s="9"/>
      <c r="L62" s="9"/>
      <c r="M62" s="9"/>
      <c r="N62" s="10"/>
      <c r="O62" s="10" t="str">
        <f t="shared" si="10"/>
        <v/>
      </c>
      <c r="P62" s="9" t="str">
        <f t="shared" si="11"/>
        <v/>
      </c>
      <c r="Q62" s="9" t="str">
        <f t="shared" si="12"/>
        <v/>
      </c>
      <c r="R62" s="9" t="str">
        <f t="shared" si="13"/>
        <v/>
      </c>
    </row>
    <row r="63" spans="2:18" x14ac:dyDescent="0.4">
      <c r="B63" s="8"/>
      <c r="C63" s="8"/>
      <c r="D63" s="8"/>
      <c r="E63" s="8"/>
      <c r="F63" s="8"/>
      <c r="G63" s="19"/>
      <c r="H63" s="8"/>
      <c r="I63" s="10"/>
      <c r="J63" s="9"/>
      <c r="K63" s="9"/>
      <c r="L63" s="9"/>
      <c r="M63" s="9"/>
      <c r="N63" s="10"/>
      <c r="O63" s="10" t="str">
        <f t="shared" si="10"/>
        <v/>
      </c>
      <c r="P63" s="9" t="str">
        <f t="shared" si="11"/>
        <v/>
      </c>
      <c r="Q63" s="9" t="str">
        <f t="shared" si="12"/>
        <v/>
      </c>
      <c r="R63" s="9" t="str">
        <f t="shared" si="13"/>
        <v/>
      </c>
    </row>
    <row r="64" spans="2:18" x14ac:dyDescent="0.4">
      <c r="B64" s="8"/>
      <c r="C64" s="8"/>
      <c r="D64" s="8"/>
      <c r="E64" s="8"/>
      <c r="F64" s="8"/>
      <c r="G64" s="19"/>
      <c r="H64" s="8"/>
      <c r="I64" s="10"/>
      <c r="J64" s="9"/>
      <c r="K64" s="9"/>
      <c r="L64" s="9"/>
      <c r="M64" s="9"/>
      <c r="N64" s="10"/>
      <c r="O64" s="10" t="str">
        <f t="shared" si="10"/>
        <v/>
      </c>
      <c r="P64" s="9" t="str">
        <f t="shared" si="11"/>
        <v/>
      </c>
      <c r="Q64" s="9" t="str">
        <f t="shared" si="12"/>
        <v/>
      </c>
      <c r="R64" s="9" t="str">
        <f t="shared" si="13"/>
        <v/>
      </c>
    </row>
    <row r="65" spans="2:18" x14ac:dyDescent="0.4">
      <c r="B65" s="8"/>
      <c r="C65" s="8"/>
      <c r="D65" s="8"/>
      <c r="E65" s="8"/>
      <c r="F65" s="8"/>
      <c r="G65" s="19"/>
      <c r="H65" s="8"/>
      <c r="I65" s="10"/>
      <c r="J65" s="9"/>
      <c r="K65" s="9"/>
      <c r="L65" s="9"/>
      <c r="M65" s="9"/>
      <c r="N65" s="10"/>
      <c r="O65" s="10" t="str">
        <f t="shared" si="10"/>
        <v/>
      </c>
      <c r="P65" s="9" t="str">
        <f t="shared" si="11"/>
        <v/>
      </c>
      <c r="Q65" s="9" t="str">
        <f t="shared" si="12"/>
        <v/>
      </c>
      <c r="R65" s="9" t="str">
        <f t="shared" si="13"/>
        <v/>
      </c>
    </row>
    <row r="66" spans="2:18" x14ac:dyDescent="0.4">
      <c r="B66" s="8"/>
      <c r="C66" s="8"/>
      <c r="D66" s="8"/>
      <c r="E66" s="8"/>
      <c r="F66" s="8"/>
      <c r="G66" s="19"/>
      <c r="H66" s="8"/>
      <c r="I66" s="10"/>
      <c r="J66" s="9"/>
      <c r="K66" s="9"/>
      <c r="L66" s="9"/>
      <c r="M66" s="9"/>
      <c r="N66" s="10"/>
      <c r="O66" s="10" t="str">
        <f t="shared" si="10"/>
        <v/>
      </c>
      <c r="P66" s="9" t="str">
        <f t="shared" si="11"/>
        <v/>
      </c>
      <c r="Q66" s="9" t="str">
        <f t="shared" si="12"/>
        <v/>
      </c>
      <c r="R66" s="9" t="str">
        <f t="shared" si="13"/>
        <v/>
      </c>
    </row>
    <row r="67" spans="2:18" x14ac:dyDescent="0.4">
      <c r="B67" s="8"/>
      <c r="C67" s="8"/>
      <c r="D67" s="8"/>
      <c r="E67" s="8"/>
      <c r="F67" s="8"/>
      <c r="G67" s="19"/>
      <c r="H67" s="8"/>
      <c r="I67" s="10"/>
      <c r="J67" s="9"/>
      <c r="K67" s="9"/>
      <c r="L67" s="9"/>
      <c r="M67" s="9"/>
      <c r="N67" s="10"/>
      <c r="O67" s="10" t="str">
        <f t="shared" si="10"/>
        <v/>
      </c>
      <c r="P67" s="9" t="str">
        <f t="shared" si="11"/>
        <v/>
      </c>
      <c r="Q67" s="9" t="str">
        <f t="shared" si="12"/>
        <v/>
      </c>
      <c r="R67" s="9" t="str">
        <f t="shared" si="13"/>
        <v/>
      </c>
    </row>
    <row r="68" spans="2:18" x14ac:dyDescent="0.4">
      <c r="B68" s="8"/>
      <c r="C68" s="8"/>
      <c r="D68" s="8"/>
      <c r="E68" s="8"/>
      <c r="F68" s="8"/>
      <c r="G68" s="19"/>
      <c r="H68" s="8"/>
      <c r="I68" s="10"/>
      <c r="J68" s="9"/>
      <c r="K68" s="9"/>
      <c r="L68" s="9"/>
      <c r="M68" s="9"/>
      <c r="N68" s="10"/>
      <c r="O68" s="10" t="str">
        <f t="shared" si="10"/>
        <v/>
      </c>
      <c r="P68" s="9" t="str">
        <f t="shared" si="11"/>
        <v/>
      </c>
      <c r="Q68" s="9" t="str">
        <f t="shared" si="12"/>
        <v/>
      </c>
      <c r="R68" s="9" t="str">
        <f t="shared" si="13"/>
        <v/>
      </c>
    </row>
    <row r="69" spans="2:18" x14ac:dyDescent="0.4">
      <c r="B69" s="8"/>
      <c r="C69" s="8"/>
      <c r="D69" s="8"/>
      <c r="E69" s="8"/>
      <c r="F69" s="8"/>
      <c r="G69" s="19"/>
      <c r="H69" s="8"/>
      <c r="I69" s="10"/>
      <c r="J69" s="9"/>
      <c r="K69" s="9"/>
      <c r="L69" s="9"/>
      <c r="M69" s="9"/>
      <c r="N69" s="10"/>
      <c r="O69" s="10" t="str">
        <f t="shared" si="10"/>
        <v/>
      </c>
      <c r="P69" s="9" t="str">
        <f t="shared" si="11"/>
        <v/>
      </c>
      <c r="Q69" s="9" t="str">
        <f t="shared" si="12"/>
        <v/>
      </c>
      <c r="R69" s="9" t="str">
        <f t="shared" si="13"/>
        <v/>
      </c>
    </row>
    <row r="70" spans="2:18" x14ac:dyDescent="0.4">
      <c r="B70" s="8"/>
      <c r="C70" s="8"/>
      <c r="D70" s="8"/>
      <c r="E70" s="8"/>
      <c r="F70" s="8"/>
      <c r="G70" s="19"/>
      <c r="H70" s="8"/>
      <c r="I70" s="10"/>
      <c r="J70" s="9"/>
      <c r="K70" s="9"/>
      <c r="L70" s="9"/>
      <c r="M70" s="9"/>
      <c r="N70" s="10"/>
      <c r="O70" s="10" t="str">
        <f t="shared" si="10"/>
        <v/>
      </c>
      <c r="P70" s="9" t="str">
        <f t="shared" si="11"/>
        <v/>
      </c>
      <c r="Q70" s="9" t="str">
        <f t="shared" si="12"/>
        <v/>
      </c>
      <c r="R70" s="9" t="str">
        <f t="shared" si="13"/>
        <v/>
      </c>
    </row>
    <row r="71" spans="2:18" x14ac:dyDescent="0.4">
      <c r="B71" s="8"/>
      <c r="C71" s="8"/>
      <c r="D71" s="8"/>
      <c r="E71" s="8"/>
      <c r="F71" s="8"/>
      <c r="G71" s="19"/>
      <c r="H71" s="8"/>
      <c r="I71" s="10"/>
      <c r="J71" s="9"/>
      <c r="K71" s="9"/>
      <c r="L71" s="9"/>
      <c r="M71" s="9"/>
      <c r="N71" s="10"/>
      <c r="O71" s="10" t="str">
        <f t="shared" si="10"/>
        <v/>
      </c>
      <c r="P71" s="9" t="str">
        <f t="shared" si="11"/>
        <v/>
      </c>
      <c r="Q71" s="9" t="str">
        <f t="shared" si="12"/>
        <v/>
      </c>
      <c r="R71" s="9" t="str">
        <f t="shared" si="13"/>
        <v/>
      </c>
    </row>
    <row r="72" spans="2:18" x14ac:dyDescent="0.4">
      <c r="B72" s="8"/>
      <c r="C72" s="8"/>
      <c r="D72" s="8"/>
      <c r="E72" s="8"/>
      <c r="F72" s="8"/>
      <c r="G72" s="19"/>
      <c r="H72" s="8"/>
      <c r="I72" s="10"/>
      <c r="J72" s="9"/>
      <c r="K72" s="9"/>
      <c r="L72" s="9"/>
      <c r="M72" s="9"/>
      <c r="N72" s="10"/>
      <c r="O72" s="10" t="str">
        <f t="shared" si="10"/>
        <v/>
      </c>
      <c r="P72" s="9" t="str">
        <f t="shared" si="11"/>
        <v/>
      </c>
      <c r="Q72" s="9" t="str">
        <f t="shared" si="12"/>
        <v/>
      </c>
      <c r="R72" s="9" t="str">
        <f t="shared" si="13"/>
        <v/>
      </c>
    </row>
    <row r="73" spans="2:18" x14ac:dyDescent="0.4">
      <c r="B73" s="8"/>
      <c r="C73" s="8"/>
      <c r="D73" s="8"/>
      <c r="E73" s="8"/>
      <c r="F73" s="8"/>
      <c r="G73" s="19"/>
      <c r="H73" s="8"/>
      <c r="I73" s="10"/>
      <c r="J73" s="9"/>
      <c r="K73" s="9"/>
      <c r="L73" s="9"/>
      <c r="M73" s="9"/>
      <c r="N73" s="10"/>
      <c r="O73" s="10" t="str">
        <f t="shared" si="10"/>
        <v/>
      </c>
      <c r="P73" s="9" t="str">
        <f t="shared" si="11"/>
        <v/>
      </c>
      <c r="Q73" s="9" t="str">
        <f t="shared" si="12"/>
        <v/>
      </c>
      <c r="R73" s="9" t="str">
        <f t="shared" si="13"/>
        <v/>
      </c>
    </row>
    <row r="74" spans="2:18" x14ac:dyDescent="0.4">
      <c r="B74" s="8"/>
      <c r="C74" s="8"/>
      <c r="D74" s="8"/>
      <c r="E74" s="8"/>
      <c r="F74" s="8"/>
      <c r="G74" s="19"/>
      <c r="H74" s="8"/>
      <c r="I74" s="10"/>
      <c r="J74" s="9"/>
      <c r="K74" s="9"/>
      <c r="L74" s="9"/>
      <c r="M74" s="9"/>
      <c r="N74" s="10"/>
      <c r="O74" s="10" t="str">
        <f t="shared" si="10"/>
        <v/>
      </c>
      <c r="P74" s="9" t="str">
        <f t="shared" si="11"/>
        <v/>
      </c>
      <c r="Q74" s="9" t="str">
        <f t="shared" si="12"/>
        <v/>
      </c>
      <c r="R74" s="9" t="str">
        <f t="shared" si="13"/>
        <v/>
      </c>
    </row>
    <row r="75" spans="2:18" x14ac:dyDescent="0.4">
      <c r="B75" s="8"/>
      <c r="C75" s="8"/>
      <c r="D75" s="8"/>
      <c r="E75" s="8"/>
      <c r="F75" s="8"/>
      <c r="G75" s="19"/>
      <c r="H75" s="8"/>
      <c r="I75" s="10"/>
      <c r="J75" s="9"/>
      <c r="K75" s="9"/>
      <c r="L75" s="9"/>
      <c r="M75" s="9"/>
      <c r="N75" s="10"/>
      <c r="O75" s="10" t="str">
        <f t="shared" si="10"/>
        <v/>
      </c>
      <c r="P75" s="9" t="str">
        <f t="shared" si="11"/>
        <v/>
      </c>
      <c r="Q75" s="9" t="str">
        <f t="shared" si="12"/>
        <v/>
      </c>
      <c r="R75" s="9" t="str">
        <f t="shared" si="13"/>
        <v/>
      </c>
    </row>
    <row r="76" spans="2:18" x14ac:dyDescent="0.4">
      <c r="B76" s="8"/>
      <c r="C76" s="8"/>
      <c r="D76" s="8"/>
      <c r="E76" s="8"/>
      <c r="F76" s="8"/>
      <c r="G76" s="19"/>
      <c r="H76" s="8"/>
      <c r="I76" s="10"/>
      <c r="J76" s="9"/>
      <c r="K76" s="9"/>
      <c r="L76" s="9"/>
      <c r="M76" s="9"/>
      <c r="N76" s="10"/>
      <c r="O76" s="10" t="str">
        <f t="shared" si="10"/>
        <v/>
      </c>
      <c r="P76" s="9" t="str">
        <f t="shared" si="11"/>
        <v/>
      </c>
      <c r="Q76" s="9" t="str">
        <f t="shared" si="12"/>
        <v/>
      </c>
      <c r="R76" s="9" t="str">
        <f t="shared" si="13"/>
        <v/>
      </c>
    </row>
    <row r="77" spans="2:18" x14ac:dyDescent="0.4">
      <c r="B77" s="8"/>
      <c r="C77" s="8"/>
      <c r="D77" s="8"/>
      <c r="E77" s="8"/>
      <c r="F77" s="8"/>
      <c r="G77" s="19"/>
      <c r="H77" s="8"/>
      <c r="I77" s="10"/>
      <c r="J77" s="9"/>
      <c r="K77" s="9"/>
      <c r="L77" s="9"/>
      <c r="M77" s="9"/>
      <c r="N77" s="10"/>
      <c r="O77" s="10" t="str">
        <f t="shared" si="10"/>
        <v/>
      </c>
      <c r="P77" s="9" t="str">
        <f t="shared" si="11"/>
        <v/>
      </c>
      <c r="Q77" s="9" t="str">
        <f t="shared" si="12"/>
        <v/>
      </c>
      <c r="R77" s="9" t="str">
        <f t="shared" si="13"/>
        <v/>
      </c>
    </row>
    <row r="78" spans="2:18" x14ac:dyDescent="0.4">
      <c r="B78" s="8"/>
      <c r="C78" s="8"/>
      <c r="D78" s="8"/>
      <c r="E78" s="8"/>
      <c r="F78" s="8"/>
      <c r="G78" s="19"/>
      <c r="H78" s="8"/>
      <c r="I78" s="10"/>
      <c r="J78" s="9"/>
      <c r="K78" s="9"/>
      <c r="L78" s="9"/>
      <c r="M78" s="9"/>
      <c r="N78" s="10"/>
      <c r="O78" s="10" t="str">
        <f t="shared" si="10"/>
        <v/>
      </c>
      <c r="P78" s="9" t="str">
        <f t="shared" si="11"/>
        <v/>
      </c>
      <c r="Q78" s="9" t="str">
        <f t="shared" si="12"/>
        <v/>
      </c>
      <c r="R78" s="9" t="str">
        <f t="shared" si="13"/>
        <v/>
      </c>
    </row>
  </sheetData>
  <mergeCells count="1">
    <mergeCell ref="C41:C4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D6B0-CC7A-4EE3-824E-004A510288C8}">
  <dimension ref="B2:R75"/>
  <sheetViews>
    <sheetView topLeftCell="A14" zoomScale="85" zoomScaleNormal="85" workbookViewId="0">
      <selection activeCell="C57" sqref="C57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15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6" si="0">K6*I6</f>
        <v>15840.000000000002</v>
      </c>
      <c r="N6" s="10"/>
      <c r="O6" s="10" t="str">
        <f t="shared" ref="O6:O57" si="1">IF(N6="","",I6-N6)</f>
        <v/>
      </c>
      <c r="P6" s="9" t="str">
        <f t="shared" ref="P6:P57" si="2">IFERROR(O6*J6,"")</f>
        <v/>
      </c>
      <c r="Q6" s="9" t="str">
        <f t="shared" ref="Q6:Q57" si="3">IFERROR(P6*O6,"")</f>
        <v/>
      </c>
      <c r="R6" s="9" t="str">
        <f t="shared" ref="R6:R57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302</v>
      </c>
      <c r="F9" s="17" t="s">
        <v>140</v>
      </c>
      <c r="G9" s="19"/>
      <c r="H9" s="13">
        <v>0.1</v>
      </c>
      <c r="I9" s="10">
        <v>60</v>
      </c>
      <c r="J9" s="9">
        <v>450</v>
      </c>
      <c r="K9" s="9">
        <f>J9*110%</f>
        <v>495.00000000000006</v>
      </c>
      <c r="L9" s="9"/>
      <c r="M9" s="9">
        <f t="shared" si="0"/>
        <v>29700.000000000004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302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302</v>
      </c>
      <c r="F11" s="17" t="s">
        <v>142</v>
      </c>
      <c r="G11" s="19"/>
      <c r="H11" s="13">
        <v>0.1</v>
      </c>
      <c r="I11" s="10">
        <v>60</v>
      </c>
      <c r="J11" s="9">
        <v>450</v>
      </c>
      <c r="K11" s="9">
        <f t="shared" si="5"/>
        <v>495.00000000000006</v>
      </c>
      <c r="L11" s="9"/>
      <c r="M11" s="9">
        <f t="shared" si="0"/>
        <v>29700.000000000004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302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302</v>
      </c>
      <c r="F13" s="17" t="s">
        <v>144</v>
      </c>
      <c r="G13" s="19"/>
      <c r="H13" s="13">
        <v>0.1</v>
      </c>
      <c r="I13" s="10">
        <v>14</v>
      </c>
      <c r="J13" s="9">
        <v>75</v>
      </c>
      <c r="K13" s="9">
        <f t="shared" si="5"/>
        <v>82.5</v>
      </c>
      <c r="L13" s="9"/>
      <c r="M13" s="9">
        <f t="shared" si="0"/>
        <v>1155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302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302</v>
      </c>
      <c r="F15" s="17" t="s">
        <v>146</v>
      </c>
      <c r="G15" s="19"/>
      <c r="H15" s="13">
        <v>0.1</v>
      </c>
      <c r="I15" s="10">
        <v>14</v>
      </c>
      <c r="J15" s="9">
        <v>75</v>
      </c>
      <c r="K15" s="9">
        <f t="shared" si="5"/>
        <v>82.5</v>
      </c>
      <c r="L15" s="9"/>
      <c r="M15" s="9">
        <f t="shared" si="0"/>
        <v>1155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302</v>
      </c>
      <c r="F16" s="17" t="s">
        <v>147</v>
      </c>
      <c r="G16" s="19"/>
      <c r="H16" s="13">
        <v>0.1</v>
      </c>
      <c r="I16" s="10">
        <v>14</v>
      </c>
      <c r="J16" s="9">
        <v>75</v>
      </c>
      <c r="K16" s="9">
        <f t="shared" si="5"/>
        <v>82.5</v>
      </c>
      <c r="L16" s="9"/>
      <c r="M16" s="9">
        <f t="shared" si="0"/>
        <v>1155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302</v>
      </c>
      <c r="F17" s="17" t="s">
        <v>148</v>
      </c>
      <c r="G17" s="19"/>
      <c r="H17" s="13">
        <v>0.1</v>
      </c>
      <c r="I17" s="10">
        <v>14</v>
      </c>
      <c r="J17" s="9">
        <v>85</v>
      </c>
      <c r="K17" s="9">
        <f t="shared" si="5"/>
        <v>93.500000000000014</v>
      </c>
      <c r="L17" s="9"/>
      <c r="M17" s="9">
        <f t="shared" si="0"/>
        <v>1309.0000000000002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302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302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302</v>
      </c>
      <c r="F20" s="17" t="s">
        <v>151</v>
      </c>
      <c r="G20" s="19"/>
      <c r="H20" s="13">
        <v>0.1</v>
      </c>
      <c r="I20" s="10">
        <v>14</v>
      </c>
      <c r="J20" s="9">
        <v>120</v>
      </c>
      <c r="K20" s="9">
        <f t="shared" si="5"/>
        <v>132</v>
      </c>
      <c r="L20" s="9"/>
      <c r="M20" s="9">
        <f t="shared" si="0"/>
        <v>1848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302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302</v>
      </c>
      <c r="F22" s="17" t="s">
        <v>153</v>
      </c>
      <c r="G22" s="19"/>
      <c r="H22" s="13">
        <v>0.1</v>
      </c>
      <c r="I22" s="10">
        <v>14</v>
      </c>
      <c r="J22" s="9">
        <v>120</v>
      </c>
      <c r="K22" s="9">
        <f t="shared" si="5"/>
        <v>132</v>
      </c>
      <c r="L22" s="9"/>
      <c r="M22" s="9">
        <f t="shared" si="0"/>
        <v>1848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302</v>
      </c>
      <c r="F23" s="17" t="s">
        <v>154</v>
      </c>
      <c r="G23" s="19"/>
      <c r="H23" s="13">
        <v>0.1</v>
      </c>
      <c r="I23" s="10">
        <v>60</v>
      </c>
      <c r="J23" s="9">
        <v>450</v>
      </c>
      <c r="K23" s="9">
        <f t="shared" si="5"/>
        <v>495.00000000000006</v>
      </c>
      <c r="L23" s="9"/>
      <c r="M23" s="9">
        <f t="shared" si="0"/>
        <v>29700.000000000004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302</v>
      </c>
      <c r="F24" s="17" t="s">
        <v>155</v>
      </c>
      <c r="G24" s="19"/>
      <c r="H24" s="13">
        <v>0.1</v>
      </c>
      <c r="I24" s="10">
        <v>60</v>
      </c>
      <c r="J24" s="9">
        <v>450</v>
      </c>
      <c r="K24" s="9">
        <f t="shared" si="5"/>
        <v>495.00000000000006</v>
      </c>
      <c r="L24" s="9"/>
      <c r="M24" s="9">
        <f t="shared" si="0"/>
        <v>29700.000000000004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302</v>
      </c>
      <c r="F25" s="17" t="s">
        <v>156</v>
      </c>
      <c r="G25" s="19"/>
      <c r="H25" s="13">
        <v>0.1</v>
      </c>
      <c r="I25" s="10">
        <v>60</v>
      </c>
      <c r="J25" s="9">
        <v>450</v>
      </c>
      <c r="K25" s="9">
        <f t="shared" si="5"/>
        <v>495.00000000000006</v>
      </c>
      <c r="L25" s="9"/>
      <c r="M25" s="9">
        <f t="shared" si="0"/>
        <v>29700.000000000004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302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x14ac:dyDescent="0.4">
      <c r="B27" s="8"/>
      <c r="C27" s="8"/>
      <c r="D27" s="8"/>
      <c r="E27" s="8" t="s">
        <v>162</v>
      </c>
      <c r="F27" s="8" t="s">
        <v>160</v>
      </c>
      <c r="G27" s="19" t="s">
        <v>159</v>
      </c>
      <c r="H27" s="13">
        <v>0.1</v>
      </c>
      <c r="I27" s="10">
        <v>90</v>
      </c>
      <c r="J27" s="9"/>
      <c r="K27" s="9"/>
      <c r="L27" s="9"/>
      <c r="M27" s="9"/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x14ac:dyDescent="0.4">
      <c r="B28" s="8"/>
      <c r="C28" s="8"/>
      <c r="D28" s="8"/>
      <c r="E28" s="8" t="s">
        <v>162</v>
      </c>
      <c r="F28" s="8" t="s">
        <v>161</v>
      </c>
      <c r="G28" s="19" t="s">
        <v>159</v>
      </c>
      <c r="H28" s="13">
        <v>0.1</v>
      </c>
      <c r="I28" s="10">
        <v>90</v>
      </c>
      <c r="J28" s="9"/>
      <c r="K28" s="9"/>
      <c r="L28" s="9"/>
      <c r="M28" s="9"/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300</v>
      </c>
      <c r="D29" s="8"/>
      <c r="E29" s="8" t="s">
        <v>308</v>
      </c>
      <c r="F29" s="27" t="s">
        <v>309</v>
      </c>
      <c r="G29" s="30">
        <v>4977629310376</v>
      </c>
      <c r="H29" s="41">
        <v>0.08</v>
      </c>
      <c r="I29" s="10">
        <v>96</v>
      </c>
      <c r="J29" s="31">
        <v>40</v>
      </c>
      <c r="K29" s="9">
        <f>J29*108%</f>
        <v>43.2</v>
      </c>
      <c r="L29" s="9"/>
      <c r="M29" s="9">
        <f>K29*I29</f>
        <v>4147.2000000000007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303</v>
      </c>
      <c r="D30" s="8"/>
      <c r="E30" s="8" t="s">
        <v>308</v>
      </c>
      <c r="F30" s="28" t="s">
        <v>310</v>
      </c>
      <c r="G30" s="30">
        <v>2000000062716</v>
      </c>
      <c r="H30" s="41">
        <v>0.1</v>
      </c>
      <c r="I30" s="10">
        <v>100</v>
      </c>
      <c r="J30" s="31">
        <v>48</v>
      </c>
      <c r="K30" s="9">
        <f>J30*110%</f>
        <v>52.800000000000004</v>
      </c>
      <c r="L30" s="9"/>
      <c r="M30" s="9">
        <f t="shared" ref="M30:M56" si="6">K30*I30</f>
        <v>5280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311</v>
      </c>
      <c r="G31" s="30">
        <v>2000000064529</v>
      </c>
      <c r="H31" s="41">
        <v>0.1</v>
      </c>
      <c r="I31" s="10">
        <v>60</v>
      </c>
      <c r="J31" s="31">
        <v>80</v>
      </c>
      <c r="K31" s="9">
        <f t="shared" ref="K31:K45" si="7">J31*110%</f>
        <v>88</v>
      </c>
      <c r="L31" s="9"/>
      <c r="M31" s="9">
        <f t="shared" si="6"/>
        <v>5280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304</v>
      </c>
      <c r="D32" s="8"/>
      <c r="E32" s="8" t="s">
        <v>308</v>
      </c>
      <c r="F32" s="28" t="s">
        <v>312</v>
      </c>
      <c r="G32" s="30">
        <v>4973512263651</v>
      </c>
      <c r="H32" s="41">
        <v>0.1</v>
      </c>
      <c r="I32" s="10">
        <v>100</v>
      </c>
      <c r="J32" s="31">
        <v>80</v>
      </c>
      <c r="K32" s="9">
        <f t="shared" si="7"/>
        <v>88</v>
      </c>
      <c r="L32" s="9"/>
      <c r="M32" s="9">
        <f t="shared" si="6"/>
        <v>8800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304</v>
      </c>
      <c r="D33" s="8"/>
      <c r="E33" s="8" t="s">
        <v>308</v>
      </c>
      <c r="F33" s="28" t="s">
        <v>313</v>
      </c>
      <c r="G33" s="30">
        <v>4518516000088</v>
      </c>
      <c r="H33" s="41">
        <v>0.1</v>
      </c>
      <c r="I33" s="10">
        <v>48</v>
      </c>
      <c r="J33" s="31">
        <v>130</v>
      </c>
      <c r="K33" s="9">
        <f t="shared" si="7"/>
        <v>143</v>
      </c>
      <c r="L33" s="9"/>
      <c r="M33" s="9">
        <f t="shared" si="6"/>
        <v>6864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303</v>
      </c>
      <c r="D34" s="8"/>
      <c r="E34" s="8" t="s">
        <v>308</v>
      </c>
      <c r="F34" s="28" t="s">
        <v>314</v>
      </c>
      <c r="G34" s="30">
        <v>4580419310328</v>
      </c>
      <c r="H34" s="41">
        <v>0.1</v>
      </c>
      <c r="I34" s="10">
        <v>50</v>
      </c>
      <c r="J34" s="31">
        <v>280</v>
      </c>
      <c r="K34" s="9">
        <f t="shared" si="7"/>
        <v>308</v>
      </c>
      <c r="L34" s="9"/>
      <c r="M34" s="9">
        <f t="shared" si="6"/>
        <v>15400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315</v>
      </c>
      <c r="G35" s="30">
        <v>4904705163304</v>
      </c>
      <c r="H35" s="41">
        <v>0.1</v>
      </c>
      <c r="I35" s="10">
        <v>240</v>
      </c>
      <c r="J35" s="31">
        <v>19</v>
      </c>
      <c r="K35" s="9">
        <f t="shared" si="7"/>
        <v>20.900000000000002</v>
      </c>
      <c r="L35" s="9"/>
      <c r="M35" s="9">
        <f t="shared" si="6"/>
        <v>5016.0000000000009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304</v>
      </c>
      <c r="D36" s="8"/>
      <c r="E36" s="8" t="s">
        <v>308</v>
      </c>
      <c r="F36" s="28" t="s">
        <v>316</v>
      </c>
      <c r="G36" s="30">
        <v>4966840253630</v>
      </c>
      <c r="H36" s="41">
        <v>0.1</v>
      </c>
      <c r="I36" s="10">
        <v>240</v>
      </c>
      <c r="J36" s="31">
        <v>22</v>
      </c>
      <c r="K36" s="9">
        <f t="shared" si="7"/>
        <v>24.200000000000003</v>
      </c>
      <c r="L36" s="9"/>
      <c r="M36" s="9">
        <f t="shared" si="6"/>
        <v>5808.0000000000009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304</v>
      </c>
      <c r="D37" s="8"/>
      <c r="E37" s="8" t="s">
        <v>308</v>
      </c>
      <c r="F37" s="28" t="s">
        <v>317</v>
      </c>
      <c r="G37" s="30">
        <v>8010630333869</v>
      </c>
      <c r="H37" s="41">
        <v>0.1</v>
      </c>
      <c r="I37" s="10">
        <v>400</v>
      </c>
      <c r="J37" s="31">
        <v>30</v>
      </c>
      <c r="K37" s="9">
        <f t="shared" si="7"/>
        <v>33</v>
      </c>
      <c r="L37" s="9"/>
      <c r="M37" s="9">
        <f t="shared" si="6"/>
        <v>13200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303</v>
      </c>
      <c r="D38" s="8"/>
      <c r="E38" s="8" t="s">
        <v>308</v>
      </c>
      <c r="F38" s="28" t="s">
        <v>318</v>
      </c>
      <c r="G38" s="30">
        <v>4528364820028</v>
      </c>
      <c r="H38" s="41">
        <v>0.1</v>
      </c>
      <c r="I38" s="10">
        <v>100</v>
      </c>
      <c r="J38" s="31">
        <v>35</v>
      </c>
      <c r="K38" s="9">
        <f t="shared" si="7"/>
        <v>38.5</v>
      </c>
      <c r="L38" s="9"/>
      <c r="M38" s="9">
        <f t="shared" si="6"/>
        <v>3850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304</v>
      </c>
      <c r="D39" s="8"/>
      <c r="E39" s="8" t="s">
        <v>308</v>
      </c>
      <c r="F39" s="28" t="s">
        <v>319</v>
      </c>
      <c r="G39" s="30">
        <v>4966840251551</v>
      </c>
      <c r="H39" s="41">
        <v>0.1</v>
      </c>
      <c r="I39" s="10">
        <v>144</v>
      </c>
      <c r="J39" s="31">
        <v>40</v>
      </c>
      <c r="K39" s="9">
        <f t="shared" si="7"/>
        <v>44</v>
      </c>
      <c r="L39" s="9"/>
      <c r="M39" s="9">
        <f t="shared" si="6"/>
        <v>6336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26" t="s">
        <v>305</v>
      </c>
      <c r="D40" s="8"/>
      <c r="E40" s="8" t="s">
        <v>308</v>
      </c>
      <c r="F40" s="28" t="s">
        <v>320</v>
      </c>
      <c r="G40" s="30">
        <v>4970687211159</v>
      </c>
      <c r="H40" s="41">
        <v>0.1</v>
      </c>
      <c r="I40" s="10">
        <v>120</v>
      </c>
      <c r="J40" s="31">
        <v>80</v>
      </c>
      <c r="K40" s="9">
        <f t="shared" si="7"/>
        <v>88</v>
      </c>
      <c r="L40" s="9"/>
      <c r="M40" s="9">
        <f t="shared" si="6"/>
        <v>10560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26" t="s">
        <v>305</v>
      </c>
      <c r="D41" s="8"/>
      <c r="E41" s="8" t="s">
        <v>308</v>
      </c>
      <c r="F41" s="28" t="s">
        <v>321</v>
      </c>
      <c r="G41" s="30">
        <v>4970687211241</v>
      </c>
      <c r="H41" s="41">
        <v>0.1</v>
      </c>
      <c r="I41" s="10">
        <v>120</v>
      </c>
      <c r="J41" s="31">
        <v>80</v>
      </c>
      <c r="K41" s="9">
        <f t="shared" si="7"/>
        <v>88</v>
      </c>
      <c r="L41" s="9"/>
      <c r="M41" s="9">
        <f t="shared" si="6"/>
        <v>10560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44" t="s">
        <v>304</v>
      </c>
      <c r="D42" s="8"/>
      <c r="E42" s="8" t="s">
        <v>308</v>
      </c>
      <c r="F42" s="28" t="s">
        <v>323</v>
      </c>
      <c r="G42" s="30">
        <v>4510482194181</v>
      </c>
      <c r="H42" s="41">
        <v>0.1</v>
      </c>
      <c r="I42" s="10">
        <v>24</v>
      </c>
      <c r="J42" s="31">
        <v>100</v>
      </c>
      <c r="K42" s="9">
        <f t="shared" si="7"/>
        <v>110.00000000000001</v>
      </c>
      <c r="L42" s="9"/>
      <c r="M42" s="9">
        <f t="shared" si="6"/>
        <v>2640.0000000000005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26" t="s">
        <v>304</v>
      </c>
      <c r="D43" s="8"/>
      <c r="E43" s="8" t="s">
        <v>308</v>
      </c>
      <c r="F43" s="28" t="s">
        <v>326</v>
      </c>
      <c r="G43" s="30">
        <v>4972603100585</v>
      </c>
      <c r="H43" s="41">
        <v>0.1</v>
      </c>
      <c r="I43" s="10">
        <v>30</v>
      </c>
      <c r="J43" s="31">
        <v>100</v>
      </c>
      <c r="K43" s="9">
        <f t="shared" si="7"/>
        <v>110.00000000000001</v>
      </c>
      <c r="L43" s="9"/>
      <c r="M43" s="9">
        <f t="shared" si="6"/>
        <v>3300.0000000000005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26" t="s">
        <v>304</v>
      </c>
      <c r="D44" s="8"/>
      <c r="E44" s="8" t="s">
        <v>308</v>
      </c>
      <c r="F44" s="28" t="s">
        <v>327</v>
      </c>
      <c r="G44" s="30">
        <v>4589596691961</v>
      </c>
      <c r="H44" s="41">
        <v>0.1</v>
      </c>
      <c r="I44" s="10">
        <v>36</v>
      </c>
      <c r="J44" s="31">
        <v>140</v>
      </c>
      <c r="K44" s="9">
        <f t="shared" si="7"/>
        <v>154</v>
      </c>
      <c r="L44" s="9"/>
      <c r="M44" s="9">
        <f t="shared" si="6"/>
        <v>5544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26" t="s">
        <v>304</v>
      </c>
      <c r="D45" s="8"/>
      <c r="E45" s="8" t="s">
        <v>308</v>
      </c>
      <c r="F45" s="28" t="s">
        <v>347</v>
      </c>
      <c r="G45" s="30">
        <v>4939560247197</v>
      </c>
      <c r="H45" s="41">
        <v>0.1</v>
      </c>
      <c r="I45" s="10">
        <v>60</v>
      </c>
      <c r="J45" s="31">
        <v>216</v>
      </c>
      <c r="K45" s="9">
        <f t="shared" si="7"/>
        <v>237.60000000000002</v>
      </c>
      <c r="L45" s="9"/>
      <c r="M45" s="9">
        <f t="shared" si="6"/>
        <v>14256.000000000002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37.5" x14ac:dyDescent="0.4">
      <c r="B46" s="8"/>
      <c r="C46" s="26" t="s">
        <v>300</v>
      </c>
      <c r="D46" s="8"/>
      <c r="E46" s="8" t="s">
        <v>308</v>
      </c>
      <c r="F46" s="29" t="s">
        <v>329</v>
      </c>
      <c r="G46" s="30">
        <v>4960867008396</v>
      </c>
      <c r="H46" s="41">
        <v>0.08</v>
      </c>
      <c r="I46" s="10">
        <v>30</v>
      </c>
      <c r="J46" s="31">
        <v>240</v>
      </c>
      <c r="K46" s="9">
        <f t="shared" ref="K46" si="8">J46*108%</f>
        <v>259.20000000000005</v>
      </c>
      <c r="L46" s="9"/>
      <c r="M46" s="9">
        <f t="shared" si="6"/>
        <v>7776.0000000000018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18.75" x14ac:dyDescent="0.4">
      <c r="B47" s="8"/>
      <c r="C47" s="26" t="s">
        <v>304</v>
      </c>
      <c r="D47" s="8"/>
      <c r="E47" s="8" t="s">
        <v>308</v>
      </c>
      <c r="F47" s="28" t="s">
        <v>333</v>
      </c>
      <c r="G47" s="30">
        <v>4939560521617</v>
      </c>
      <c r="H47" s="41">
        <v>0.1</v>
      </c>
      <c r="I47" s="10">
        <v>12</v>
      </c>
      <c r="J47" s="31">
        <v>540</v>
      </c>
      <c r="K47" s="9">
        <f t="shared" ref="K47:K56" si="9">J47*110%</f>
        <v>594</v>
      </c>
      <c r="L47" s="9"/>
      <c r="M47" s="9">
        <f t="shared" si="6"/>
        <v>7128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18.75" x14ac:dyDescent="0.4">
      <c r="B48" s="8"/>
      <c r="C48" s="26" t="s">
        <v>304</v>
      </c>
      <c r="D48" s="8"/>
      <c r="E48" s="8" t="s">
        <v>308</v>
      </c>
      <c r="F48" s="28" t="s">
        <v>334</v>
      </c>
      <c r="G48" s="30">
        <v>2000000068152</v>
      </c>
      <c r="H48" s="41">
        <v>0.1</v>
      </c>
      <c r="I48" s="10">
        <v>200</v>
      </c>
      <c r="J48" s="31">
        <v>30</v>
      </c>
      <c r="K48" s="9">
        <f t="shared" si="9"/>
        <v>33</v>
      </c>
      <c r="L48" s="9"/>
      <c r="M48" s="9">
        <f t="shared" si="6"/>
        <v>6600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304</v>
      </c>
      <c r="D49" s="8"/>
      <c r="E49" s="8" t="s">
        <v>308</v>
      </c>
      <c r="F49" s="28" t="s">
        <v>338</v>
      </c>
      <c r="G49" s="30">
        <v>4510482229425</v>
      </c>
      <c r="H49" s="41">
        <v>0.1</v>
      </c>
      <c r="I49" s="10">
        <v>24</v>
      </c>
      <c r="J49" s="31">
        <v>80</v>
      </c>
      <c r="K49" s="9">
        <f t="shared" si="9"/>
        <v>88</v>
      </c>
      <c r="L49" s="9"/>
      <c r="M49" s="9">
        <f t="shared" si="6"/>
        <v>2112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307</v>
      </c>
      <c r="D50" s="8"/>
      <c r="E50" s="8" t="s">
        <v>308</v>
      </c>
      <c r="F50" s="28" t="s">
        <v>339</v>
      </c>
      <c r="G50" s="30">
        <v>4573135361057</v>
      </c>
      <c r="H50" s="41">
        <v>0.1</v>
      </c>
      <c r="I50" s="10">
        <v>48</v>
      </c>
      <c r="J50" s="31">
        <v>80</v>
      </c>
      <c r="K50" s="9">
        <f t="shared" si="9"/>
        <v>88</v>
      </c>
      <c r="L50" s="9"/>
      <c r="M50" s="9">
        <f t="shared" si="6"/>
        <v>4224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304</v>
      </c>
      <c r="D51" s="8"/>
      <c r="E51" s="8" t="s">
        <v>308</v>
      </c>
      <c r="F51" s="28" t="s">
        <v>342</v>
      </c>
      <c r="G51" s="30">
        <v>4580487007922</v>
      </c>
      <c r="H51" s="41">
        <v>0.1</v>
      </c>
      <c r="I51" s="10">
        <v>6</v>
      </c>
      <c r="J51" s="31">
        <v>850</v>
      </c>
      <c r="K51" s="9">
        <f t="shared" si="9"/>
        <v>935.00000000000011</v>
      </c>
      <c r="L51" s="9"/>
      <c r="M51" s="9">
        <f t="shared" si="6"/>
        <v>5610.0000000000009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26" t="s">
        <v>304</v>
      </c>
      <c r="D52" s="8"/>
      <c r="E52" s="8" t="s">
        <v>308</v>
      </c>
      <c r="F52" s="28" t="s">
        <v>343</v>
      </c>
      <c r="G52" s="30"/>
      <c r="H52" s="41">
        <v>0.1</v>
      </c>
      <c r="I52" s="10">
        <v>384</v>
      </c>
      <c r="J52" s="31">
        <v>9</v>
      </c>
      <c r="K52" s="9">
        <f t="shared" si="9"/>
        <v>9.9</v>
      </c>
      <c r="L52" s="9"/>
      <c r="M52" s="9">
        <f t="shared" si="6"/>
        <v>3801.6000000000004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26" t="s">
        <v>307</v>
      </c>
      <c r="D53" s="8"/>
      <c r="E53" s="8" t="s">
        <v>308</v>
      </c>
      <c r="F53" s="28" t="s">
        <v>344</v>
      </c>
      <c r="G53" s="30"/>
      <c r="H53" s="41">
        <v>0.1</v>
      </c>
      <c r="I53" s="10">
        <v>108</v>
      </c>
      <c r="J53" s="31">
        <v>140</v>
      </c>
      <c r="K53" s="9">
        <f t="shared" si="9"/>
        <v>154</v>
      </c>
      <c r="L53" s="9"/>
      <c r="M53" s="9">
        <f t="shared" si="6"/>
        <v>16632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37.5" x14ac:dyDescent="0.4">
      <c r="B54" s="8"/>
      <c r="C54" s="26" t="s">
        <v>303</v>
      </c>
      <c r="D54" s="8"/>
      <c r="E54" s="8" t="s">
        <v>308</v>
      </c>
      <c r="F54" s="29" t="s">
        <v>348</v>
      </c>
      <c r="G54" s="30"/>
      <c r="H54" s="41">
        <v>0.1</v>
      </c>
      <c r="I54" s="10">
        <v>150</v>
      </c>
      <c r="J54" s="31">
        <v>145</v>
      </c>
      <c r="K54" s="9">
        <f t="shared" si="9"/>
        <v>159.5</v>
      </c>
      <c r="L54" s="9"/>
      <c r="M54" s="9">
        <f t="shared" si="6"/>
        <v>23925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18.75" x14ac:dyDescent="0.4">
      <c r="B55" s="8"/>
      <c r="C55" s="26" t="s">
        <v>303</v>
      </c>
      <c r="D55" s="8"/>
      <c r="E55" s="8" t="s">
        <v>308</v>
      </c>
      <c r="F55" s="28" t="s">
        <v>345</v>
      </c>
      <c r="G55" s="30"/>
      <c r="H55" s="41">
        <v>0.1</v>
      </c>
      <c r="I55" s="10">
        <v>60</v>
      </c>
      <c r="J55" s="31">
        <v>145</v>
      </c>
      <c r="K55" s="9">
        <f t="shared" si="9"/>
        <v>159.5</v>
      </c>
      <c r="L55" s="9"/>
      <c r="M55" s="9">
        <f t="shared" si="6"/>
        <v>9570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ht="18.75" x14ac:dyDescent="0.4">
      <c r="B56" s="8"/>
      <c r="C56" s="26" t="s">
        <v>96</v>
      </c>
      <c r="D56" s="8"/>
      <c r="E56" s="8" t="s">
        <v>308</v>
      </c>
      <c r="F56" s="28" t="s">
        <v>346</v>
      </c>
      <c r="G56" s="30">
        <v>4560437940714</v>
      </c>
      <c r="H56" s="41">
        <v>0.1</v>
      </c>
      <c r="I56" s="10">
        <v>48</v>
      </c>
      <c r="J56" s="31">
        <v>150</v>
      </c>
      <c r="K56" s="9">
        <f t="shared" si="9"/>
        <v>165</v>
      </c>
      <c r="L56" s="9"/>
      <c r="M56" s="9">
        <f t="shared" si="6"/>
        <v>7920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x14ac:dyDescent="0.4">
      <c r="B57" s="8"/>
      <c r="C57" s="8"/>
      <c r="D57" s="8"/>
      <c r="E57" s="8"/>
      <c r="F57" s="8"/>
      <c r="G57" s="19"/>
      <c r="H57" s="8"/>
      <c r="I57" s="10"/>
      <c r="J57" s="9"/>
      <c r="K57" s="9"/>
      <c r="L57" s="9"/>
      <c r="M57" s="9"/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x14ac:dyDescent="0.4">
      <c r="B58" s="8"/>
      <c r="C58" s="8"/>
      <c r="D58" s="8"/>
      <c r="E58" s="8"/>
      <c r="F58" s="8"/>
      <c r="G58" s="19"/>
      <c r="H58" s="8"/>
      <c r="I58" s="10"/>
      <c r="J58" s="9"/>
      <c r="K58" s="9"/>
      <c r="L58" s="9"/>
      <c r="M58" s="9"/>
      <c r="N58" s="10"/>
      <c r="O58" s="10" t="str">
        <f t="shared" ref="O58:O75" si="10">IF(N58="","",I58-N58)</f>
        <v/>
      </c>
      <c r="P58" s="9" t="str">
        <f t="shared" ref="P58:P75" si="11">IFERROR(O58*J58,"")</f>
        <v/>
      </c>
      <c r="Q58" s="9" t="str">
        <f t="shared" ref="Q58:Q75" si="12">IFERROR(P58*O58,"")</f>
        <v/>
      </c>
      <c r="R58" s="9" t="str">
        <f t="shared" ref="R58:R75" si="13">IFERROR(Q58-P58,"")</f>
        <v/>
      </c>
    </row>
    <row r="59" spans="2:18" x14ac:dyDescent="0.4">
      <c r="B59" s="8"/>
      <c r="C59" s="8"/>
      <c r="D59" s="8"/>
      <c r="E59" s="8"/>
      <c r="F59" s="8"/>
      <c r="G59" s="19"/>
      <c r="H59" s="8"/>
      <c r="I59" s="10"/>
      <c r="J59" s="9"/>
      <c r="K59" s="9"/>
      <c r="L59" s="9"/>
      <c r="M59" s="9"/>
      <c r="N59" s="10"/>
      <c r="O59" s="10" t="str">
        <f t="shared" si="10"/>
        <v/>
      </c>
      <c r="P59" s="9" t="str">
        <f t="shared" si="11"/>
        <v/>
      </c>
      <c r="Q59" s="9" t="str">
        <f t="shared" si="12"/>
        <v/>
      </c>
      <c r="R59" s="9" t="str">
        <f t="shared" si="13"/>
        <v/>
      </c>
    </row>
    <row r="60" spans="2:18" x14ac:dyDescent="0.4">
      <c r="B60" s="8"/>
      <c r="C60" s="8"/>
      <c r="D60" s="8"/>
      <c r="E60" s="8"/>
      <c r="F60" s="8"/>
      <c r="G60" s="19"/>
      <c r="H60" s="8"/>
      <c r="I60" s="10"/>
      <c r="J60" s="9"/>
      <c r="K60" s="9"/>
      <c r="L60" s="9"/>
      <c r="M60" s="9"/>
      <c r="N60" s="10"/>
      <c r="O60" s="10" t="str">
        <f t="shared" si="10"/>
        <v/>
      </c>
      <c r="P60" s="9" t="str">
        <f t="shared" si="11"/>
        <v/>
      </c>
      <c r="Q60" s="9" t="str">
        <f t="shared" si="12"/>
        <v/>
      </c>
      <c r="R60" s="9" t="str">
        <f t="shared" si="13"/>
        <v/>
      </c>
    </row>
    <row r="61" spans="2:18" x14ac:dyDescent="0.4">
      <c r="B61" s="8"/>
      <c r="C61" s="8"/>
      <c r="D61" s="8"/>
      <c r="E61" s="8"/>
      <c r="F61" s="8"/>
      <c r="G61" s="19"/>
      <c r="H61" s="8"/>
      <c r="I61" s="10"/>
      <c r="J61" s="9"/>
      <c r="K61" s="9"/>
      <c r="L61" s="9"/>
      <c r="M61" s="9"/>
      <c r="N61" s="10"/>
      <c r="O61" s="10" t="str">
        <f t="shared" si="10"/>
        <v/>
      </c>
      <c r="P61" s="9" t="str">
        <f t="shared" si="11"/>
        <v/>
      </c>
      <c r="Q61" s="9" t="str">
        <f t="shared" si="12"/>
        <v/>
      </c>
      <c r="R61" s="9" t="str">
        <f t="shared" si="13"/>
        <v/>
      </c>
    </row>
    <row r="62" spans="2:18" x14ac:dyDescent="0.4">
      <c r="B62" s="8"/>
      <c r="C62" s="8"/>
      <c r="D62" s="8"/>
      <c r="E62" s="8"/>
      <c r="F62" s="8"/>
      <c r="G62" s="19"/>
      <c r="H62" s="8"/>
      <c r="I62" s="10"/>
      <c r="J62" s="9"/>
      <c r="K62" s="9"/>
      <c r="L62" s="9"/>
      <c r="M62" s="9"/>
      <c r="N62" s="10"/>
      <c r="O62" s="10" t="str">
        <f t="shared" si="10"/>
        <v/>
      </c>
      <c r="P62" s="9" t="str">
        <f t="shared" si="11"/>
        <v/>
      </c>
      <c r="Q62" s="9" t="str">
        <f t="shared" si="12"/>
        <v/>
      </c>
      <c r="R62" s="9" t="str">
        <f t="shared" si="13"/>
        <v/>
      </c>
    </row>
    <row r="63" spans="2:18" x14ac:dyDescent="0.4">
      <c r="B63" s="8"/>
      <c r="C63" s="8"/>
      <c r="D63" s="8"/>
      <c r="E63" s="8"/>
      <c r="F63" s="8"/>
      <c r="G63" s="19"/>
      <c r="H63" s="8"/>
      <c r="I63" s="10"/>
      <c r="J63" s="9"/>
      <c r="K63" s="9"/>
      <c r="L63" s="9"/>
      <c r="M63" s="9"/>
      <c r="N63" s="10"/>
      <c r="O63" s="10" t="str">
        <f t="shared" si="10"/>
        <v/>
      </c>
      <c r="P63" s="9" t="str">
        <f t="shared" si="11"/>
        <v/>
      </c>
      <c r="Q63" s="9" t="str">
        <f t="shared" si="12"/>
        <v/>
      </c>
      <c r="R63" s="9" t="str">
        <f t="shared" si="13"/>
        <v/>
      </c>
    </row>
    <row r="64" spans="2:18" x14ac:dyDescent="0.4">
      <c r="B64" s="8"/>
      <c r="C64" s="8"/>
      <c r="D64" s="8"/>
      <c r="E64" s="8"/>
      <c r="F64" s="8"/>
      <c r="G64" s="19"/>
      <c r="H64" s="8"/>
      <c r="I64" s="10"/>
      <c r="J64" s="9"/>
      <c r="K64" s="9"/>
      <c r="L64" s="9"/>
      <c r="M64" s="9"/>
      <c r="N64" s="10"/>
      <c r="O64" s="10" t="str">
        <f t="shared" si="10"/>
        <v/>
      </c>
      <c r="P64" s="9" t="str">
        <f t="shared" si="11"/>
        <v/>
      </c>
      <c r="Q64" s="9" t="str">
        <f t="shared" si="12"/>
        <v/>
      </c>
      <c r="R64" s="9" t="str">
        <f t="shared" si="13"/>
        <v/>
      </c>
    </row>
    <row r="65" spans="2:18" x14ac:dyDescent="0.4">
      <c r="B65" s="8"/>
      <c r="C65" s="8"/>
      <c r="D65" s="8"/>
      <c r="E65" s="8"/>
      <c r="F65" s="8"/>
      <c r="G65" s="19"/>
      <c r="H65" s="8"/>
      <c r="I65" s="10"/>
      <c r="J65" s="9"/>
      <c r="K65" s="9"/>
      <c r="L65" s="9"/>
      <c r="M65" s="9"/>
      <c r="N65" s="10"/>
      <c r="O65" s="10" t="str">
        <f t="shared" si="10"/>
        <v/>
      </c>
      <c r="P65" s="9" t="str">
        <f t="shared" si="11"/>
        <v/>
      </c>
      <c r="Q65" s="9" t="str">
        <f t="shared" si="12"/>
        <v/>
      </c>
      <c r="R65" s="9" t="str">
        <f t="shared" si="13"/>
        <v/>
      </c>
    </row>
    <row r="66" spans="2:18" x14ac:dyDescent="0.4">
      <c r="B66" s="8"/>
      <c r="C66" s="8"/>
      <c r="D66" s="8"/>
      <c r="E66" s="8"/>
      <c r="F66" s="8"/>
      <c r="G66" s="19"/>
      <c r="H66" s="8"/>
      <c r="I66" s="10"/>
      <c r="J66" s="9"/>
      <c r="K66" s="9"/>
      <c r="L66" s="9"/>
      <c r="M66" s="9"/>
      <c r="N66" s="10"/>
      <c r="O66" s="10" t="str">
        <f t="shared" si="10"/>
        <v/>
      </c>
      <c r="P66" s="9" t="str">
        <f t="shared" si="11"/>
        <v/>
      </c>
      <c r="Q66" s="9" t="str">
        <f t="shared" si="12"/>
        <v/>
      </c>
      <c r="R66" s="9" t="str">
        <f t="shared" si="13"/>
        <v/>
      </c>
    </row>
    <row r="67" spans="2:18" x14ac:dyDescent="0.4">
      <c r="B67" s="8"/>
      <c r="C67" s="8"/>
      <c r="D67" s="8"/>
      <c r="E67" s="8"/>
      <c r="F67" s="8"/>
      <c r="G67" s="19"/>
      <c r="H67" s="8"/>
      <c r="I67" s="10"/>
      <c r="J67" s="9"/>
      <c r="K67" s="9"/>
      <c r="L67" s="9"/>
      <c r="M67" s="9"/>
      <c r="N67" s="10"/>
      <c r="O67" s="10" t="str">
        <f t="shared" si="10"/>
        <v/>
      </c>
      <c r="P67" s="9" t="str">
        <f t="shared" si="11"/>
        <v/>
      </c>
      <c r="Q67" s="9" t="str">
        <f t="shared" si="12"/>
        <v/>
      </c>
      <c r="R67" s="9" t="str">
        <f t="shared" si="13"/>
        <v/>
      </c>
    </row>
    <row r="68" spans="2:18" x14ac:dyDescent="0.4">
      <c r="B68" s="8"/>
      <c r="C68" s="8"/>
      <c r="D68" s="8"/>
      <c r="E68" s="8"/>
      <c r="F68" s="8"/>
      <c r="G68" s="19"/>
      <c r="H68" s="8"/>
      <c r="I68" s="10"/>
      <c r="J68" s="9"/>
      <c r="K68" s="9"/>
      <c r="L68" s="9"/>
      <c r="M68" s="9"/>
      <c r="N68" s="10"/>
      <c r="O68" s="10" t="str">
        <f t="shared" si="10"/>
        <v/>
      </c>
      <c r="P68" s="9" t="str">
        <f t="shared" si="11"/>
        <v/>
      </c>
      <c r="Q68" s="9" t="str">
        <f t="shared" si="12"/>
        <v/>
      </c>
      <c r="R68" s="9" t="str">
        <f t="shared" si="13"/>
        <v/>
      </c>
    </row>
    <row r="69" spans="2:18" x14ac:dyDescent="0.4">
      <c r="B69" s="8"/>
      <c r="C69" s="8"/>
      <c r="D69" s="8"/>
      <c r="E69" s="8"/>
      <c r="F69" s="8"/>
      <c r="G69" s="19"/>
      <c r="H69" s="8"/>
      <c r="I69" s="10"/>
      <c r="J69" s="9"/>
      <c r="K69" s="9"/>
      <c r="L69" s="9"/>
      <c r="M69" s="9"/>
      <c r="N69" s="10"/>
      <c r="O69" s="10" t="str">
        <f t="shared" si="10"/>
        <v/>
      </c>
      <c r="P69" s="9" t="str">
        <f t="shared" si="11"/>
        <v/>
      </c>
      <c r="Q69" s="9" t="str">
        <f t="shared" si="12"/>
        <v/>
      </c>
      <c r="R69" s="9" t="str">
        <f t="shared" si="13"/>
        <v/>
      </c>
    </row>
    <row r="70" spans="2:18" x14ac:dyDescent="0.4">
      <c r="B70" s="8"/>
      <c r="C70" s="8"/>
      <c r="D70" s="8"/>
      <c r="E70" s="8"/>
      <c r="F70" s="8"/>
      <c r="G70" s="19"/>
      <c r="H70" s="8"/>
      <c r="I70" s="10"/>
      <c r="J70" s="9"/>
      <c r="K70" s="9"/>
      <c r="L70" s="9"/>
      <c r="M70" s="9"/>
      <c r="N70" s="10"/>
      <c r="O70" s="10" t="str">
        <f t="shared" si="10"/>
        <v/>
      </c>
      <c r="P70" s="9" t="str">
        <f t="shared" si="11"/>
        <v/>
      </c>
      <c r="Q70" s="9" t="str">
        <f t="shared" si="12"/>
        <v/>
      </c>
      <c r="R70" s="9" t="str">
        <f t="shared" si="13"/>
        <v/>
      </c>
    </row>
    <row r="71" spans="2:18" x14ac:dyDescent="0.4">
      <c r="B71" s="8"/>
      <c r="C71" s="8"/>
      <c r="D71" s="8"/>
      <c r="E71" s="8"/>
      <c r="F71" s="8"/>
      <c r="G71" s="19"/>
      <c r="H71" s="8"/>
      <c r="I71" s="10"/>
      <c r="J71" s="9"/>
      <c r="K71" s="9"/>
      <c r="L71" s="9"/>
      <c r="M71" s="9"/>
      <c r="N71" s="10"/>
      <c r="O71" s="10" t="str">
        <f t="shared" si="10"/>
        <v/>
      </c>
      <c r="P71" s="9" t="str">
        <f t="shared" si="11"/>
        <v/>
      </c>
      <c r="Q71" s="9" t="str">
        <f t="shared" si="12"/>
        <v/>
      </c>
      <c r="R71" s="9" t="str">
        <f t="shared" si="13"/>
        <v/>
      </c>
    </row>
    <row r="72" spans="2:18" x14ac:dyDescent="0.4">
      <c r="B72" s="8"/>
      <c r="C72" s="8"/>
      <c r="D72" s="8"/>
      <c r="E72" s="8"/>
      <c r="F72" s="8"/>
      <c r="G72" s="19"/>
      <c r="H72" s="8"/>
      <c r="I72" s="10"/>
      <c r="J72" s="9"/>
      <c r="K72" s="9"/>
      <c r="L72" s="9"/>
      <c r="M72" s="9"/>
      <c r="N72" s="10"/>
      <c r="O72" s="10" t="str">
        <f t="shared" si="10"/>
        <v/>
      </c>
      <c r="P72" s="9" t="str">
        <f t="shared" si="11"/>
        <v/>
      </c>
      <c r="Q72" s="9" t="str">
        <f t="shared" si="12"/>
        <v/>
      </c>
      <c r="R72" s="9" t="str">
        <f t="shared" si="13"/>
        <v/>
      </c>
    </row>
    <row r="73" spans="2:18" x14ac:dyDescent="0.4">
      <c r="B73" s="8"/>
      <c r="C73" s="8"/>
      <c r="D73" s="8"/>
      <c r="E73" s="8"/>
      <c r="F73" s="8"/>
      <c r="G73" s="19"/>
      <c r="H73" s="8"/>
      <c r="I73" s="10"/>
      <c r="J73" s="9"/>
      <c r="K73" s="9"/>
      <c r="L73" s="9"/>
      <c r="M73" s="9"/>
      <c r="N73" s="10"/>
      <c r="O73" s="10" t="str">
        <f t="shared" si="10"/>
        <v/>
      </c>
      <c r="P73" s="9" t="str">
        <f t="shared" si="11"/>
        <v/>
      </c>
      <c r="Q73" s="9" t="str">
        <f t="shared" si="12"/>
        <v/>
      </c>
      <c r="R73" s="9" t="str">
        <f t="shared" si="13"/>
        <v/>
      </c>
    </row>
    <row r="74" spans="2:18" x14ac:dyDescent="0.4">
      <c r="B74" s="8"/>
      <c r="C74" s="8"/>
      <c r="D74" s="8"/>
      <c r="E74" s="8"/>
      <c r="F74" s="8"/>
      <c r="G74" s="19"/>
      <c r="H74" s="8"/>
      <c r="I74" s="10"/>
      <c r="J74" s="9"/>
      <c r="K74" s="9"/>
      <c r="L74" s="9"/>
      <c r="M74" s="9"/>
      <c r="N74" s="10"/>
      <c r="O74" s="10" t="str">
        <f t="shared" si="10"/>
        <v/>
      </c>
      <c r="P74" s="9" t="str">
        <f t="shared" si="11"/>
        <v/>
      </c>
      <c r="Q74" s="9" t="str">
        <f t="shared" si="12"/>
        <v/>
      </c>
      <c r="R74" s="9" t="str">
        <f t="shared" si="13"/>
        <v/>
      </c>
    </row>
    <row r="75" spans="2:18" x14ac:dyDescent="0.4">
      <c r="B75" s="8"/>
      <c r="C75" s="8"/>
      <c r="D75" s="8"/>
      <c r="E75" s="8"/>
      <c r="F75" s="8"/>
      <c r="G75" s="19"/>
      <c r="H75" s="8"/>
      <c r="I75" s="10"/>
      <c r="J75" s="9"/>
      <c r="K75" s="9"/>
      <c r="L75" s="9"/>
      <c r="M75" s="9"/>
      <c r="N75" s="10"/>
      <c r="O75" s="10" t="str">
        <f t="shared" si="10"/>
        <v/>
      </c>
      <c r="P75" s="9" t="str">
        <f t="shared" si="11"/>
        <v/>
      </c>
      <c r="Q75" s="9" t="str">
        <f t="shared" si="12"/>
        <v/>
      </c>
      <c r="R75" s="9" t="str">
        <f t="shared" si="13"/>
        <v/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2CBA-17BC-416F-842D-24FFB0448157}">
  <dimension ref="B2:R74"/>
  <sheetViews>
    <sheetView topLeftCell="A25" zoomScale="85" zoomScaleNormal="85" workbookViewId="0">
      <selection activeCell="D54" sqref="D54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16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5" si="0">K6*I6</f>
        <v>15840.000000000002</v>
      </c>
      <c r="N6" s="10"/>
      <c r="O6" s="10" t="str">
        <f t="shared" ref="O6:O56" si="1">IF(N6="","",I6-N6)</f>
        <v/>
      </c>
      <c r="P6" s="9" t="str">
        <f t="shared" ref="P6:P56" si="2">IFERROR(O6*J6,"")</f>
        <v/>
      </c>
      <c r="Q6" s="9" t="str">
        <f t="shared" ref="Q6:Q56" si="3">IFERROR(P6*O6,"")</f>
        <v/>
      </c>
      <c r="R6" s="9" t="str">
        <f t="shared" ref="R6:R56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302</v>
      </c>
      <c r="F9" s="17" t="s">
        <v>140</v>
      </c>
      <c r="G9" s="19"/>
      <c r="H9" s="13">
        <v>0.1</v>
      </c>
      <c r="I9" s="10">
        <v>30</v>
      </c>
      <c r="J9" s="9">
        <v>450</v>
      </c>
      <c r="K9" s="9">
        <f>J9*110%</f>
        <v>495.00000000000006</v>
      </c>
      <c r="L9" s="9"/>
      <c r="M9" s="9">
        <f t="shared" si="0"/>
        <v>14850.000000000002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302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5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302</v>
      </c>
      <c r="F11" s="17" t="s">
        <v>142</v>
      </c>
      <c r="G11" s="19"/>
      <c r="H11" s="13">
        <v>0.1</v>
      </c>
      <c r="I11" s="10">
        <v>30</v>
      </c>
      <c r="J11" s="9">
        <v>450</v>
      </c>
      <c r="K11" s="9">
        <f t="shared" si="5"/>
        <v>495.00000000000006</v>
      </c>
      <c r="L11" s="9"/>
      <c r="M11" s="9">
        <f t="shared" si="0"/>
        <v>14850.000000000002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302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302</v>
      </c>
      <c r="F13" s="17" t="s">
        <v>144</v>
      </c>
      <c r="G13" s="19"/>
      <c r="H13" s="13">
        <v>0.1</v>
      </c>
      <c r="I13" s="10">
        <v>7</v>
      </c>
      <c r="J13" s="9">
        <v>75</v>
      </c>
      <c r="K13" s="9">
        <f t="shared" si="5"/>
        <v>82.5</v>
      </c>
      <c r="L13" s="9"/>
      <c r="M13" s="9">
        <f t="shared" si="0"/>
        <v>577.5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302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302</v>
      </c>
      <c r="F15" s="17" t="s">
        <v>146</v>
      </c>
      <c r="G15" s="19"/>
      <c r="H15" s="13">
        <v>0.1</v>
      </c>
      <c r="I15" s="10">
        <v>7</v>
      </c>
      <c r="J15" s="9">
        <v>75</v>
      </c>
      <c r="K15" s="9">
        <f t="shared" si="5"/>
        <v>82.5</v>
      </c>
      <c r="L15" s="9"/>
      <c r="M15" s="9">
        <f t="shared" si="0"/>
        <v>577.5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302</v>
      </c>
      <c r="F16" s="17" t="s">
        <v>147</v>
      </c>
      <c r="G16" s="19"/>
      <c r="H16" s="13">
        <v>0.1</v>
      </c>
      <c r="I16" s="10">
        <v>7</v>
      </c>
      <c r="J16" s="9">
        <v>75</v>
      </c>
      <c r="K16" s="9">
        <f t="shared" si="5"/>
        <v>82.5</v>
      </c>
      <c r="L16" s="9"/>
      <c r="M16" s="9">
        <f t="shared" si="0"/>
        <v>577.5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302</v>
      </c>
      <c r="F17" s="17" t="s">
        <v>148</v>
      </c>
      <c r="G17" s="19"/>
      <c r="H17" s="13">
        <v>0.1</v>
      </c>
      <c r="I17" s="10">
        <v>7</v>
      </c>
      <c r="J17" s="9">
        <v>85</v>
      </c>
      <c r="K17" s="9">
        <f t="shared" si="5"/>
        <v>93.500000000000014</v>
      </c>
      <c r="L17" s="9"/>
      <c r="M17" s="9">
        <f t="shared" si="0"/>
        <v>654.50000000000011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302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302</v>
      </c>
      <c r="F19" s="17" t="s">
        <v>151</v>
      </c>
      <c r="G19" s="19"/>
      <c r="H19" s="13">
        <v>0.1</v>
      </c>
      <c r="I19" s="10">
        <v>7</v>
      </c>
      <c r="J19" s="9">
        <v>120</v>
      </c>
      <c r="K19" s="9">
        <f t="shared" si="5"/>
        <v>132</v>
      </c>
      <c r="L19" s="9"/>
      <c r="M19" s="9">
        <f t="shared" si="0"/>
        <v>924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302</v>
      </c>
      <c r="F20" s="17" t="s">
        <v>152</v>
      </c>
      <c r="G20" s="19"/>
      <c r="H20" s="13">
        <v>0.1</v>
      </c>
      <c r="I20" s="10">
        <v>7</v>
      </c>
      <c r="J20" s="9">
        <v>120</v>
      </c>
      <c r="K20" s="9">
        <f t="shared" si="5"/>
        <v>132</v>
      </c>
      <c r="L20" s="9"/>
      <c r="M20" s="9">
        <f t="shared" si="0"/>
        <v>924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302</v>
      </c>
      <c r="F21" s="17" t="s">
        <v>153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302</v>
      </c>
      <c r="F22" s="17" t="s">
        <v>154</v>
      </c>
      <c r="G22" s="19"/>
      <c r="H22" s="13">
        <v>0.1</v>
      </c>
      <c r="I22" s="10">
        <v>30</v>
      </c>
      <c r="J22" s="9">
        <v>450</v>
      </c>
      <c r="K22" s="9">
        <f t="shared" si="5"/>
        <v>495.00000000000006</v>
      </c>
      <c r="L22" s="9"/>
      <c r="M22" s="9">
        <f t="shared" si="0"/>
        <v>14850.000000000002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302</v>
      </c>
      <c r="F23" s="17" t="s">
        <v>155</v>
      </c>
      <c r="G23" s="19"/>
      <c r="H23" s="13">
        <v>0.1</v>
      </c>
      <c r="I23" s="10">
        <v>30</v>
      </c>
      <c r="J23" s="9">
        <v>450</v>
      </c>
      <c r="K23" s="9">
        <f t="shared" si="5"/>
        <v>495.00000000000006</v>
      </c>
      <c r="L23" s="9"/>
      <c r="M23" s="9">
        <f t="shared" si="0"/>
        <v>14850.000000000002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302</v>
      </c>
      <c r="F24" s="17" t="s">
        <v>156</v>
      </c>
      <c r="G24" s="19"/>
      <c r="H24" s="13">
        <v>0.1</v>
      </c>
      <c r="I24" s="10">
        <v>30</v>
      </c>
      <c r="J24" s="9">
        <v>450</v>
      </c>
      <c r="K24" s="9">
        <f t="shared" si="5"/>
        <v>495.00000000000006</v>
      </c>
      <c r="L24" s="9"/>
      <c r="M24" s="9">
        <f t="shared" si="0"/>
        <v>14850.000000000002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302</v>
      </c>
      <c r="F25" s="17" t="s">
        <v>157</v>
      </c>
      <c r="G25" s="19"/>
      <c r="H25" s="13">
        <v>0.1</v>
      </c>
      <c r="I25" s="10">
        <v>30</v>
      </c>
      <c r="J25" s="9">
        <v>450</v>
      </c>
      <c r="K25" s="9">
        <f t="shared" si="5"/>
        <v>495.00000000000006</v>
      </c>
      <c r="L25" s="9"/>
      <c r="M25" s="9">
        <f t="shared" si="0"/>
        <v>14850.000000000002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/>
      <c r="D26" s="8"/>
      <c r="E26" s="8" t="s">
        <v>162</v>
      </c>
      <c r="F26" s="8" t="s">
        <v>160</v>
      </c>
      <c r="G26" s="19" t="s">
        <v>159</v>
      </c>
      <c r="H26" s="13">
        <v>0.1</v>
      </c>
      <c r="I26" s="10">
        <v>90</v>
      </c>
      <c r="J26" s="9"/>
      <c r="K26" s="9"/>
      <c r="L26" s="9"/>
      <c r="M26" s="9"/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x14ac:dyDescent="0.4">
      <c r="B27" s="8"/>
      <c r="C27" s="8"/>
      <c r="D27" s="8"/>
      <c r="E27" s="8" t="s">
        <v>162</v>
      </c>
      <c r="F27" s="8" t="s">
        <v>161</v>
      </c>
      <c r="G27" s="19" t="s">
        <v>159</v>
      </c>
      <c r="H27" s="13">
        <v>0.1</v>
      </c>
      <c r="I27" s="10">
        <v>90</v>
      </c>
      <c r="J27" s="9"/>
      <c r="K27" s="9"/>
      <c r="L27" s="9"/>
      <c r="M27" s="9"/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ht="18.75" x14ac:dyDescent="0.4">
      <c r="B28" s="8"/>
      <c r="C28" s="26" t="s">
        <v>300</v>
      </c>
      <c r="D28" s="8"/>
      <c r="E28" s="8" t="s">
        <v>308</v>
      </c>
      <c r="F28" s="27" t="s">
        <v>309</v>
      </c>
      <c r="G28" s="30">
        <v>4977629310376</v>
      </c>
      <c r="H28" s="41">
        <v>0.08</v>
      </c>
      <c r="I28" s="10">
        <v>96</v>
      </c>
      <c r="J28" s="31">
        <v>40</v>
      </c>
      <c r="K28" s="9">
        <f>J28*108%</f>
        <v>43.2</v>
      </c>
      <c r="L28" s="9"/>
      <c r="M28" s="9">
        <f>K28*I28</f>
        <v>4147.2000000000007</v>
      </c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303</v>
      </c>
      <c r="D29" s="8"/>
      <c r="E29" s="8" t="s">
        <v>308</v>
      </c>
      <c r="F29" s="28" t="s">
        <v>310</v>
      </c>
      <c r="G29" s="30">
        <v>2000000062716</v>
      </c>
      <c r="H29" s="41">
        <v>0.1</v>
      </c>
      <c r="I29" s="10">
        <v>100</v>
      </c>
      <c r="J29" s="31">
        <v>48</v>
      </c>
      <c r="K29" s="9">
        <f>J29*110%</f>
        <v>52.800000000000004</v>
      </c>
      <c r="L29" s="9"/>
      <c r="M29" s="9">
        <f t="shared" ref="M29:M54" si="6">K29*I29</f>
        <v>5280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304</v>
      </c>
      <c r="D30" s="8"/>
      <c r="E30" s="8" t="s">
        <v>308</v>
      </c>
      <c r="F30" s="28" t="s">
        <v>311</v>
      </c>
      <c r="G30" s="30">
        <v>2000000064529</v>
      </c>
      <c r="H30" s="41">
        <v>0.1</v>
      </c>
      <c r="I30" s="10">
        <v>60</v>
      </c>
      <c r="J30" s="31">
        <v>80</v>
      </c>
      <c r="K30" s="9">
        <f t="shared" ref="K30:K44" si="7">J30*110%</f>
        <v>88</v>
      </c>
      <c r="L30" s="9"/>
      <c r="M30" s="9">
        <f t="shared" si="6"/>
        <v>5280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312</v>
      </c>
      <c r="G31" s="30">
        <v>4973512263651</v>
      </c>
      <c r="H31" s="41">
        <v>0.1</v>
      </c>
      <c r="I31" s="10">
        <v>100</v>
      </c>
      <c r="J31" s="31">
        <v>80</v>
      </c>
      <c r="K31" s="9">
        <f t="shared" si="7"/>
        <v>88</v>
      </c>
      <c r="L31" s="9"/>
      <c r="M31" s="9">
        <f t="shared" si="6"/>
        <v>8800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304</v>
      </c>
      <c r="D32" s="8"/>
      <c r="E32" s="8" t="s">
        <v>308</v>
      </c>
      <c r="F32" s="28" t="s">
        <v>313</v>
      </c>
      <c r="G32" s="30">
        <v>4518516000088</v>
      </c>
      <c r="H32" s="41">
        <v>0.1</v>
      </c>
      <c r="I32" s="10">
        <v>48</v>
      </c>
      <c r="J32" s="31">
        <v>130</v>
      </c>
      <c r="K32" s="9">
        <f t="shared" si="7"/>
        <v>143</v>
      </c>
      <c r="L32" s="9"/>
      <c r="M32" s="9">
        <f t="shared" si="6"/>
        <v>6864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303</v>
      </c>
      <c r="D33" s="8"/>
      <c r="E33" s="8" t="s">
        <v>308</v>
      </c>
      <c r="F33" s="28" t="s">
        <v>314</v>
      </c>
      <c r="G33" s="30">
        <v>4580419310328</v>
      </c>
      <c r="H33" s="41">
        <v>0.1</v>
      </c>
      <c r="I33" s="10">
        <v>50</v>
      </c>
      <c r="J33" s="31">
        <v>280</v>
      </c>
      <c r="K33" s="9">
        <f t="shared" si="7"/>
        <v>308</v>
      </c>
      <c r="L33" s="9"/>
      <c r="M33" s="9">
        <f t="shared" si="6"/>
        <v>15400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304</v>
      </c>
      <c r="D34" s="8"/>
      <c r="E34" s="8" t="s">
        <v>308</v>
      </c>
      <c r="F34" s="28" t="s">
        <v>315</v>
      </c>
      <c r="G34" s="30">
        <v>4904705163304</v>
      </c>
      <c r="H34" s="41">
        <v>0.1</v>
      </c>
      <c r="I34" s="10">
        <v>240</v>
      </c>
      <c r="J34" s="31">
        <v>19</v>
      </c>
      <c r="K34" s="9">
        <f t="shared" si="7"/>
        <v>20.900000000000002</v>
      </c>
      <c r="L34" s="9"/>
      <c r="M34" s="9">
        <f t="shared" si="6"/>
        <v>5016.0000000000009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316</v>
      </c>
      <c r="G35" s="30">
        <v>4966840253630</v>
      </c>
      <c r="H35" s="41">
        <v>0.1</v>
      </c>
      <c r="I35" s="10">
        <v>240</v>
      </c>
      <c r="J35" s="31">
        <v>22</v>
      </c>
      <c r="K35" s="9">
        <f t="shared" si="7"/>
        <v>24.200000000000003</v>
      </c>
      <c r="L35" s="9"/>
      <c r="M35" s="9">
        <f t="shared" si="6"/>
        <v>5808.0000000000009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304</v>
      </c>
      <c r="D36" s="8"/>
      <c r="E36" s="8" t="s">
        <v>308</v>
      </c>
      <c r="F36" s="28" t="s">
        <v>317</v>
      </c>
      <c r="G36" s="30">
        <v>8010630333869</v>
      </c>
      <c r="H36" s="41">
        <v>0.1</v>
      </c>
      <c r="I36" s="10">
        <v>400</v>
      </c>
      <c r="J36" s="31">
        <v>30</v>
      </c>
      <c r="K36" s="9">
        <f t="shared" si="7"/>
        <v>33</v>
      </c>
      <c r="L36" s="9"/>
      <c r="M36" s="9">
        <f t="shared" si="6"/>
        <v>13200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303</v>
      </c>
      <c r="D37" s="8"/>
      <c r="E37" s="8" t="s">
        <v>308</v>
      </c>
      <c r="F37" s="28" t="s">
        <v>318</v>
      </c>
      <c r="G37" s="30">
        <v>4528364820028</v>
      </c>
      <c r="H37" s="41">
        <v>0.1</v>
      </c>
      <c r="I37" s="10">
        <v>100</v>
      </c>
      <c r="J37" s="31">
        <v>35</v>
      </c>
      <c r="K37" s="9">
        <f t="shared" si="7"/>
        <v>38.5</v>
      </c>
      <c r="L37" s="9"/>
      <c r="M37" s="9">
        <f t="shared" si="6"/>
        <v>3850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304</v>
      </c>
      <c r="D38" s="8"/>
      <c r="E38" s="8" t="s">
        <v>308</v>
      </c>
      <c r="F38" s="28" t="s">
        <v>319</v>
      </c>
      <c r="G38" s="30">
        <v>4966840251551</v>
      </c>
      <c r="H38" s="41">
        <v>0.1</v>
      </c>
      <c r="I38" s="10">
        <v>144</v>
      </c>
      <c r="J38" s="31">
        <v>40</v>
      </c>
      <c r="K38" s="9">
        <f t="shared" si="7"/>
        <v>44</v>
      </c>
      <c r="L38" s="9"/>
      <c r="M38" s="9">
        <f t="shared" si="6"/>
        <v>6336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305</v>
      </c>
      <c r="D39" s="8"/>
      <c r="E39" s="8" t="s">
        <v>308</v>
      </c>
      <c r="F39" s="28" t="s">
        <v>321</v>
      </c>
      <c r="G39" s="30">
        <v>4970687211241</v>
      </c>
      <c r="H39" s="41">
        <v>0.1</v>
      </c>
      <c r="I39" s="10">
        <v>120</v>
      </c>
      <c r="J39" s="31">
        <v>80</v>
      </c>
      <c r="K39" s="9">
        <f t="shared" si="7"/>
        <v>88</v>
      </c>
      <c r="L39" s="9"/>
      <c r="M39" s="9">
        <f t="shared" si="6"/>
        <v>10560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121" t="s">
        <v>304</v>
      </c>
      <c r="D40" s="8"/>
      <c r="E40" s="8" t="s">
        <v>308</v>
      </c>
      <c r="F40" s="28" t="s">
        <v>323</v>
      </c>
      <c r="G40" s="30">
        <v>4510482194181</v>
      </c>
      <c r="H40" s="41">
        <v>0.1</v>
      </c>
      <c r="I40" s="10">
        <v>24</v>
      </c>
      <c r="J40" s="31">
        <v>100</v>
      </c>
      <c r="K40" s="9">
        <f t="shared" si="7"/>
        <v>110.00000000000001</v>
      </c>
      <c r="L40" s="9"/>
      <c r="M40" s="9">
        <f t="shared" si="6"/>
        <v>2640.0000000000005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122"/>
      <c r="D41" s="8"/>
      <c r="E41" s="8" t="s">
        <v>308</v>
      </c>
      <c r="F41" s="28" t="s">
        <v>325</v>
      </c>
      <c r="G41" s="30">
        <v>4510482194204</v>
      </c>
      <c r="H41" s="41">
        <v>0.1</v>
      </c>
      <c r="I41" s="10">
        <v>24</v>
      </c>
      <c r="J41" s="31">
        <v>100</v>
      </c>
      <c r="K41" s="9">
        <f t="shared" si="7"/>
        <v>110.00000000000001</v>
      </c>
      <c r="L41" s="9"/>
      <c r="M41" s="9">
        <f t="shared" si="6"/>
        <v>2640.0000000000005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26" t="s">
        <v>304</v>
      </c>
      <c r="D42" s="8"/>
      <c r="E42" s="8" t="s">
        <v>308</v>
      </c>
      <c r="F42" s="28" t="s">
        <v>326</v>
      </c>
      <c r="G42" s="30">
        <v>4972603100585</v>
      </c>
      <c r="H42" s="41">
        <v>0.1</v>
      </c>
      <c r="I42" s="10">
        <v>30</v>
      </c>
      <c r="J42" s="31">
        <v>100</v>
      </c>
      <c r="K42" s="9">
        <f t="shared" si="7"/>
        <v>110.00000000000001</v>
      </c>
      <c r="L42" s="9"/>
      <c r="M42" s="9">
        <f t="shared" si="6"/>
        <v>3300.0000000000005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26" t="s">
        <v>304</v>
      </c>
      <c r="D43" s="8"/>
      <c r="E43" s="8" t="s">
        <v>308</v>
      </c>
      <c r="F43" s="28" t="s">
        <v>327</v>
      </c>
      <c r="G43" s="30">
        <v>4589596691961</v>
      </c>
      <c r="H43" s="41">
        <v>0.1</v>
      </c>
      <c r="I43" s="10">
        <v>36</v>
      </c>
      <c r="J43" s="31">
        <v>140</v>
      </c>
      <c r="K43" s="9">
        <f t="shared" si="7"/>
        <v>154</v>
      </c>
      <c r="L43" s="9"/>
      <c r="M43" s="9">
        <f t="shared" si="6"/>
        <v>5544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26" t="s">
        <v>304</v>
      </c>
      <c r="D44" s="8"/>
      <c r="E44" s="8" t="s">
        <v>308</v>
      </c>
      <c r="F44" s="28" t="s">
        <v>347</v>
      </c>
      <c r="G44" s="30">
        <v>4939560247197</v>
      </c>
      <c r="H44" s="41">
        <v>0.1</v>
      </c>
      <c r="I44" s="10">
        <v>60</v>
      </c>
      <c r="J44" s="31">
        <v>216</v>
      </c>
      <c r="K44" s="9">
        <f t="shared" si="7"/>
        <v>237.60000000000002</v>
      </c>
      <c r="L44" s="9"/>
      <c r="M44" s="9">
        <f t="shared" si="6"/>
        <v>14256.000000000002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37.5" x14ac:dyDescent="0.4">
      <c r="B45" s="8"/>
      <c r="C45" s="26" t="s">
        <v>300</v>
      </c>
      <c r="D45" s="8"/>
      <c r="E45" s="8" t="s">
        <v>308</v>
      </c>
      <c r="F45" s="29" t="s">
        <v>329</v>
      </c>
      <c r="G45" s="30">
        <v>4960867008396</v>
      </c>
      <c r="H45" s="41">
        <v>0.08</v>
      </c>
      <c r="I45" s="10">
        <v>30</v>
      </c>
      <c r="J45" s="31">
        <v>240</v>
      </c>
      <c r="K45" s="9">
        <f t="shared" ref="K45" si="8">J45*108%</f>
        <v>259.20000000000005</v>
      </c>
      <c r="L45" s="9"/>
      <c r="M45" s="9">
        <f t="shared" si="6"/>
        <v>7776.0000000000018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18.75" x14ac:dyDescent="0.4">
      <c r="B46" s="8"/>
      <c r="C46" s="26" t="s">
        <v>304</v>
      </c>
      <c r="D46" s="8"/>
      <c r="E46" s="8" t="s">
        <v>308</v>
      </c>
      <c r="F46" s="28" t="s">
        <v>333</v>
      </c>
      <c r="G46" s="30">
        <v>4939560521617</v>
      </c>
      <c r="H46" s="41">
        <v>0.1</v>
      </c>
      <c r="I46" s="10">
        <v>12</v>
      </c>
      <c r="J46" s="31">
        <v>540</v>
      </c>
      <c r="K46" s="9">
        <f t="shared" ref="K46:K55" si="9">J46*110%</f>
        <v>594</v>
      </c>
      <c r="L46" s="9"/>
      <c r="M46" s="9">
        <f t="shared" si="6"/>
        <v>7128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18.75" x14ac:dyDescent="0.4">
      <c r="B47" s="8"/>
      <c r="C47" s="26" t="s">
        <v>304</v>
      </c>
      <c r="D47" s="8"/>
      <c r="E47" s="8" t="s">
        <v>308</v>
      </c>
      <c r="F47" s="28" t="s">
        <v>334</v>
      </c>
      <c r="G47" s="30">
        <v>2000000068152</v>
      </c>
      <c r="H47" s="41">
        <v>0.1</v>
      </c>
      <c r="I47" s="10">
        <v>200</v>
      </c>
      <c r="J47" s="31">
        <v>30</v>
      </c>
      <c r="K47" s="9">
        <f t="shared" si="9"/>
        <v>33</v>
      </c>
      <c r="L47" s="9"/>
      <c r="M47" s="9">
        <f t="shared" si="6"/>
        <v>6600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18.75" x14ac:dyDescent="0.4">
      <c r="B48" s="8"/>
      <c r="C48" s="26" t="s">
        <v>304</v>
      </c>
      <c r="D48" s="8"/>
      <c r="E48" s="8" t="s">
        <v>308</v>
      </c>
      <c r="F48" s="28" t="s">
        <v>338</v>
      </c>
      <c r="G48" s="30">
        <v>4510482229425</v>
      </c>
      <c r="H48" s="41">
        <v>0.1</v>
      </c>
      <c r="I48" s="10">
        <v>24</v>
      </c>
      <c r="J48" s="31">
        <v>80</v>
      </c>
      <c r="K48" s="9">
        <f t="shared" si="9"/>
        <v>88</v>
      </c>
      <c r="L48" s="9"/>
      <c r="M48" s="9">
        <f t="shared" si="6"/>
        <v>2112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307</v>
      </c>
      <c r="D49" s="8"/>
      <c r="E49" s="8" t="s">
        <v>308</v>
      </c>
      <c r="F49" s="28" t="s">
        <v>339</v>
      </c>
      <c r="G49" s="30">
        <v>4573135361057</v>
      </c>
      <c r="H49" s="41">
        <v>0.1</v>
      </c>
      <c r="I49" s="10">
        <v>48</v>
      </c>
      <c r="J49" s="31">
        <v>80</v>
      </c>
      <c r="K49" s="9">
        <f t="shared" si="9"/>
        <v>88</v>
      </c>
      <c r="L49" s="9"/>
      <c r="M49" s="9">
        <f t="shared" si="6"/>
        <v>4224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304</v>
      </c>
      <c r="D50" s="8"/>
      <c r="E50" s="8" t="s">
        <v>308</v>
      </c>
      <c r="F50" s="28" t="s">
        <v>342</v>
      </c>
      <c r="G50" s="30">
        <v>4580487007922</v>
      </c>
      <c r="H50" s="41">
        <v>0.1</v>
      </c>
      <c r="I50" s="10">
        <v>6</v>
      </c>
      <c r="J50" s="31">
        <v>850</v>
      </c>
      <c r="K50" s="9">
        <f t="shared" si="9"/>
        <v>935.00000000000011</v>
      </c>
      <c r="L50" s="9"/>
      <c r="M50" s="9">
        <f t="shared" si="6"/>
        <v>5610.0000000000009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304</v>
      </c>
      <c r="D51" s="8"/>
      <c r="E51" s="8" t="s">
        <v>308</v>
      </c>
      <c r="F51" s="28" t="s">
        <v>343</v>
      </c>
      <c r="G51" s="30"/>
      <c r="H51" s="41">
        <v>0.1</v>
      </c>
      <c r="I51" s="10">
        <v>384</v>
      </c>
      <c r="J51" s="31">
        <v>9</v>
      </c>
      <c r="K51" s="9">
        <f t="shared" si="9"/>
        <v>9.9</v>
      </c>
      <c r="L51" s="9"/>
      <c r="M51" s="9">
        <f t="shared" si="6"/>
        <v>3801.6000000000004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26" t="s">
        <v>307</v>
      </c>
      <c r="D52" s="8"/>
      <c r="E52" s="8" t="s">
        <v>308</v>
      </c>
      <c r="F52" s="28" t="s">
        <v>344</v>
      </c>
      <c r="G52" s="30"/>
      <c r="H52" s="41">
        <v>0.1</v>
      </c>
      <c r="I52" s="10">
        <v>108</v>
      </c>
      <c r="J52" s="31">
        <v>140</v>
      </c>
      <c r="K52" s="9">
        <f t="shared" si="9"/>
        <v>154</v>
      </c>
      <c r="L52" s="9"/>
      <c r="M52" s="9">
        <f t="shared" si="6"/>
        <v>16632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37.5" x14ac:dyDescent="0.4">
      <c r="B53" s="8"/>
      <c r="C53" s="26" t="s">
        <v>303</v>
      </c>
      <c r="D53" s="8"/>
      <c r="E53" s="8" t="s">
        <v>308</v>
      </c>
      <c r="F53" s="29" t="s">
        <v>348</v>
      </c>
      <c r="G53" s="30"/>
      <c r="H53" s="41">
        <v>0.1</v>
      </c>
      <c r="I53" s="10">
        <v>150</v>
      </c>
      <c r="J53" s="31">
        <v>145</v>
      </c>
      <c r="K53" s="9">
        <f t="shared" si="9"/>
        <v>159.5</v>
      </c>
      <c r="L53" s="9"/>
      <c r="M53" s="9">
        <f t="shared" si="6"/>
        <v>23925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26" t="s">
        <v>303</v>
      </c>
      <c r="D54" s="8"/>
      <c r="E54" s="8" t="s">
        <v>308</v>
      </c>
      <c r="F54" s="28" t="s">
        <v>345</v>
      </c>
      <c r="G54" s="30"/>
      <c r="H54" s="41">
        <v>0.1</v>
      </c>
      <c r="I54" s="10">
        <v>60</v>
      </c>
      <c r="J54" s="31">
        <v>145</v>
      </c>
      <c r="K54" s="9">
        <f t="shared" si="9"/>
        <v>159.5</v>
      </c>
      <c r="L54" s="9"/>
      <c r="M54" s="9">
        <f t="shared" si="6"/>
        <v>9570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18.75" x14ac:dyDescent="0.4">
      <c r="B55" s="8"/>
      <c r="C55" s="26" t="s">
        <v>96</v>
      </c>
      <c r="D55" s="8"/>
      <c r="E55" s="8" t="s">
        <v>308</v>
      </c>
      <c r="F55" s="28" t="s">
        <v>346</v>
      </c>
      <c r="G55" s="30">
        <v>4560437940714</v>
      </c>
      <c r="H55" s="41">
        <v>0.1</v>
      </c>
      <c r="I55" s="10">
        <v>48</v>
      </c>
      <c r="J55" s="31">
        <v>150</v>
      </c>
      <c r="K55" s="9">
        <f t="shared" si="9"/>
        <v>165</v>
      </c>
      <c r="L55" s="9"/>
      <c r="M55" s="9">
        <f>K55*I55</f>
        <v>7920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x14ac:dyDescent="0.4">
      <c r="B56" s="8"/>
      <c r="C56" s="8"/>
      <c r="D56" s="8"/>
      <c r="E56" s="8"/>
      <c r="F56" s="8"/>
      <c r="G56" s="19"/>
      <c r="H56" s="8"/>
      <c r="I56" s="10"/>
      <c r="J56" s="9"/>
      <c r="K56" s="9"/>
      <c r="L56" s="9"/>
      <c r="M56" s="9"/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x14ac:dyDescent="0.4">
      <c r="B57" s="8"/>
      <c r="C57" s="8"/>
      <c r="D57" s="8"/>
      <c r="E57" s="8"/>
      <c r="F57" s="8"/>
      <c r="G57" s="19"/>
      <c r="H57" s="8"/>
      <c r="I57" s="10"/>
      <c r="J57" s="9"/>
      <c r="K57" s="9"/>
      <c r="L57" s="9"/>
      <c r="M57" s="9"/>
      <c r="N57" s="10"/>
      <c r="O57" s="10" t="str">
        <f t="shared" ref="O57:O74" si="10">IF(N57="","",I57-N57)</f>
        <v/>
      </c>
      <c r="P57" s="9" t="str">
        <f t="shared" ref="P57:P74" si="11">IFERROR(O57*J57,"")</f>
        <v/>
      </c>
      <c r="Q57" s="9" t="str">
        <f t="shared" ref="Q57:Q74" si="12">IFERROR(P57*O57,"")</f>
        <v/>
      </c>
      <c r="R57" s="9" t="str">
        <f t="shared" ref="R57:R74" si="13">IFERROR(Q57-P57,"")</f>
        <v/>
      </c>
    </row>
    <row r="58" spans="2:18" x14ac:dyDescent="0.4">
      <c r="B58" s="8"/>
      <c r="C58" s="8"/>
      <c r="D58" s="8"/>
      <c r="E58" s="8"/>
      <c r="F58" s="8"/>
      <c r="G58" s="19"/>
      <c r="H58" s="8"/>
      <c r="I58" s="10"/>
      <c r="J58" s="9"/>
      <c r="K58" s="9"/>
      <c r="L58" s="9"/>
      <c r="M58" s="9"/>
      <c r="N58" s="10"/>
      <c r="O58" s="10" t="str">
        <f t="shared" si="10"/>
        <v/>
      </c>
      <c r="P58" s="9" t="str">
        <f t="shared" si="11"/>
        <v/>
      </c>
      <c r="Q58" s="9" t="str">
        <f t="shared" si="12"/>
        <v/>
      </c>
      <c r="R58" s="9" t="str">
        <f t="shared" si="13"/>
        <v/>
      </c>
    </row>
    <row r="59" spans="2:18" x14ac:dyDescent="0.4">
      <c r="B59" s="8"/>
      <c r="C59" s="8"/>
      <c r="D59" s="8"/>
      <c r="E59" s="8"/>
      <c r="F59" s="8"/>
      <c r="G59" s="19"/>
      <c r="H59" s="8"/>
      <c r="I59" s="10"/>
      <c r="J59" s="9"/>
      <c r="K59" s="9"/>
      <c r="L59" s="9"/>
      <c r="M59" s="9"/>
      <c r="N59" s="10"/>
      <c r="O59" s="10" t="str">
        <f t="shared" si="10"/>
        <v/>
      </c>
      <c r="P59" s="9" t="str">
        <f t="shared" si="11"/>
        <v/>
      </c>
      <c r="Q59" s="9" t="str">
        <f t="shared" si="12"/>
        <v/>
      </c>
      <c r="R59" s="9" t="str">
        <f t="shared" si="13"/>
        <v/>
      </c>
    </row>
    <row r="60" spans="2:18" x14ac:dyDescent="0.4">
      <c r="B60" s="8"/>
      <c r="C60" s="8"/>
      <c r="D60" s="8"/>
      <c r="E60" s="8"/>
      <c r="F60" s="8"/>
      <c r="G60" s="19"/>
      <c r="H60" s="8"/>
      <c r="I60" s="10"/>
      <c r="J60" s="9"/>
      <c r="K60" s="9"/>
      <c r="L60" s="9"/>
      <c r="M60" s="9"/>
      <c r="N60" s="10"/>
      <c r="O60" s="10" t="str">
        <f t="shared" si="10"/>
        <v/>
      </c>
      <c r="P60" s="9" t="str">
        <f t="shared" si="11"/>
        <v/>
      </c>
      <c r="Q60" s="9" t="str">
        <f t="shared" si="12"/>
        <v/>
      </c>
      <c r="R60" s="9" t="str">
        <f t="shared" si="13"/>
        <v/>
      </c>
    </row>
    <row r="61" spans="2:18" x14ac:dyDescent="0.4">
      <c r="B61" s="8"/>
      <c r="C61" s="8"/>
      <c r="D61" s="8"/>
      <c r="E61" s="8"/>
      <c r="F61" s="8"/>
      <c r="G61" s="19"/>
      <c r="H61" s="8"/>
      <c r="I61" s="10"/>
      <c r="J61" s="9"/>
      <c r="K61" s="9"/>
      <c r="L61" s="9"/>
      <c r="M61" s="9"/>
      <c r="N61" s="10"/>
      <c r="O61" s="10" t="str">
        <f t="shared" si="10"/>
        <v/>
      </c>
      <c r="P61" s="9" t="str">
        <f t="shared" si="11"/>
        <v/>
      </c>
      <c r="Q61" s="9" t="str">
        <f t="shared" si="12"/>
        <v/>
      </c>
      <c r="R61" s="9" t="str">
        <f t="shared" si="13"/>
        <v/>
      </c>
    </row>
    <row r="62" spans="2:18" x14ac:dyDescent="0.4">
      <c r="B62" s="8"/>
      <c r="C62" s="8"/>
      <c r="D62" s="8"/>
      <c r="E62" s="8"/>
      <c r="F62" s="8"/>
      <c r="G62" s="19"/>
      <c r="H62" s="8"/>
      <c r="I62" s="10"/>
      <c r="J62" s="9"/>
      <c r="K62" s="9"/>
      <c r="L62" s="9"/>
      <c r="M62" s="9"/>
      <c r="N62" s="10"/>
      <c r="O62" s="10" t="str">
        <f t="shared" si="10"/>
        <v/>
      </c>
      <c r="P62" s="9" t="str">
        <f t="shared" si="11"/>
        <v/>
      </c>
      <c r="Q62" s="9" t="str">
        <f t="shared" si="12"/>
        <v/>
      </c>
      <c r="R62" s="9" t="str">
        <f t="shared" si="13"/>
        <v/>
      </c>
    </row>
    <row r="63" spans="2:18" x14ac:dyDescent="0.4">
      <c r="B63" s="8"/>
      <c r="C63" s="8"/>
      <c r="D63" s="8"/>
      <c r="E63" s="8"/>
      <c r="F63" s="8"/>
      <c r="G63" s="19"/>
      <c r="H63" s="8"/>
      <c r="I63" s="10"/>
      <c r="J63" s="9"/>
      <c r="K63" s="9"/>
      <c r="L63" s="9"/>
      <c r="M63" s="9"/>
      <c r="N63" s="10"/>
      <c r="O63" s="10" t="str">
        <f t="shared" si="10"/>
        <v/>
      </c>
      <c r="P63" s="9" t="str">
        <f t="shared" si="11"/>
        <v/>
      </c>
      <c r="Q63" s="9" t="str">
        <f t="shared" si="12"/>
        <v/>
      </c>
      <c r="R63" s="9" t="str">
        <f t="shared" si="13"/>
        <v/>
      </c>
    </row>
    <row r="64" spans="2:18" x14ac:dyDescent="0.4">
      <c r="B64" s="8"/>
      <c r="C64" s="8"/>
      <c r="D64" s="8"/>
      <c r="E64" s="8"/>
      <c r="F64" s="8"/>
      <c r="G64" s="19"/>
      <c r="H64" s="8"/>
      <c r="I64" s="10"/>
      <c r="J64" s="9"/>
      <c r="K64" s="9"/>
      <c r="L64" s="9"/>
      <c r="M64" s="9"/>
      <c r="N64" s="10"/>
      <c r="O64" s="10" t="str">
        <f t="shared" si="10"/>
        <v/>
      </c>
      <c r="P64" s="9" t="str">
        <f t="shared" si="11"/>
        <v/>
      </c>
      <c r="Q64" s="9" t="str">
        <f t="shared" si="12"/>
        <v/>
      </c>
      <c r="R64" s="9" t="str">
        <f t="shared" si="13"/>
        <v/>
      </c>
    </row>
    <row r="65" spans="2:18" x14ac:dyDescent="0.4">
      <c r="B65" s="8"/>
      <c r="C65" s="8"/>
      <c r="D65" s="8"/>
      <c r="E65" s="8"/>
      <c r="F65" s="8"/>
      <c r="G65" s="19"/>
      <c r="H65" s="8"/>
      <c r="I65" s="10"/>
      <c r="J65" s="9"/>
      <c r="K65" s="9"/>
      <c r="L65" s="9"/>
      <c r="M65" s="9"/>
      <c r="N65" s="10"/>
      <c r="O65" s="10" t="str">
        <f t="shared" si="10"/>
        <v/>
      </c>
      <c r="P65" s="9" t="str">
        <f t="shared" si="11"/>
        <v/>
      </c>
      <c r="Q65" s="9" t="str">
        <f t="shared" si="12"/>
        <v/>
      </c>
      <c r="R65" s="9" t="str">
        <f t="shared" si="13"/>
        <v/>
      </c>
    </row>
    <row r="66" spans="2:18" x14ac:dyDescent="0.4">
      <c r="B66" s="8"/>
      <c r="C66" s="8"/>
      <c r="D66" s="8"/>
      <c r="E66" s="8"/>
      <c r="F66" s="8"/>
      <c r="G66" s="19"/>
      <c r="H66" s="8"/>
      <c r="I66" s="10"/>
      <c r="J66" s="9"/>
      <c r="K66" s="9"/>
      <c r="L66" s="9"/>
      <c r="M66" s="9"/>
      <c r="N66" s="10"/>
      <c r="O66" s="10" t="str">
        <f t="shared" si="10"/>
        <v/>
      </c>
      <c r="P66" s="9" t="str">
        <f t="shared" si="11"/>
        <v/>
      </c>
      <c r="Q66" s="9" t="str">
        <f t="shared" si="12"/>
        <v/>
      </c>
      <c r="R66" s="9" t="str">
        <f t="shared" si="13"/>
        <v/>
      </c>
    </row>
    <row r="67" spans="2:18" x14ac:dyDescent="0.4">
      <c r="B67" s="8"/>
      <c r="C67" s="8"/>
      <c r="D67" s="8"/>
      <c r="E67" s="8"/>
      <c r="F67" s="8"/>
      <c r="G67" s="19"/>
      <c r="H67" s="8"/>
      <c r="I67" s="10"/>
      <c r="J67" s="9"/>
      <c r="K67" s="9"/>
      <c r="L67" s="9"/>
      <c r="M67" s="9"/>
      <c r="N67" s="10"/>
      <c r="O67" s="10" t="str">
        <f t="shared" si="10"/>
        <v/>
      </c>
      <c r="P67" s="9" t="str">
        <f t="shared" si="11"/>
        <v/>
      </c>
      <c r="Q67" s="9" t="str">
        <f t="shared" si="12"/>
        <v/>
      </c>
      <c r="R67" s="9" t="str">
        <f t="shared" si="13"/>
        <v/>
      </c>
    </row>
    <row r="68" spans="2:18" x14ac:dyDescent="0.4">
      <c r="B68" s="8"/>
      <c r="C68" s="8"/>
      <c r="D68" s="8"/>
      <c r="E68" s="8"/>
      <c r="F68" s="8"/>
      <c r="G68" s="19"/>
      <c r="H68" s="8"/>
      <c r="I68" s="10"/>
      <c r="J68" s="9"/>
      <c r="K68" s="9"/>
      <c r="L68" s="9"/>
      <c r="M68" s="9"/>
      <c r="N68" s="10"/>
      <c r="O68" s="10" t="str">
        <f t="shared" si="10"/>
        <v/>
      </c>
      <c r="P68" s="9" t="str">
        <f t="shared" si="11"/>
        <v/>
      </c>
      <c r="Q68" s="9" t="str">
        <f t="shared" si="12"/>
        <v/>
      </c>
      <c r="R68" s="9" t="str">
        <f t="shared" si="13"/>
        <v/>
      </c>
    </row>
    <row r="69" spans="2:18" x14ac:dyDescent="0.4">
      <c r="B69" s="8"/>
      <c r="C69" s="8"/>
      <c r="D69" s="8"/>
      <c r="E69" s="8"/>
      <c r="F69" s="8"/>
      <c r="G69" s="19"/>
      <c r="H69" s="8"/>
      <c r="I69" s="10"/>
      <c r="J69" s="9"/>
      <c r="K69" s="9"/>
      <c r="L69" s="9"/>
      <c r="M69" s="9"/>
      <c r="N69" s="10"/>
      <c r="O69" s="10" t="str">
        <f t="shared" si="10"/>
        <v/>
      </c>
      <c r="P69" s="9" t="str">
        <f t="shared" si="11"/>
        <v/>
      </c>
      <c r="Q69" s="9" t="str">
        <f t="shared" si="12"/>
        <v/>
      </c>
      <c r="R69" s="9" t="str">
        <f t="shared" si="13"/>
        <v/>
      </c>
    </row>
    <row r="70" spans="2:18" x14ac:dyDescent="0.4">
      <c r="B70" s="8"/>
      <c r="C70" s="8"/>
      <c r="D70" s="8"/>
      <c r="E70" s="8"/>
      <c r="F70" s="8"/>
      <c r="G70" s="19"/>
      <c r="H70" s="8"/>
      <c r="I70" s="10"/>
      <c r="J70" s="9"/>
      <c r="K70" s="9"/>
      <c r="L70" s="9"/>
      <c r="M70" s="9"/>
      <c r="N70" s="10"/>
      <c r="O70" s="10" t="str">
        <f t="shared" si="10"/>
        <v/>
      </c>
      <c r="P70" s="9" t="str">
        <f t="shared" si="11"/>
        <v/>
      </c>
      <c r="Q70" s="9" t="str">
        <f t="shared" si="12"/>
        <v/>
      </c>
      <c r="R70" s="9" t="str">
        <f t="shared" si="13"/>
        <v/>
      </c>
    </row>
    <row r="71" spans="2:18" x14ac:dyDescent="0.4">
      <c r="B71" s="8"/>
      <c r="C71" s="8"/>
      <c r="D71" s="8"/>
      <c r="E71" s="8"/>
      <c r="F71" s="8"/>
      <c r="G71" s="19"/>
      <c r="H71" s="8"/>
      <c r="I71" s="10"/>
      <c r="J71" s="9"/>
      <c r="K71" s="9"/>
      <c r="L71" s="9"/>
      <c r="M71" s="9"/>
      <c r="N71" s="10"/>
      <c r="O71" s="10" t="str">
        <f t="shared" si="10"/>
        <v/>
      </c>
      <c r="P71" s="9" t="str">
        <f t="shared" si="11"/>
        <v/>
      </c>
      <c r="Q71" s="9" t="str">
        <f t="shared" si="12"/>
        <v/>
      </c>
      <c r="R71" s="9" t="str">
        <f t="shared" si="13"/>
        <v/>
      </c>
    </row>
    <row r="72" spans="2:18" x14ac:dyDescent="0.4">
      <c r="B72" s="8"/>
      <c r="C72" s="8"/>
      <c r="D72" s="8"/>
      <c r="E72" s="8"/>
      <c r="F72" s="8"/>
      <c r="G72" s="19"/>
      <c r="H72" s="8"/>
      <c r="I72" s="10"/>
      <c r="J72" s="9"/>
      <c r="K72" s="9"/>
      <c r="L72" s="9"/>
      <c r="M72" s="9"/>
      <c r="N72" s="10"/>
      <c r="O72" s="10" t="str">
        <f t="shared" si="10"/>
        <v/>
      </c>
      <c r="P72" s="9" t="str">
        <f t="shared" si="11"/>
        <v/>
      </c>
      <c r="Q72" s="9" t="str">
        <f t="shared" si="12"/>
        <v/>
      </c>
      <c r="R72" s="9" t="str">
        <f t="shared" si="13"/>
        <v/>
      </c>
    </row>
    <row r="73" spans="2:18" x14ac:dyDescent="0.4">
      <c r="B73" s="8"/>
      <c r="C73" s="8"/>
      <c r="D73" s="8"/>
      <c r="E73" s="8"/>
      <c r="F73" s="8"/>
      <c r="G73" s="19"/>
      <c r="H73" s="8"/>
      <c r="I73" s="10"/>
      <c r="J73" s="9"/>
      <c r="K73" s="9"/>
      <c r="L73" s="9"/>
      <c r="M73" s="9"/>
      <c r="N73" s="10"/>
      <c r="O73" s="10" t="str">
        <f t="shared" si="10"/>
        <v/>
      </c>
      <c r="P73" s="9" t="str">
        <f t="shared" si="11"/>
        <v/>
      </c>
      <c r="Q73" s="9" t="str">
        <f t="shared" si="12"/>
        <v/>
      </c>
      <c r="R73" s="9" t="str">
        <f t="shared" si="13"/>
        <v/>
      </c>
    </row>
    <row r="74" spans="2:18" x14ac:dyDescent="0.4">
      <c r="B74" s="8"/>
      <c r="C74" s="8"/>
      <c r="D74" s="8"/>
      <c r="E74" s="8"/>
      <c r="F74" s="8"/>
      <c r="G74" s="19"/>
      <c r="H74" s="8"/>
      <c r="I74" s="10"/>
      <c r="J74" s="9"/>
      <c r="K74" s="9"/>
      <c r="L74" s="9"/>
      <c r="M74" s="9"/>
      <c r="N74" s="10"/>
      <c r="O74" s="10" t="str">
        <f t="shared" si="10"/>
        <v/>
      </c>
      <c r="P74" s="9" t="str">
        <f t="shared" si="11"/>
        <v/>
      </c>
      <c r="Q74" s="9" t="str">
        <f t="shared" si="12"/>
        <v/>
      </c>
      <c r="R74" s="9" t="str">
        <f t="shared" si="13"/>
        <v/>
      </c>
    </row>
  </sheetData>
  <mergeCells count="1">
    <mergeCell ref="C40:C41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991B-AF3E-4A3C-A386-566E887F3FD0}">
  <sheetPr>
    <tabColor rgb="FFFF0000"/>
  </sheetPr>
  <dimension ref="B2:R201"/>
  <sheetViews>
    <sheetView zoomScale="70" zoomScaleNormal="70" workbookViewId="0">
      <pane ySplit="4" topLeftCell="A185" activePane="bottomLeft" state="frozen"/>
      <selection activeCell="D28" sqref="D28"/>
      <selection pane="bottomLeft" activeCell="C102" sqref="C102"/>
    </sheetView>
  </sheetViews>
  <sheetFormatPr defaultColWidth="9" defaultRowHeight="15.75" x14ac:dyDescent="0.4"/>
  <cols>
    <col min="1" max="1" width="9" style="1"/>
    <col min="2" max="2" width="10" style="25" bestFit="1" customWidth="1"/>
    <col min="3" max="3" width="11.625" style="2" customWidth="1"/>
    <col min="4" max="4" width="8.875" style="2" bestFit="1" customWidth="1"/>
    <col min="5" max="5" width="26.875" style="2" customWidth="1"/>
    <col min="6" max="6" width="54.375" style="15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23" t="s">
        <v>32</v>
      </c>
    </row>
    <row r="4" spans="2:18" s="2" customFormat="1" ht="31.5" x14ac:dyDescent="0.4">
      <c r="B4" s="24" t="s">
        <v>164</v>
      </c>
      <c r="C4" s="5" t="s">
        <v>95</v>
      </c>
      <c r="D4" s="5" t="s">
        <v>139</v>
      </c>
      <c r="E4" s="5" t="s">
        <v>1</v>
      </c>
      <c r="F4" s="16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158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ht="69.75" customHeight="1" x14ac:dyDescent="0.4">
      <c r="B5" s="24"/>
      <c r="C5" s="5" t="s">
        <v>97</v>
      </c>
      <c r="D5" s="5"/>
      <c r="E5" s="5" t="s">
        <v>34</v>
      </c>
      <c r="F5" s="17" t="s">
        <v>33</v>
      </c>
      <c r="G5" s="19" t="s">
        <v>98</v>
      </c>
      <c r="H5" s="13">
        <v>0.1</v>
      </c>
      <c r="I5" s="10">
        <v>200</v>
      </c>
      <c r="J5" s="9">
        <v>143</v>
      </c>
      <c r="K5" s="9">
        <f>J5*110%</f>
        <v>157.30000000000001</v>
      </c>
      <c r="L5" s="9"/>
      <c r="M5" s="9">
        <f>K5*I5</f>
        <v>31460.000000000004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24"/>
      <c r="C6" s="5"/>
      <c r="D6" s="5"/>
      <c r="E6" s="5" t="s">
        <v>60</v>
      </c>
      <c r="F6" s="17" t="s">
        <v>35</v>
      </c>
      <c r="G6" s="19"/>
      <c r="H6" s="13"/>
      <c r="I6" s="10">
        <v>200</v>
      </c>
      <c r="J6" s="9"/>
      <c r="K6" s="9"/>
      <c r="L6" s="9"/>
      <c r="M6" s="9">
        <f t="shared" ref="M6:M69" si="0">K6*I6</f>
        <v>0</v>
      </c>
      <c r="N6" s="10"/>
      <c r="O6" s="10" t="str">
        <f t="shared" ref="O6:O63" si="1">IF(N6="","",I6-N6)</f>
        <v/>
      </c>
      <c r="P6" s="9" t="str">
        <f t="shared" ref="P6:P63" si="2">IFERROR(O6*J6,"")</f>
        <v/>
      </c>
      <c r="Q6" s="9" t="str">
        <f t="shared" ref="Q6:Q63" si="3">IFERROR(P6*O6,"")</f>
        <v/>
      </c>
      <c r="R6" s="9" t="str">
        <f t="shared" ref="R6:R63" si="4">IFERROR(Q6-P6,"")</f>
        <v/>
      </c>
    </row>
    <row r="7" spans="2:18" x14ac:dyDescent="0.4">
      <c r="B7" s="24"/>
      <c r="C7" s="5"/>
      <c r="D7" s="5"/>
      <c r="E7" s="5" t="s">
        <v>60</v>
      </c>
      <c r="F7" s="17" t="s">
        <v>99</v>
      </c>
      <c r="G7" s="19"/>
      <c r="H7" s="13"/>
      <c r="I7" s="8">
        <v>0</v>
      </c>
      <c r="J7" s="9"/>
      <c r="K7" s="9"/>
      <c r="L7" s="9"/>
      <c r="M7" s="9">
        <f t="shared" si="0"/>
        <v>0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24"/>
      <c r="C8" s="5"/>
      <c r="D8" s="5"/>
      <c r="E8" s="5" t="s">
        <v>60</v>
      </c>
      <c r="F8" s="17" t="s">
        <v>36</v>
      </c>
      <c r="G8" s="19"/>
      <c r="H8" s="13"/>
      <c r="I8" s="10">
        <v>96</v>
      </c>
      <c r="J8" s="9"/>
      <c r="K8" s="9"/>
      <c r="L8" s="9"/>
      <c r="M8" s="9">
        <f t="shared" si="0"/>
        <v>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24"/>
      <c r="C9" s="5"/>
      <c r="D9" s="5"/>
      <c r="E9" s="5" t="s">
        <v>60</v>
      </c>
      <c r="F9" s="17" t="s">
        <v>37</v>
      </c>
      <c r="G9" s="19"/>
      <c r="H9" s="8"/>
      <c r="I9" s="10">
        <v>96</v>
      </c>
      <c r="J9" s="9"/>
      <c r="K9" s="9"/>
      <c r="L9" s="9"/>
      <c r="M9" s="9">
        <f t="shared" si="0"/>
        <v>0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24"/>
      <c r="C10" s="5"/>
      <c r="D10" s="5"/>
      <c r="E10" s="5" t="s">
        <v>60</v>
      </c>
      <c r="F10" s="17" t="s">
        <v>38</v>
      </c>
      <c r="G10" s="19"/>
      <c r="H10" s="8"/>
      <c r="I10" s="10">
        <v>96</v>
      </c>
      <c r="J10" s="9"/>
      <c r="K10" s="9"/>
      <c r="L10" s="9"/>
      <c r="M10" s="9">
        <f t="shared" si="0"/>
        <v>0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24"/>
      <c r="C11" s="5"/>
      <c r="D11" s="5"/>
      <c r="E11" s="5" t="s">
        <v>60</v>
      </c>
      <c r="F11" s="17" t="s">
        <v>39</v>
      </c>
      <c r="G11" s="19"/>
      <c r="H11" s="8"/>
      <c r="I11" s="10">
        <v>90</v>
      </c>
      <c r="J11" s="9"/>
      <c r="K11" s="9"/>
      <c r="L11" s="9"/>
      <c r="M11" s="9">
        <f t="shared" si="0"/>
        <v>0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24"/>
      <c r="C12" s="5"/>
      <c r="D12" s="5"/>
      <c r="E12" s="5" t="s">
        <v>60</v>
      </c>
      <c r="F12" s="17" t="s">
        <v>40</v>
      </c>
      <c r="G12" s="19"/>
      <c r="H12" s="8"/>
      <c r="I12" s="10">
        <v>96</v>
      </c>
      <c r="J12" s="9"/>
      <c r="K12" s="9"/>
      <c r="L12" s="9"/>
      <c r="M12" s="9">
        <f t="shared" si="0"/>
        <v>0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24"/>
      <c r="C13" s="5"/>
      <c r="D13" s="5"/>
      <c r="E13" s="5" t="s">
        <v>60</v>
      </c>
      <c r="F13" s="17" t="s">
        <v>41</v>
      </c>
      <c r="G13" s="19" t="s">
        <v>100</v>
      </c>
      <c r="H13" s="8"/>
      <c r="I13" s="10">
        <v>48</v>
      </c>
      <c r="J13" s="9"/>
      <c r="K13" s="9"/>
      <c r="L13" s="9"/>
      <c r="M13" s="9">
        <f t="shared" si="0"/>
        <v>0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24"/>
      <c r="C14" s="5"/>
      <c r="D14" s="5"/>
      <c r="E14" s="5" t="s">
        <v>60</v>
      </c>
      <c r="F14" s="17" t="s">
        <v>101</v>
      </c>
      <c r="G14" s="19"/>
      <c r="H14" s="8"/>
      <c r="I14" s="10">
        <v>96</v>
      </c>
      <c r="J14" s="9"/>
      <c r="K14" s="9"/>
      <c r="L14" s="9"/>
      <c r="M14" s="9">
        <f t="shared" si="0"/>
        <v>0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24"/>
      <c r="C15" s="5"/>
      <c r="D15" s="5"/>
      <c r="E15" s="5" t="s">
        <v>60</v>
      </c>
      <c r="F15" s="17" t="s">
        <v>102</v>
      </c>
      <c r="G15" s="19" t="s">
        <v>103</v>
      </c>
      <c r="H15" s="8"/>
      <c r="I15" s="10">
        <v>28</v>
      </c>
      <c r="J15" s="9"/>
      <c r="K15" s="9"/>
      <c r="L15" s="9"/>
      <c r="M15" s="9">
        <f t="shared" si="0"/>
        <v>0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24"/>
      <c r="C16" s="5"/>
      <c r="D16" s="5"/>
      <c r="E16" s="5" t="s">
        <v>60</v>
      </c>
      <c r="F16" s="17" t="s">
        <v>42</v>
      </c>
      <c r="G16" s="19" t="s">
        <v>104</v>
      </c>
      <c r="H16" s="8"/>
      <c r="I16" s="10">
        <v>28</v>
      </c>
      <c r="J16" s="9"/>
      <c r="K16" s="9"/>
      <c r="L16" s="9"/>
      <c r="M16" s="9">
        <f t="shared" si="0"/>
        <v>0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24"/>
      <c r="C17" s="5"/>
      <c r="D17" s="5"/>
      <c r="E17" s="5" t="s">
        <v>60</v>
      </c>
      <c r="F17" s="17" t="s">
        <v>43</v>
      </c>
      <c r="G17" s="19" t="s">
        <v>105</v>
      </c>
      <c r="H17" s="8"/>
      <c r="I17" s="10">
        <v>120</v>
      </c>
      <c r="J17" s="9"/>
      <c r="K17" s="9"/>
      <c r="L17" s="9"/>
      <c r="M17" s="9">
        <f t="shared" si="0"/>
        <v>0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24"/>
      <c r="C18" s="5"/>
      <c r="D18" s="5"/>
      <c r="E18" s="5" t="s">
        <v>60</v>
      </c>
      <c r="F18" s="17" t="s">
        <v>106</v>
      </c>
      <c r="G18" s="19"/>
      <c r="H18" s="8"/>
      <c r="I18" s="10">
        <v>96</v>
      </c>
      <c r="J18" s="9"/>
      <c r="K18" s="9"/>
      <c r="L18" s="9"/>
      <c r="M18" s="9">
        <f t="shared" si="0"/>
        <v>0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24"/>
      <c r="C19" s="5"/>
      <c r="D19" s="5"/>
      <c r="E19" s="5" t="s">
        <v>60</v>
      </c>
      <c r="F19" s="17" t="s">
        <v>44</v>
      </c>
      <c r="G19" s="19"/>
      <c r="H19" s="8"/>
      <c r="I19" s="10">
        <v>96</v>
      </c>
      <c r="J19" s="9"/>
      <c r="K19" s="9"/>
      <c r="L19" s="9"/>
      <c r="M19" s="9">
        <f t="shared" si="0"/>
        <v>0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24"/>
      <c r="C20" s="5"/>
      <c r="D20" s="5"/>
      <c r="E20" s="5" t="s">
        <v>60</v>
      </c>
      <c r="F20" s="17" t="s">
        <v>45</v>
      </c>
      <c r="G20" s="19"/>
      <c r="H20" s="8"/>
      <c r="I20" s="10">
        <v>120</v>
      </c>
      <c r="J20" s="9"/>
      <c r="K20" s="9"/>
      <c r="L20" s="9"/>
      <c r="M20" s="9">
        <f t="shared" si="0"/>
        <v>0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24"/>
      <c r="C21" s="5"/>
      <c r="D21" s="5"/>
      <c r="E21" s="5" t="s">
        <v>60</v>
      </c>
      <c r="F21" s="17" t="s">
        <v>46</v>
      </c>
      <c r="G21" s="19"/>
      <c r="H21" s="8"/>
      <c r="I21" s="10">
        <v>96</v>
      </c>
      <c r="J21" s="9"/>
      <c r="K21" s="9"/>
      <c r="L21" s="9"/>
      <c r="M21" s="9">
        <f t="shared" si="0"/>
        <v>0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24"/>
      <c r="C22" s="5"/>
      <c r="D22" s="5"/>
      <c r="E22" s="5" t="s">
        <v>60</v>
      </c>
      <c r="F22" s="17" t="s">
        <v>47</v>
      </c>
      <c r="G22" s="19"/>
      <c r="H22" s="8"/>
      <c r="I22" s="10">
        <v>80</v>
      </c>
      <c r="J22" s="9"/>
      <c r="K22" s="9"/>
      <c r="L22" s="9"/>
      <c r="M22" s="9">
        <f t="shared" si="0"/>
        <v>0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24"/>
      <c r="C23" s="5"/>
      <c r="D23" s="5"/>
      <c r="E23" s="5" t="s">
        <v>60</v>
      </c>
      <c r="F23" s="17" t="s">
        <v>48</v>
      </c>
      <c r="G23" s="19"/>
      <c r="H23" s="8"/>
      <c r="I23" s="10">
        <v>96</v>
      </c>
      <c r="J23" s="9"/>
      <c r="K23" s="9"/>
      <c r="L23" s="9"/>
      <c r="M23" s="9">
        <f t="shared" si="0"/>
        <v>0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24"/>
      <c r="C24" s="5"/>
      <c r="D24" s="5"/>
      <c r="E24" s="5" t="s">
        <v>60</v>
      </c>
      <c r="F24" s="17" t="s">
        <v>49</v>
      </c>
      <c r="G24" s="19"/>
      <c r="H24" s="8"/>
      <c r="I24" s="10">
        <v>96</v>
      </c>
      <c r="J24" s="9"/>
      <c r="K24" s="9"/>
      <c r="L24" s="9"/>
      <c r="M24" s="9">
        <f t="shared" si="0"/>
        <v>0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24"/>
      <c r="C25" s="5"/>
      <c r="D25" s="5"/>
      <c r="E25" s="5" t="s">
        <v>60</v>
      </c>
      <c r="F25" s="17" t="s">
        <v>50</v>
      </c>
      <c r="G25" s="19"/>
      <c r="H25" s="13"/>
      <c r="I25" s="10">
        <v>5</v>
      </c>
      <c r="J25" s="9"/>
      <c r="K25" s="9"/>
      <c r="L25" s="9"/>
      <c r="M25" s="9">
        <f t="shared" si="0"/>
        <v>0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24"/>
      <c r="C26" s="5"/>
      <c r="D26" s="5"/>
      <c r="E26" s="5" t="s">
        <v>60</v>
      </c>
      <c r="F26" s="17" t="s">
        <v>51</v>
      </c>
      <c r="G26" s="19"/>
      <c r="H26" s="13"/>
      <c r="I26" s="10">
        <v>96</v>
      </c>
      <c r="J26" s="9"/>
      <c r="K26" s="9"/>
      <c r="L26" s="9"/>
      <c r="M26" s="9">
        <f t="shared" si="0"/>
        <v>0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x14ac:dyDescent="0.4">
      <c r="B27" s="24"/>
      <c r="C27" s="5"/>
      <c r="D27" s="5"/>
      <c r="E27" s="5" t="s">
        <v>60</v>
      </c>
      <c r="F27" s="17" t="s">
        <v>52</v>
      </c>
      <c r="G27" s="19"/>
      <c r="H27" s="13"/>
      <c r="I27" s="10">
        <v>7</v>
      </c>
      <c r="J27" s="9"/>
      <c r="K27" s="9"/>
      <c r="L27" s="9"/>
      <c r="M27" s="9">
        <f t="shared" si="0"/>
        <v>0</v>
      </c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x14ac:dyDescent="0.4">
      <c r="B28" s="24"/>
      <c r="C28" s="5"/>
      <c r="D28" s="5"/>
      <c r="E28" s="5" t="s">
        <v>60</v>
      </c>
      <c r="F28" s="17" t="s">
        <v>53</v>
      </c>
      <c r="G28" s="19"/>
      <c r="H28" s="13"/>
      <c r="I28" s="10">
        <v>240</v>
      </c>
      <c r="J28" s="9"/>
      <c r="K28" s="9"/>
      <c r="L28" s="9"/>
      <c r="M28" s="9">
        <f t="shared" si="0"/>
        <v>0</v>
      </c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x14ac:dyDescent="0.4">
      <c r="B29" s="24"/>
      <c r="C29" s="5"/>
      <c r="D29" s="5"/>
      <c r="E29" s="5" t="s">
        <v>60</v>
      </c>
      <c r="F29" s="17" t="s">
        <v>54</v>
      </c>
      <c r="G29" s="19"/>
      <c r="H29" s="13"/>
      <c r="I29" s="10">
        <v>100</v>
      </c>
      <c r="J29" s="9"/>
      <c r="K29" s="9"/>
      <c r="L29" s="9"/>
      <c r="M29" s="9">
        <f t="shared" si="0"/>
        <v>0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x14ac:dyDescent="0.4">
      <c r="B30" s="24"/>
      <c r="C30" s="5"/>
      <c r="D30" s="5"/>
      <c r="E30" s="5" t="s">
        <v>60</v>
      </c>
      <c r="F30" s="17" t="s">
        <v>55</v>
      </c>
      <c r="G30" s="19"/>
      <c r="H30" s="13"/>
      <c r="I30" s="10">
        <v>9</v>
      </c>
      <c r="J30" s="9"/>
      <c r="K30" s="9"/>
      <c r="L30" s="9"/>
      <c r="M30" s="9">
        <f t="shared" si="0"/>
        <v>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x14ac:dyDescent="0.4">
      <c r="B31" s="24"/>
      <c r="C31" s="5"/>
      <c r="D31" s="5"/>
      <c r="E31" s="5" t="s">
        <v>60</v>
      </c>
      <c r="F31" s="17" t="s">
        <v>56</v>
      </c>
      <c r="G31" s="19"/>
      <c r="H31" s="13"/>
      <c r="I31" s="10">
        <v>108</v>
      </c>
      <c r="J31" s="9"/>
      <c r="K31" s="9"/>
      <c r="L31" s="9"/>
      <c r="M31" s="9">
        <f t="shared" si="0"/>
        <v>0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x14ac:dyDescent="0.4">
      <c r="B32" s="24"/>
      <c r="C32" s="5"/>
      <c r="D32" s="5"/>
      <c r="E32" s="5" t="s">
        <v>60</v>
      </c>
      <c r="F32" s="17" t="s">
        <v>57</v>
      </c>
      <c r="G32" s="19"/>
      <c r="H32" s="13"/>
      <c r="I32" s="10">
        <v>108</v>
      </c>
      <c r="J32" s="9"/>
      <c r="K32" s="9"/>
      <c r="L32" s="9"/>
      <c r="M32" s="9">
        <f t="shared" si="0"/>
        <v>0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x14ac:dyDescent="0.4">
      <c r="B33" s="24"/>
      <c r="C33" s="5"/>
      <c r="D33" s="5"/>
      <c r="E33" s="5" t="s">
        <v>60</v>
      </c>
      <c r="F33" s="17" t="s">
        <v>115</v>
      </c>
      <c r="G33" s="19" t="s">
        <v>116</v>
      </c>
      <c r="H33" s="13"/>
      <c r="I33" s="10">
        <v>50</v>
      </c>
      <c r="J33" s="9"/>
      <c r="K33" s="9"/>
      <c r="L33" s="9"/>
      <c r="M33" s="9">
        <f t="shared" si="0"/>
        <v>0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x14ac:dyDescent="0.4">
      <c r="B34" s="24"/>
      <c r="C34" s="5"/>
      <c r="D34" s="5"/>
      <c r="E34" s="5" t="s">
        <v>60</v>
      </c>
      <c r="F34" s="17" t="s">
        <v>114</v>
      </c>
      <c r="G34" s="19" t="s">
        <v>117</v>
      </c>
      <c r="H34" s="13"/>
      <c r="I34" s="10">
        <v>100</v>
      </c>
      <c r="J34" s="9"/>
      <c r="K34" s="9"/>
      <c r="L34" s="9"/>
      <c r="M34" s="9">
        <f t="shared" si="0"/>
        <v>0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x14ac:dyDescent="0.4">
      <c r="B35" s="24"/>
      <c r="C35" s="5"/>
      <c r="D35" s="5"/>
      <c r="E35" s="5" t="s">
        <v>60</v>
      </c>
      <c r="F35" s="17" t="s">
        <v>112</v>
      </c>
      <c r="G35" s="19" t="s">
        <v>113</v>
      </c>
      <c r="H35" s="13"/>
      <c r="I35" s="10">
        <v>100</v>
      </c>
      <c r="J35" s="9"/>
      <c r="K35" s="9"/>
      <c r="L35" s="9"/>
      <c r="M35" s="9">
        <f t="shared" si="0"/>
        <v>0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x14ac:dyDescent="0.4">
      <c r="B36" s="24"/>
      <c r="C36" s="5"/>
      <c r="D36" s="5"/>
      <c r="E36" s="5" t="s">
        <v>60</v>
      </c>
      <c r="F36" s="17" t="s">
        <v>110</v>
      </c>
      <c r="G36" s="19" t="s">
        <v>111</v>
      </c>
      <c r="H36" s="13"/>
      <c r="I36" s="10">
        <v>1</v>
      </c>
      <c r="J36" s="9"/>
      <c r="K36" s="9"/>
      <c r="L36" s="9"/>
      <c r="M36" s="9">
        <f t="shared" si="0"/>
        <v>0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x14ac:dyDescent="0.4">
      <c r="B37" s="24"/>
      <c r="C37" s="5"/>
      <c r="D37" s="5"/>
      <c r="E37" s="5" t="s">
        <v>60</v>
      </c>
      <c r="F37" s="17" t="s">
        <v>107</v>
      </c>
      <c r="G37" s="19" t="s">
        <v>109</v>
      </c>
      <c r="H37" s="13"/>
      <c r="I37" s="10">
        <v>108</v>
      </c>
      <c r="J37" s="9"/>
      <c r="K37" s="9"/>
      <c r="L37" s="9"/>
      <c r="M37" s="9">
        <f t="shared" si="0"/>
        <v>0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x14ac:dyDescent="0.4">
      <c r="B38" s="24"/>
      <c r="C38" s="5"/>
      <c r="D38" s="5"/>
      <c r="E38" s="5" t="s">
        <v>60</v>
      </c>
      <c r="F38" s="17" t="s">
        <v>58</v>
      </c>
      <c r="G38" s="19" t="s">
        <v>108</v>
      </c>
      <c r="H38" s="13"/>
      <c r="I38" s="10">
        <v>108</v>
      </c>
      <c r="J38" s="9"/>
      <c r="K38" s="9"/>
      <c r="L38" s="9"/>
      <c r="M38" s="9">
        <f t="shared" si="0"/>
        <v>0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x14ac:dyDescent="0.4">
      <c r="B39" s="24"/>
      <c r="C39" s="5"/>
      <c r="D39" s="5"/>
      <c r="E39" s="5" t="s">
        <v>60</v>
      </c>
      <c r="F39" s="17" t="s">
        <v>118</v>
      </c>
      <c r="G39" s="19"/>
      <c r="H39" s="13"/>
      <c r="I39" s="10">
        <v>324</v>
      </c>
      <c r="J39" s="9"/>
      <c r="K39" s="9"/>
      <c r="L39" s="9"/>
      <c r="M39" s="9">
        <f t="shared" si="0"/>
        <v>0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x14ac:dyDescent="0.4">
      <c r="B40" s="24"/>
      <c r="C40" s="5"/>
      <c r="D40" s="5"/>
      <c r="E40" s="5" t="s">
        <v>60</v>
      </c>
      <c r="F40" s="17" t="s">
        <v>119</v>
      </c>
      <c r="G40" s="19"/>
      <c r="H40" s="13"/>
      <c r="I40" s="10">
        <v>120</v>
      </c>
      <c r="J40" s="9"/>
      <c r="K40" s="9"/>
      <c r="L40" s="9"/>
      <c r="M40" s="9">
        <f t="shared" si="0"/>
        <v>0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x14ac:dyDescent="0.4">
      <c r="B41" s="24"/>
      <c r="C41" s="5"/>
      <c r="D41" s="5"/>
      <c r="E41" s="5" t="s">
        <v>60</v>
      </c>
      <c r="F41" s="17" t="s">
        <v>59</v>
      </c>
      <c r="G41" s="21"/>
      <c r="H41" s="13"/>
      <c r="I41" s="10">
        <v>120</v>
      </c>
      <c r="J41" s="9"/>
      <c r="K41" s="9"/>
      <c r="L41" s="9"/>
      <c r="M41" s="9">
        <f t="shared" si="0"/>
        <v>0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x14ac:dyDescent="0.4">
      <c r="B42" s="24"/>
      <c r="C42" s="5"/>
      <c r="D42" s="5"/>
      <c r="E42" s="5" t="s">
        <v>76</v>
      </c>
      <c r="F42" s="17" t="s">
        <v>61</v>
      </c>
      <c r="G42" s="21" t="s">
        <v>77</v>
      </c>
      <c r="H42" s="13"/>
      <c r="I42" s="10">
        <v>96</v>
      </c>
      <c r="J42" s="9"/>
      <c r="K42" s="9"/>
      <c r="L42" s="9"/>
      <c r="M42" s="9">
        <f t="shared" si="0"/>
        <v>0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x14ac:dyDescent="0.4">
      <c r="B43" s="24"/>
      <c r="C43" s="5"/>
      <c r="D43" s="5"/>
      <c r="E43" s="5" t="s">
        <v>76</v>
      </c>
      <c r="F43" s="17" t="s">
        <v>62</v>
      </c>
      <c r="G43" s="21" t="s">
        <v>84</v>
      </c>
      <c r="H43" s="13"/>
      <c r="I43" s="10">
        <v>96</v>
      </c>
      <c r="J43" s="9"/>
      <c r="K43" s="9"/>
      <c r="L43" s="9"/>
      <c r="M43" s="9">
        <f t="shared" si="0"/>
        <v>0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x14ac:dyDescent="0.4">
      <c r="B44" s="24"/>
      <c r="C44" s="5"/>
      <c r="D44" s="5"/>
      <c r="E44" s="5" t="s">
        <v>76</v>
      </c>
      <c r="F44" s="17" t="s">
        <v>70</v>
      </c>
      <c r="G44" s="21" t="s">
        <v>78</v>
      </c>
      <c r="H44" s="13"/>
      <c r="I44" s="10">
        <v>96</v>
      </c>
      <c r="J44" s="9"/>
      <c r="K44" s="9"/>
      <c r="L44" s="9"/>
      <c r="M44" s="9">
        <f t="shared" si="0"/>
        <v>0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x14ac:dyDescent="0.4">
      <c r="B45" s="24"/>
      <c r="C45" s="5"/>
      <c r="D45" s="5"/>
      <c r="E45" s="5" t="s">
        <v>76</v>
      </c>
      <c r="F45" s="17" t="s">
        <v>63</v>
      </c>
      <c r="G45" s="21" t="s">
        <v>85</v>
      </c>
      <c r="H45" s="13"/>
      <c r="I45" s="10">
        <v>96</v>
      </c>
      <c r="J45" s="9"/>
      <c r="K45" s="9"/>
      <c r="L45" s="9"/>
      <c r="M45" s="9">
        <f t="shared" si="0"/>
        <v>0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x14ac:dyDescent="0.4">
      <c r="B46" s="24"/>
      <c r="C46" s="5"/>
      <c r="D46" s="5"/>
      <c r="E46" s="5" t="s">
        <v>76</v>
      </c>
      <c r="F46" s="17" t="s">
        <v>64</v>
      </c>
      <c r="G46" s="21" t="s">
        <v>79</v>
      </c>
      <c r="H46" s="13"/>
      <c r="I46" s="10">
        <v>96</v>
      </c>
      <c r="J46" s="9"/>
      <c r="K46" s="9"/>
      <c r="L46" s="9"/>
      <c r="M46" s="9">
        <f t="shared" si="0"/>
        <v>0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x14ac:dyDescent="0.4">
      <c r="B47" s="24"/>
      <c r="C47" s="5"/>
      <c r="D47" s="5"/>
      <c r="E47" s="5" t="s">
        <v>76</v>
      </c>
      <c r="F47" s="17" t="s">
        <v>65</v>
      </c>
      <c r="G47" s="21" t="s">
        <v>80</v>
      </c>
      <c r="H47" s="13"/>
      <c r="I47" s="10">
        <v>96</v>
      </c>
      <c r="J47" s="9"/>
      <c r="K47" s="9"/>
      <c r="L47" s="9"/>
      <c r="M47" s="9">
        <f t="shared" si="0"/>
        <v>0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x14ac:dyDescent="0.4">
      <c r="B48" s="24"/>
      <c r="C48" s="5"/>
      <c r="D48" s="5"/>
      <c r="E48" s="5" t="s">
        <v>76</v>
      </c>
      <c r="F48" s="17" t="s">
        <v>66</v>
      </c>
      <c r="G48" s="21" t="s">
        <v>81</v>
      </c>
      <c r="H48" s="13"/>
      <c r="I48" s="10">
        <v>96</v>
      </c>
      <c r="J48" s="9"/>
      <c r="K48" s="9"/>
      <c r="L48" s="9"/>
      <c r="M48" s="9">
        <f t="shared" si="0"/>
        <v>0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x14ac:dyDescent="0.4">
      <c r="B49" s="24"/>
      <c r="C49" s="5"/>
      <c r="D49" s="5"/>
      <c r="E49" s="5" t="s">
        <v>76</v>
      </c>
      <c r="F49" s="17" t="s">
        <v>67</v>
      </c>
      <c r="G49" s="22" t="s">
        <v>83</v>
      </c>
      <c r="H49" s="13"/>
      <c r="I49" s="10">
        <v>96</v>
      </c>
      <c r="J49" s="9"/>
      <c r="K49" s="9"/>
      <c r="L49" s="9"/>
      <c r="M49" s="9">
        <f t="shared" si="0"/>
        <v>0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x14ac:dyDescent="0.4">
      <c r="B50" s="24"/>
      <c r="C50" s="5"/>
      <c r="D50" s="5"/>
      <c r="E50" s="5" t="s">
        <v>76</v>
      </c>
      <c r="F50" s="17" t="s">
        <v>68</v>
      </c>
      <c r="G50" s="21" t="s">
        <v>82</v>
      </c>
      <c r="H50" s="13"/>
      <c r="I50" s="10">
        <v>96</v>
      </c>
      <c r="J50" s="9"/>
      <c r="K50" s="9"/>
      <c r="L50" s="9"/>
      <c r="M50" s="9">
        <f t="shared" si="0"/>
        <v>0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x14ac:dyDescent="0.4">
      <c r="B51" s="24"/>
      <c r="C51" s="5"/>
      <c r="D51" s="5"/>
      <c r="E51" s="5" t="s">
        <v>76</v>
      </c>
      <c r="F51" s="18" t="s">
        <v>72</v>
      </c>
      <c r="G51" s="21" t="s">
        <v>86</v>
      </c>
      <c r="H51" s="13"/>
      <c r="I51" s="10">
        <v>96</v>
      </c>
      <c r="J51" s="9"/>
      <c r="K51" s="9"/>
      <c r="L51" s="9"/>
      <c r="M51" s="9">
        <f t="shared" si="0"/>
        <v>0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x14ac:dyDescent="0.4">
      <c r="B52" s="24"/>
      <c r="C52" s="5"/>
      <c r="D52" s="5"/>
      <c r="E52" s="5" t="s">
        <v>76</v>
      </c>
      <c r="F52" s="18" t="s">
        <v>73</v>
      </c>
      <c r="G52" s="21" t="s">
        <v>88</v>
      </c>
      <c r="H52" s="13"/>
      <c r="I52" s="10">
        <v>96</v>
      </c>
      <c r="J52" s="9"/>
      <c r="K52" s="9"/>
      <c r="L52" s="9"/>
      <c r="M52" s="9">
        <f t="shared" si="0"/>
        <v>0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x14ac:dyDescent="0.4">
      <c r="B53" s="24"/>
      <c r="C53" s="5"/>
      <c r="D53" s="5"/>
      <c r="E53" s="5" t="s">
        <v>76</v>
      </c>
      <c r="F53" s="18" t="s">
        <v>74</v>
      </c>
      <c r="G53" s="21" t="s">
        <v>87</v>
      </c>
      <c r="H53" s="13"/>
      <c r="I53" s="10">
        <v>96</v>
      </c>
      <c r="J53" s="9"/>
      <c r="K53" s="9"/>
      <c r="L53" s="9"/>
      <c r="M53" s="9">
        <f t="shared" si="0"/>
        <v>0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x14ac:dyDescent="0.4">
      <c r="B54" s="24"/>
      <c r="C54" s="5"/>
      <c r="D54" s="5"/>
      <c r="E54" s="5" t="s">
        <v>76</v>
      </c>
      <c r="F54" s="18" t="s">
        <v>75</v>
      </c>
      <c r="G54" s="21" t="s">
        <v>89</v>
      </c>
      <c r="H54" s="13"/>
      <c r="I54" s="10">
        <v>96</v>
      </c>
      <c r="J54" s="9"/>
      <c r="K54" s="9"/>
      <c r="L54" s="9"/>
      <c r="M54" s="9">
        <f t="shared" si="0"/>
        <v>0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x14ac:dyDescent="0.4">
      <c r="B55" s="24"/>
      <c r="C55" s="5"/>
      <c r="D55" s="5"/>
      <c r="E55" s="5" t="s">
        <v>76</v>
      </c>
      <c r="F55" s="17" t="s">
        <v>71</v>
      </c>
      <c r="G55" s="21" t="s">
        <v>90</v>
      </c>
      <c r="H55" s="13"/>
      <c r="I55" s="10">
        <v>324</v>
      </c>
      <c r="J55" s="9"/>
      <c r="K55" s="9"/>
      <c r="L55" s="9"/>
      <c r="M55" s="9">
        <f t="shared" si="0"/>
        <v>0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x14ac:dyDescent="0.4">
      <c r="B56" s="24"/>
      <c r="C56" s="5"/>
      <c r="D56" s="5"/>
      <c r="E56" s="5" t="s">
        <v>76</v>
      </c>
      <c r="F56" s="17" t="s">
        <v>69</v>
      </c>
      <c r="G56" s="21" t="s">
        <v>91</v>
      </c>
      <c r="H56" s="13"/>
      <c r="I56" s="10">
        <v>105</v>
      </c>
      <c r="J56" s="9"/>
      <c r="K56" s="9"/>
      <c r="L56" s="9"/>
      <c r="M56" s="9">
        <f t="shared" si="0"/>
        <v>0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x14ac:dyDescent="0.4">
      <c r="B57" s="24">
        <v>44499</v>
      </c>
      <c r="C57" s="5"/>
      <c r="D57" s="5" t="s">
        <v>120</v>
      </c>
      <c r="E57" s="5" t="s">
        <v>121</v>
      </c>
      <c r="F57" s="17" t="s">
        <v>122</v>
      </c>
      <c r="G57" s="19"/>
      <c r="H57" s="13">
        <v>0.1</v>
      </c>
      <c r="I57" s="10">
        <v>1</v>
      </c>
      <c r="J57" s="10">
        <v>6160</v>
      </c>
      <c r="K57" s="9">
        <f>J57*110%</f>
        <v>6776.0000000000009</v>
      </c>
      <c r="L57" s="9"/>
      <c r="M57" s="9">
        <f>K57*I57</f>
        <v>6776.0000000000009</v>
      </c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x14ac:dyDescent="0.4">
      <c r="B58" s="24">
        <v>44499</v>
      </c>
      <c r="C58" s="5"/>
      <c r="D58" s="5" t="s">
        <v>120</v>
      </c>
      <c r="E58" s="5" t="s">
        <v>121</v>
      </c>
      <c r="F58" s="17" t="s">
        <v>123</v>
      </c>
      <c r="G58" s="19"/>
      <c r="H58" s="13">
        <v>0.1</v>
      </c>
      <c r="I58" s="10">
        <v>1</v>
      </c>
      <c r="J58" s="10">
        <v>6160</v>
      </c>
      <c r="K58" s="9">
        <f t="shared" ref="K58:K104" si="5">J58*110%</f>
        <v>6776.0000000000009</v>
      </c>
      <c r="L58" s="9"/>
      <c r="M58" s="9">
        <f t="shared" si="0"/>
        <v>6776.0000000000009</v>
      </c>
      <c r="N58" s="10"/>
      <c r="O58" s="10" t="str">
        <f t="shared" si="1"/>
        <v/>
      </c>
      <c r="P58" s="9" t="str">
        <f t="shared" si="2"/>
        <v/>
      </c>
      <c r="Q58" s="9" t="str">
        <f t="shared" si="3"/>
        <v/>
      </c>
      <c r="R58" s="9" t="str">
        <f t="shared" si="4"/>
        <v/>
      </c>
    </row>
    <row r="59" spans="2:18" x14ac:dyDescent="0.4">
      <c r="B59" s="24">
        <v>44499</v>
      </c>
      <c r="C59" s="5"/>
      <c r="D59" s="5" t="s">
        <v>120</v>
      </c>
      <c r="E59" s="5" t="s">
        <v>121</v>
      </c>
      <c r="F59" s="17" t="s">
        <v>124</v>
      </c>
      <c r="G59" s="19"/>
      <c r="H59" s="13">
        <v>0.1</v>
      </c>
      <c r="I59" s="10">
        <v>1</v>
      </c>
      <c r="J59" s="9">
        <v>14960</v>
      </c>
      <c r="K59" s="9">
        <f t="shared" si="5"/>
        <v>16456</v>
      </c>
      <c r="L59" s="9"/>
      <c r="M59" s="9">
        <f t="shared" si="0"/>
        <v>16456</v>
      </c>
      <c r="N59" s="10"/>
      <c r="O59" s="10" t="str">
        <f t="shared" si="1"/>
        <v/>
      </c>
      <c r="P59" s="9" t="str">
        <f t="shared" si="2"/>
        <v/>
      </c>
      <c r="Q59" s="9" t="str">
        <f t="shared" si="3"/>
        <v/>
      </c>
      <c r="R59" s="9" t="str">
        <f t="shared" si="4"/>
        <v/>
      </c>
    </row>
    <row r="60" spans="2:18" x14ac:dyDescent="0.4">
      <c r="B60" s="24">
        <v>44499</v>
      </c>
      <c r="C60" s="5"/>
      <c r="D60" s="5" t="s">
        <v>120</v>
      </c>
      <c r="E60" s="5" t="s">
        <v>121</v>
      </c>
      <c r="F60" s="17" t="s">
        <v>125</v>
      </c>
      <c r="G60" s="19"/>
      <c r="H60" s="13">
        <v>0.1</v>
      </c>
      <c r="I60" s="10">
        <v>1</v>
      </c>
      <c r="J60" s="9">
        <v>16720</v>
      </c>
      <c r="K60" s="9">
        <f t="shared" si="5"/>
        <v>18392</v>
      </c>
      <c r="L60" s="9"/>
      <c r="M60" s="9">
        <f t="shared" si="0"/>
        <v>18392</v>
      </c>
      <c r="N60" s="10"/>
      <c r="O60" s="10" t="str">
        <f t="shared" si="1"/>
        <v/>
      </c>
      <c r="P60" s="9" t="str">
        <f t="shared" si="2"/>
        <v/>
      </c>
      <c r="Q60" s="9" t="str">
        <f t="shared" si="3"/>
        <v/>
      </c>
      <c r="R60" s="9" t="str">
        <f t="shared" si="4"/>
        <v/>
      </c>
    </row>
    <row r="61" spans="2:18" x14ac:dyDescent="0.4">
      <c r="B61" s="24">
        <v>44499</v>
      </c>
      <c r="C61" s="5"/>
      <c r="D61" s="5" t="s">
        <v>120</v>
      </c>
      <c r="E61" s="5" t="s">
        <v>121</v>
      </c>
      <c r="F61" s="17" t="s">
        <v>126</v>
      </c>
      <c r="G61" s="19"/>
      <c r="H61" s="13">
        <v>0.1</v>
      </c>
      <c r="I61" s="10">
        <v>1</v>
      </c>
      <c r="J61" s="9">
        <v>16720</v>
      </c>
      <c r="K61" s="9">
        <f t="shared" si="5"/>
        <v>18392</v>
      </c>
      <c r="L61" s="9"/>
      <c r="M61" s="9">
        <f t="shared" si="0"/>
        <v>18392</v>
      </c>
      <c r="N61" s="10"/>
      <c r="O61" s="10" t="str">
        <f t="shared" si="1"/>
        <v/>
      </c>
      <c r="P61" s="9" t="str">
        <f t="shared" si="2"/>
        <v/>
      </c>
      <c r="Q61" s="9" t="str">
        <f t="shared" si="3"/>
        <v/>
      </c>
      <c r="R61" s="9" t="str">
        <f t="shared" si="4"/>
        <v/>
      </c>
    </row>
    <row r="62" spans="2:18" x14ac:dyDescent="0.4">
      <c r="B62" s="24">
        <v>44499</v>
      </c>
      <c r="C62" s="5"/>
      <c r="D62" s="5" t="s">
        <v>120</v>
      </c>
      <c r="E62" s="5" t="s">
        <v>121</v>
      </c>
      <c r="F62" s="17" t="s">
        <v>127</v>
      </c>
      <c r="G62" s="19"/>
      <c r="H62" s="13">
        <v>0.1</v>
      </c>
      <c r="I62" s="10">
        <v>1</v>
      </c>
      <c r="J62" s="9">
        <v>9200</v>
      </c>
      <c r="K62" s="9">
        <f t="shared" si="5"/>
        <v>10120</v>
      </c>
      <c r="L62" s="9"/>
      <c r="M62" s="9">
        <f t="shared" si="0"/>
        <v>10120</v>
      </c>
      <c r="N62" s="10"/>
      <c r="O62" s="10" t="str">
        <f t="shared" si="1"/>
        <v/>
      </c>
      <c r="P62" s="9" t="str">
        <f t="shared" si="2"/>
        <v/>
      </c>
      <c r="Q62" s="9" t="str">
        <f t="shared" si="3"/>
        <v/>
      </c>
      <c r="R62" s="9" t="str">
        <f t="shared" si="4"/>
        <v/>
      </c>
    </row>
    <row r="63" spans="2:18" x14ac:dyDescent="0.4">
      <c r="B63" s="24">
        <v>44499</v>
      </c>
      <c r="C63" s="5"/>
      <c r="D63" s="5" t="s">
        <v>120</v>
      </c>
      <c r="E63" s="5" t="s">
        <v>121</v>
      </c>
      <c r="F63" s="17" t="s">
        <v>128</v>
      </c>
      <c r="G63" s="19"/>
      <c r="H63" s="13">
        <v>0.1</v>
      </c>
      <c r="I63" s="10">
        <v>1</v>
      </c>
      <c r="J63" s="9">
        <v>12650</v>
      </c>
      <c r="K63" s="9">
        <f t="shared" si="5"/>
        <v>13915.000000000002</v>
      </c>
      <c r="L63" s="9"/>
      <c r="M63" s="9">
        <f t="shared" si="0"/>
        <v>13915.000000000002</v>
      </c>
      <c r="N63" s="10"/>
      <c r="O63" s="10" t="str">
        <f t="shared" si="1"/>
        <v/>
      </c>
      <c r="P63" s="9" t="str">
        <f t="shared" si="2"/>
        <v/>
      </c>
      <c r="Q63" s="9" t="str">
        <f t="shared" si="3"/>
        <v/>
      </c>
      <c r="R63" s="9" t="str">
        <f t="shared" si="4"/>
        <v/>
      </c>
    </row>
    <row r="64" spans="2:18" x14ac:dyDescent="0.4">
      <c r="B64" s="24">
        <v>44499</v>
      </c>
      <c r="C64" s="5"/>
      <c r="D64" s="5" t="s">
        <v>120</v>
      </c>
      <c r="E64" s="5" t="s">
        <v>121</v>
      </c>
      <c r="F64" s="17" t="s">
        <v>129</v>
      </c>
      <c r="G64" s="19"/>
      <c r="H64" s="13">
        <v>0.1</v>
      </c>
      <c r="I64" s="10">
        <v>1</v>
      </c>
      <c r="J64" s="9">
        <v>15000</v>
      </c>
      <c r="K64" s="9">
        <f t="shared" si="5"/>
        <v>16500</v>
      </c>
      <c r="L64" s="9"/>
      <c r="M64" s="9">
        <f t="shared" si="0"/>
        <v>16500</v>
      </c>
      <c r="N64" s="10"/>
      <c r="O64" s="10" t="str">
        <f t="shared" ref="O64:O74" si="6">IF(N64="","",I64-N64)</f>
        <v/>
      </c>
      <c r="P64" s="9" t="str">
        <f t="shared" ref="P64:P74" si="7">IFERROR(O64*J64,"")</f>
        <v/>
      </c>
      <c r="Q64" s="9" t="str">
        <f t="shared" ref="Q64:Q74" si="8">IFERROR(P64*O64,"")</f>
        <v/>
      </c>
      <c r="R64" s="9" t="str">
        <f t="shared" ref="R64:R74" si="9">IFERROR(Q64-P64,"")</f>
        <v/>
      </c>
    </row>
    <row r="65" spans="2:18" x14ac:dyDescent="0.4">
      <c r="B65" s="24">
        <v>44499</v>
      </c>
      <c r="C65" s="5"/>
      <c r="D65" s="5" t="s">
        <v>120</v>
      </c>
      <c r="E65" s="5" t="s">
        <v>121</v>
      </c>
      <c r="F65" s="17" t="s">
        <v>130</v>
      </c>
      <c r="G65" s="19"/>
      <c r="H65" s="13">
        <v>0.1</v>
      </c>
      <c r="I65" s="10">
        <v>1</v>
      </c>
      <c r="J65" s="9">
        <v>9000</v>
      </c>
      <c r="K65" s="9">
        <f t="shared" si="5"/>
        <v>9900</v>
      </c>
      <c r="L65" s="9"/>
      <c r="M65" s="9">
        <f t="shared" si="0"/>
        <v>9900</v>
      </c>
      <c r="N65" s="10"/>
      <c r="O65" s="10" t="str">
        <f t="shared" si="6"/>
        <v/>
      </c>
      <c r="P65" s="9" t="str">
        <f t="shared" si="7"/>
        <v/>
      </c>
      <c r="Q65" s="9" t="str">
        <f t="shared" si="8"/>
        <v/>
      </c>
      <c r="R65" s="9" t="str">
        <f t="shared" si="9"/>
        <v/>
      </c>
    </row>
    <row r="66" spans="2:18" x14ac:dyDescent="0.4">
      <c r="B66" s="24">
        <v>44499</v>
      </c>
      <c r="C66" s="5"/>
      <c r="D66" s="5" t="s">
        <v>120</v>
      </c>
      <c r="E66" s="5" t="s">
        <v>121</v>
      </c>
      <c r="F66" s="17" t="s">
        <v>131</v>
      </c>
      <c r="G66" s="19"/>
      <c r="H66" s="13">
        <v>0.1</v>
      </c>
      <c r="I66" s="10">
        <v>1</v>
      </c>
      <c r="J66" s="9">
        <v>9000</v>
      </c>
      <c r="K66" s="9">
        <f t="shared" si="5"/>
        <v>9900</v>
      </c>
      <c r="L66" s="9"/>
      <c r="M66" s="9">
        <f t="shared" si="0"/>
        <v>9900</v>
      </c>
      <c r="N66" s="10"/>
      <c r="O66" s="10" t="str">
        <f t="shared" si="6"/>
        <v/>
      </c>
      <c r="P66" s="9" t="str">
        <f t="shared" si="7"/>
        <v/>
      </c>
      <c r="Q66" s="9" t="str">
        <f t="shared" si="8"/>
        <v/>
      </c>
      <c r="R66" s="9" t="str">
        <f t="shared" si="9"/>
        <v/>
      </c>
    </row>
    <row r="67" spans="2:18" x14ac:dyDescent="0.4">
      <c r="B67" s="24">
        <v>44499</v>
      </c>
      <c r="C67" s="5"/>
      <c r="D67" s="5" t="s">
        <v>120</v>
      </c>
      <c r="E67" s="5" t="s">
        <v>121</v>
      </c>
      <c r="F67" s="17" t="s">
        <v>132</v>
      </c>
      <c r="G67" s="19"/>
      <c r="H67" s="13">
        <v>0.1</v>
      </c>
      <c r="I67" s="10">
        <v>1</v>
      </c>
      <c r="J67" s="9">
        <v>9000</v>
      </c>
      <c r="K67" s="9">
        <f t="shared" si="5"/>
        <v>9900</v>
      </c>
      <c r="L67" s="9"/>
      <c r="M67" s="9">
        <f t="shared" si="0"/>
        <v>9900</v>
      </c>
      <c r="N67" s="10"/>
      <c r="O67" s="10" t="str">
        <f t="shared" si="6"/>
        <v/>
      </c>
      <c r="P67" s="9" t="str">
        <f t="shared" si="7"/>
        <v/>
      </c>
      <c r="Q67" s="9" t="str">
        <f t="shared" si="8"/>
        <v/>
      </c>
      <c r="R67" s="9" t="str">
        <f t="shared" si="9"/>
        <v/>
      </c>
    </row>
    <row r="68" spans="2:18" x14ac:dyDescent="0.4">
      <c r="B68" s="24">
        <v>44499</v>
      </c>
      <c r="C68" s="5"/>
      <c r="D68" s="5" t="s">
        <v>120</v>
      </c>
      <c r="E68" s="5" t="s">
        <v>121</v>
      </c>
      <c r="F68" s="17" t="s">
        <v>133</v>
      </c>
      <c r="G68" s="19"/>
      <c r="H68" s="13">
        <v>0.1</v>
      </c>
      <c r="I68" s="10">
        <v>1</v>
      </c>
      <c r="J68" s="9">
        <v>9000</v>
      </c>
      <c r="K68" s="9">
        <f t="shared" si="5"/>
        <v>9900</v>
      </c>
      <c r="L68" s="9"/>
      <c r="M68" s="9">
        <f t="shared" si="0"/>
        <v>9900</v>
      </c>
      <c r="N68" s="10"/>
      <c r="O68" s="10" t="str">
        <f t="shared" si="6"/>
        <v/>
      </c>
      <c r="P68" s="9" t="str">
        <f t="shared" si="7"/>
        <v/>
      </c>
      <c r="Q68" s="9" t="str">
        <f t="shared" si="8"/>
        <v/>
      </c>
      <c r="R68" s="9" t="str">
        <f t="shared" si="9"/>
        <v/>
      </c>
    </row>
    <row r="69" spans="2:18" x14ac:dyDescent="0.4">
      <c r="B69" s="24">
        <v>44499</v>
      </c>
      <c r="C69" s="5"/>
      <c r="D69" s="5" t="s">
        <v>120</v>
      </c>
      <c r="E69" s="5" t="s">
        <v>121</v>
      </c>
      <c r="F69" s="17" t="s">
        <v>134</v>
      </c>
      <c r="G69" s="19"/>
      <c r="H69" s="13">
        <v>0.1</v>
      </c>
      <c r="I69" s="10">
        <v>1</v>
      </c>
      <c r="J69" s="9">
        <v>9000</v>
      </c>
      <c r="K69" s="9">
        <f t="shared" si="5"/>
        <v>9900</v>
      </c>
      <c r="L69" s="9"/>
      <c r="M69" s="9">
        <f t="shared" si="0"/>
        <v>9900</v>
      </c>
      <c r="N69" s="10"/>
      <c r="O69" s="10" t="str">
        <f t="shared" si="6"/>
        <v/>
      </c>
      <c r="P69" s="9" t="str">
        <f t="shared" si="7"/>
        <v/>
      </c>
      <c r="Q69" s="9" t="str">
        <f t="shared" si="8"/>
        <v/>
      </c>
      <c r="R69" s="9" t="str">
        <f t="shared" si="9"/>
        <v/>
      </c>
    </row>
    <row r="70" spans="2:18" x14ac:dyDescent="0.4">
      <c r="B70" s="24">
        <v>44499</v>
      </c>
      <c r="C70" s="5"/>
      <c r="D70" s="5" t="s">
        <v>120</v>
      </c>
      <c r="E70" s="5" t="s">
        <v>121</v>
      </c>
      <c r="F70" s="17" t="s">
        <v>135</v>
      </c>
      <c r="G70" s="19"/>
      <c r="H70" s="13">
        <v>0.1</v>
      </c>
      <c r="I70" s="10">
        <v>1</v>
      </c>
      <c r="J70" s="9">
        <v>12880</v>
      </c>
      <c r="K70" s="9">
        <f t="shared" si="5"/>
        <v>14168.000000000002</v>
      </c>
      <c r="L70" s="9"/>
      <c r="M70" s="9">
        <f t="shared" ref="M70:M154" si="10">K70*I70</f>
        <v>14168.000000000002</v>
      </c>
      <c r="N70" s="10"/>
      <c r="O70" s="10" t="str">
        <f t="shared" si="6"/>
        <v/>
      </c>
      <c r="P70" s="9" t="str">
        <f t="shared" si="7"/>
        <v/>
      </c>
      <c r="Q70" s="9" t="str">
        <f t="shared" si="8"/>
        <v/>
      </c>
      <c r="R70" s="9" t="str">
        <f t="shared" si="9"/>
        <v/>
      </c>
    </row>
    <row r="71" spans="2:18" x14ac:dyDescent="0.4">
      <c r="B71" s="24">
        <v>44499</v>
      </c>
      <c r="C71" s="5"/>
      <c r="D71" s="5" t="s">
        <v>120</v>
      </c>
      <c r="E71" s="5" t="s">
        <v>121</v>
      </c>
      <c r="F71" s="17" t="s">
        <v>136</v>
      </c>
      <c r="G71" s="19"/>
      <c r="H71" s="13">
        <v>0.1</v>
      </c>
      <c r="I71" s="10">
        <v>1</v>
      </c>
      <c r="J71" s="9">
        <v>16100</v>
      </c>
      <c r="K71" s="9">
        <f t="shared" si="5"/>
        <v>17710</v>
      </c>
      <c r="L71" s="9"/>
      <c r="M71" s="9">
        <f t="shared" si="10"/>
        <v>17710</v>
      </c>
      <c r="N71" s="10"/>
      <c r="O71" s="10" t="str">
        <f t="shared" si="6"/>
        <v/>
      </c>
      <c r="P71" s="9" t="str">
        <f t="shared" si="7"/>
        <v/>
      </c>
      <c r="Q71" s="9" t="str">
        <f t="shared" si="8"/>
        <v/>
      </c>
      <c r="R71" s="9" t="str">
        <f t="shared" si="9"/>
        <v/>
      </c>
    </row>
    <row r="72" spans="2:18" x14ac:dyDescent="0.4">
      <c r="B72" s="24">
        <v>44499</v>
      </c>
      <c r="C72" s="5"/>
      <c r="D72" s="5" t="s">
        <v>120</v>
      </c>
      <c r="E72" s="5" t="s">
        <v>121</v>
      </c>
      <c r="F72" s="17" t="s">
        <v>137</v>
      </c>
      <c r="G72" s="19"/>
      <c r="H72" s="13">
        <v>0.1</v>
      </c>
      <c r="I72" s="10">
        <v>1</v>
      </c>
      <c r="J72" s="9">
        <v>12000</v>
      </c>
      <c r="K72" s="9">
        <f t="shared" si="5"/>
        <v>13200.000000000002</v>
      </c>
      <c r="L72" s="9"/>
      <c r="M72" s="9">
        <f t="shared" si="10"/>
        <v>13200.000000000002</v>
      </c>
      <c r="N72" s="10"/>
      <c r="O72" s="10" t="str">
        <f t="shared" si="6"/>
        <v/>
      </c>
      <c r="P72" s="9" t="str">
        <f t="shared" si="7"/>
        <v/>
      </c>
      <c r="Q72" s="9" t="str">
        <f t="shared" si="8"/>
        <v/>
      </c>
      <c r="R72" s="9" t="str">
        <f t="shared" si="9"/>
        <v/>
      </c>
    </row>
    <row r="73" spans="2:18" x14ac:dyDescent="0.4">
      <c r="B73" s="24">
        <v>44499</v>
      </c>
      <c r="C73" s="5"/>
      <c r="D73" s="5" t="s">
        <v>120</v>
      </c>
      <c r="E73" s="5" t="s">
        <v>121</v>
      </c>
      <c r="F73" s="17" t="s">
        <v>138</v>
      </c>
      <c r="G73" s="19"/>
      <c r="H73" s="13">
        <v>0.1</v>
      </c>
      <c r="I73" s="10">
        <v>1</v>
      </c>
      <c r="J73" s="9">
        <v>12000</v>
      </c>
      <c r="K73" s="9">
        <f t="shared" si="5"/>
        <v>13200.000000000002</v>
      </c>
      <c r="L73" s="9"/>
      <c r="M73" s="9">
        <f t="shared" si="10"/>
        <v>13200.000000000002</v>
      </c>
      <c r="N73" s="10"/>
      <c r="O73" s="10" t="str">
        <f t="shared" si="6"/>
        <v/>
      </c>
      <c r="P73" s="9" t="str">
        <f t="shared" si="7"/>
        <v/>
      </c>
      <c r="Q73" s="9" t="str">
        <f t="shared" si="8"/>
        <v/>
      </c>
      <c r="R73" s="9" t="str">
        <f t="shared" si="9"/>
        <v/>
      </c>
    </row>
    <row r="74" spans="2:18" x14ac:dyDescent="0.4">
      <c r="B74" s="24" t="s">
        <v>165</v>
      </c>
      <c r="C74" s="5" t="s">
        <v>96</v>
      </c>
      <c r="D74" s="5"/>
      <c r="E74" s="5" t="s">
        <v>302</v>
      </c>
      <c r="F74" s="17" t="s">
        <v>140</v>
      </c>
      <c r="G74" s="19"/>
      <c r="H74" s="13">
        <v>0.1</v>
      </c>
      <c r="I74" s="10">
        <v>120</v>
      </c>
      <c r="J74" s="9">
        <v>450</v>
      </c>
      <c r="K74" s="9">
        <f t="shared" si="5"/>
        <v>495.00000000000006</v>
      </c>
      <c r="L74" s="9"/>
      <c r="M74" s="9">
        <f t="shared" si="10"/>
        <v>59400.000000000007</v>
      </c>
      <c r="N74" s="10"/>
      <c r="O74" s="10" t="str">
        <f t="shared" si="6"/>
        <v/>
      </c>
      <c r="P74" s="9" t="str">
        <f t="shared" si="7"/>
        <v/>
      </c>
      <c r="Q74" s="9" t="str">
        <f t="shared" si="8"/>
        <v/>
      </c>
      <c r="R74" s="9" t="str">
        <f t="shared" si="9"/>
        <v/>
      </c>
    </row>
    <row r="75" spans="2:18" x14ac:dyDescent="0.4">
      <c r="B75" s="24" t="s">
        <v>165</v>
      </c>
      <c r="C75" s="5" t="s">
        <v>96</v>
      </c>
      <c r="D75" s="5"/>
      <c r="E75" s="5" t="s">
        <v>302</v>
      </c>
      <c r="F75" s="17" t="s">
        <v>141</v>
      </c>
      <c r="G75" s="19"/>
      <c r="H75" s="13">
        <v>0.1</v>
      </c>
      <c r="I75" s="10">
        <v>60</v>
      </c>
      <c r="J75" s="9">
        <v>450</v>
      </c>
      <c r="K75" s="9">
        <f t="shared" si="5"/>
        <v>495.00000000000006</v>
      </c>
      <c r="L75" s="9"/>
      <c r="M75" s="9">
        <f t="shared" si="10"/>
        <v>29700.000000000004</v>
      </c>
      <c r="N75" s="10"/>
      <c r="O75" s="10" t="str">
        <f t="shared" ref="O75:O161" si="11">IF(N75="","",I75-N75)</f>
        <v/>
      </c>
      <c r="P75" s="9" t="str">
        <f t="shared" ref="P75:P161" si="12">IFERROR(O75*J75,"")</f>
        <v/>
      </c>
      <c r="Q75" s="9" t="str">
        <f t="shared" ref="Q75:Q161" si="13">IFERROR(P75*O75,"")</f>
        <v/>
      </c>
      <c r="R75" s="9" t="str">
        <f t="shared" ref="R75:R161" si="14">IFERROR(Q75-P75,"")</f>
        <v/>
      </c>
    </row>
    <row r="76" spans="2:18" x14ac:dyDescent="0.4">
      <c r="B76" s="24" t="s">
        <v>165</v>
      </c>
      <c r="C76" s="5" t="s">
        <v>96</v>
      </c>
      <c r="D76" s="5"/>
      <c r="E76" s="5" t="s">
        <v>302</v>
      </c>
      <c r="F76" s="17" t="s">
        <v>142</v>
      </c>
      <c r="G76" s="19"/>
      <c r="H76" s="13">
        <v>0.1</v>
      </c>
      <c r="I76" s="10">
        <v>120</v>
      </c>
      <c r="J76" s="9">
        <v>450</v>
      </c>
      <c r="K76" s="9">
        <f t="shared" si="5"/>
        <v>495.00000000000006</v>
      </c>
      <c r="L76" s="9"/>
      <c r="M76" s="9">
        <f t="shared" si="10"/>
        <v>59400.000000000007</v>
      </c>
      <c r="N76" s="10"/>
      <c r="O76" s="10" t="str">
        <f t="shared" si="11"/>
        <v/>
      </c>
      <c r="P76" s="9" t="str">
        <f t="shared" si="12"/>
        <v/>
      </c>
      <c r="Q76" s="9" t="str">
        <f t="shared" si="13"/>
        <v/>
      </c>
      <c r="R76" s="9" t="str">
        <f t="shared" si="14"/>
        <v/>
      </c>
    </row>
    <row r="77" spans="2:18" x14ac:dyDescent="0.4">
      <c r="B77" s="24" t="s">
        <v>165</v>
      </c>
      <c r="C77" s="5" t="s">
        <v>96</v>
      </c>
      <c r="D77" s="5"/>
      <c r="E77" s="5" t="s">
        <v>302</v>
      </c>
      <c r="F77" s="17" t="s">
        <v>143</v>
      </c>
      <c r="G77" s="19"/>
      <c r="H77" s="13">
        <v>0.1</v>
      </c>
      <c r="I77" s="10">
        <v>60</v>
      </c>
      <c r="J77" s="9">
        <v>450</v>
      </c>
      <c r="K77" s="9">
        <f t="shared" si="5"/>
        <v>495.00000000000006</v>
      </c>
      <c r="L77" s="9"/>
      <c r="M77" s="9">
        <f t="shared" si="10"/>
        <v>29700.000000000004</v>
      </c>
      <c r="N77" s="10"/>
      <c r="O77" s="10" t="str">
        <f t="shared" si="11"/>
        <v/>
      </c>
      <c r="P77" s="9" t="str">
        <f t="shared" si="12"/>
        <v/>
      </c>
      <c r="Q77" s="9" t="str">
        <f t="shared" si="13"/>
        <v/>
      </c>
      <c r="R77" s="9" t="str">
        <f t="shared" si="14"/>
        <v/>
      </c>
    </row>
    <row r="78" spans="2:18" x14ac:dyDescent="0.4">
      <c r="B78" s="24" t="s">
        <v>165</v>
      </c>
      <c r="C78" s="5" t="s">
        <v>96</v>
      </c>
      <c r="D78" s="5"/>
      <c r="E78" s="5" t="s">
        <v>302</v>
      </c>
      <c r="F78" s="17" t="s">
        <v>144</v>
      </c>
      <c r="G78" s="19"/>
      <c r="H78" s="13">
        <v>0.1</v>
      </c>
      <c r="I78" s="10">
        <v>28</v>
      </c>
      <c r="J78" s="9">
        <v>75</v>
      </c>
      <c r="K78" s="9">
        <f t="shared" si="5"/>
        <v>82.5</v>
      </c>
      <c r="L78" s="9"/>
      <c r="M78" s="9">
        <f t="shared" si="10"/>
        <v>2310</v>
      </c>
      <c r="N78" s="10"/>
      <c r="O78" s="10" t="str">
        <f t="shared" si="11"/>
        <v/>
      </c>
      <c r="P78" s="9" t="str">
        <f t="shared" si="12"/>
        <v/>
      </c>
      <c r="Q78" s="9" t="str">
        <f t="shared" si="13"/>
        <v/>
      </c>
      <c r="R78" s="9" t="str">
        <f t="shared" si="14"/>
        <v/>
      </c>
    </row>
    <row r="79" spans="2:18" x14ac:dyDescent="0.4">
      <c r="B79" s="24" t="s">
        <v>165</v>
      </c>
      <c r="C79" s="5" t="s">
        <v>96</v>
      </c>
      <c r="D79" s="5"/>
      <c r="E79" s="5" t="s">
        <v>302</v>
      </c>
      <c r="F79" s="17" t="s">
        <v>145</v>
      </c>
      <c r="G79" s="19"/>
      <c r="H79" s="13">
        <v>0.1</v>
      </c>
      <c r="I79" s="10">
        <v>14</v>
      </c>
      <c r="J79" s="9">
        <v>75</v>
      </c>
      <c r="K79" s="9">
        <f t="shared" si="5"/>
        <v>82.5</v>
      </c>
      <c r="L79" s="9"/>
      <c r="M79" s="9">
        <f t="shared" si="10"/>
        <v>1155</v>
      </c>
      <c r="N79" s="10"/>
      <c r="O79" s="10" t="str">
        <f t="shared" si="11"/>
        <v/>
      </c>
      <c r="P79" s="9" t="str">
        <f t="shared" si="12"/>
        <v/>
      </c>
      <c r="Q79" s="9" t="str">
        <f t="shared" si="13"/>
        <v/>
      </c>
      <c r="R79" s="9" t="str">
        <f t="shared" si="14"/>
        <v/>
      </c>
    </row>
    <row r="80" spans="2:18" x14ac:dyDescent="0.4">
      <c r="B80" s="24" t="s">
        <v>165</v>
      </c>
      <c r="C80" s="5" t="s">
        <v>96</v>
      </c>
      <c r="D80" s="5"/>
      <c r="E80" s="5" t="s">
        <v>302</v>
      </c>
      <c r="F80" s="17" t="s">
        <v>146</v>
      </c>
      <c r="G80" s="19"/>
      <c r="H80" s="13">
        <v>0.1</v>
      </c>
      <c r="I80" s="10">
        <v>28</v>
      </c>
      <c r="J80" s="9">
        <v>75</v>
      </c>
      <c r="K80" s="9">
        <f t="shared" si="5"/>
        <v>82.5</v>
      </c>
      <c r="L80" s="9"/>
      <c r="M80" s="9">
        <f t="shared" si="10"/>
        <v>2310</v>
      </c>
      <c r="N80" s="10"/>
      <c r="O80" s="10" t="str">
        <f t="shared" si="11"/>
        <v/>
      </c>
      <c r="P80" s="9" t="str">
        <f t="shared" si="12"/>
        <v/>
      </c>
      <c r="Q80" s="9" t="str">
        <f t="shared" si="13"/>
        <v/>
      </c>
      <c r="R80" s="9" t="str">
        <f t="shared" si="14"/>
        <v/>
      </c>
    </row>
    <row r="81" spans="2:18" x14ac:dyDescent="0.4">
      <c r="B81" s="24" t="s">
        <v>165</v>
      </c>
      <c r="C81" s="5" t="s">
        <v>96</v>
      </c>
      <c r="D81" s="5"/>
      <c r="E81" s="5" t="s">
        <v>302</v>
      </c>
      <c r="F81" s="17" t="s">
        <v>147</v>
      </c>
      <c r="G81" s="19"/>
      <c r="H81" s="13">
        <v>0.1</v>
      </c>
      <c r="I81" s="10">
        <v>28</v>
      </c>
      <c r="J81" s="9">
        <v>75</v>
      </c>
      <c r="K81" s="9">
        <f t="shared" si="5"/>
        <v>82.5</v>
      </c>
      <c r="L81" s="9"/>
      <c r="M81" s="9">
        <f t="shared" si="10"/>
        <v>2310</v>
      </c>
      <c r="N81" s="10"/>
      <c r="O81" s="10" t="str">
        <f t="shared" si="11"/>
        <v/>
      </c>
      <c r="P81" s="9" t="str">
        <f t="shared" si="12"/>
        <v/>
      </c>
      <c r="Q81" s="9" t="str">
        <f t="shared" si="13"/>
        <v/>
      </c>
      <c r="R81" s="9" t="str">
        <f t="shared" si="14"/>
        <v/>
      </c>
    </row>
    <row r="82" spans="2:18" x14ac:dyDescent="0.4">
      <c r="B82" s="24" t="s">
        <v>165</v>
      </c>
      <c r="C82" s="5" t="s">
        <v>96</v>
      </c>
      <c r="D82" s="5"/>
      <c r="E82" s="5" t="s">
        <v>302</v>
      </c>
      <c r="F82" s="17" t="s">
        <v>148</v>
      </c>
      <c r="G82" s="19"/>
      <c r="H82" s="13">
        <v>0.1</v>
      </c>
      <c r="I82" s="10">
        <v>28</v>
      </c>
      <c r="J82" s="9">
        <v>85</v>
      </c>
      <c r="K82" s="9">
        <f t="shared" si="5"/>
        <v>93.500000000000014</v>
      </c>
      <c r="L82" s="9"/>
      <c r="M82" s="9">
        <f t="shared" si="10"/>
        <v>2618.0000000000005</v>
      </c>
      <c r="N82" s="10"/>
      <c r="O82" s="10" t="str">
        <f t="shared" si="11"/>
        <v/>
      </c>
      <c r="P82" s="9" t="str">
        <f t="shared" si="12"/>
        <v/>
      </c>
      <c r="Q82" s="9" t="str">
        <f t="shared" si="13"/>
        <v/>
      </c>
      <c r="R82" s="9" t="str">
        <f t="shared" si="14"/>
        <v/>
      </c>
    </row>
    <row r="83" spans="2:18" x14ac:dyDescent="0.4">
      <c r="B83" s="24" t="s">
        <v>165</v>
      </c>
      <c r="C83" s="5" t="s">
        <v>96</v>
      </c>
      <c r="D83" s="5"/>
      <c r="E83" s="5" t="s">
        <v>302</v>
      </c>
      <c r="F83" s="17" t="s">
        <v>149</v>
      </c>
      <c r="G83" s="19"/>
      <c r="H83" s="13">
        <v>0.1</v>
      </c>
      <c r="I83" s="10">
        <v>14</v>
      </c>
      <c r="J83" s="9">
        <v>85</v>
      </c>
      <c r="K83" s="9">
        <f t="shared" si="5"/>
        <v>93.500000000000014</v>
      </c>
      <c r="L83" s="9"/>
      <c r="M83" s="9">
        <f t="shared" si="10"/>
        <v>1309.0000000000002</v>
      </c>
      <c r="N83" s="10"/>
      <c r="O83" s="10" t="str">
        <f t="shared" si="11"/>
        <v/>
      </c>
      <c r="P83" s="9" t="str">
        <f t="shared" si="12"/>
        <v/>
      </c>
      <c r="Q83" s="9" t="str">
        <f t="shared" si="13"/>
        <v/>
      </c>
      <c r="R83" s="9" t="str">
        <f t="shared" si="14"/>
        <v/>
      </c>
    </row>
    <row r="84" spans="2:18" x14ac:dyDescent="0.4">
      <c r="B84" s="24" t="s">
        <v>165</v>
      </c>
      <c r="C84" s="5" t="s">
        <v>96</v>
      </c>
      <c r="D84" s="5"/>
      <c r="E84" s="5" t="s">
        <v>302</v>
      </c>
      <c r="F84" s="17" t="s">
        <v>150</v>
      </c>
      <c r="G84" s="19"/>
      <c r="H84" s="13">
        <v>0.1</v>
      </c>
      <c r="I84" s="10">
        <v>7</v>
      </c>
      <c r="J84" s="9">
        <v>85</v>
      </c>
      <c r="K84" s="9">
        <f t="shared" si="5"/>
        <v>93.500000000000014</v>
      </c>
      <c r="L84" s="9"/>
      <c r="M84" s="9">
        <f t="shared" si="10"/>
        <v>654.50000000000011</v>
      </c>
      <c r="N84" s="10"/>
      <c r="O84" s="10" t="str">
        <f t="shared" si="11"/>
        <v/>
      </c>
      <c r="P84" s="9" t="str">
        <f t="shared" si="12"/>
        <v/>
      </c>
      <c r="Q84" s="9" t="str">
        <f t="shared" si="13"/>
        <v/>
      </c>
      <c r="R84" s="9" t="str">
        <f t="shared" si="14"/>
        <v/>
      </c>
    </row>
    <row r="85" spans="2:18" x14ac:dyDescent="0.4">
      <c r="B85" s="24" t="s">
        <v>165</v>
      </c>
      <c r="C85" s="5" t="s">
        <v>96</v>
      </c>
      <c r="D85" s="5"/>
      <c r="E85" s="5" t="s">
        <v>302</v>
      </c>
      <c r="F85" s="17" t="s">
        <v>151</v>
      </c>
      <c r="G85" s="19"/>
      <c r="H85" s="13">
        <v>0.1</v>
      </c>
      <c r="I85" s="10">
        <v>28</v>
      </c>
      <c r="J85" s="9">
        <v>120</v>
      </c>
      <c r="K85" s="9">
        <f t="shared" si="5"/>
        <v>132</v>
      </c>
      <c r="L85" s="9"/>
      <c r="M85" s="9">
        <f t="shared" si="10"/>
        <v>3696</v>
      </c>
      <c r="N85" s="10"/>
      <c r="O85" s="10" t="str">
        <f t="shared" si="11"/>
        <v/>
      </c>
      <c r="P85" s="9" t="str">
        <f t="shared" si="12"/>
        <v/>
      </c>
      <c r="Q85" s="9" t="str">
        <f t="shared" si="13"/>
        <v/>
      </c>
      <c r="R85" s="9" t="str">
        <f t="shared" si="14"/>
        <v/>
      </c>
    </row>
    <row r="86" spans="2:18" x14ac:dyDescent="0.4">
      <c r="B86" s="24" t="s">
        <v>165</v>
      </c>
      <c r="C86" s="5" t="s">
        <v>96</v>
      </c>
      <c r="D86" s="5"/>
      <c r="E86" s="5" t="s">
        <v>302</v>
      </c>
      <c r="F86" s="17" t="s">
        <v>152</v>
      </c>
      <c r="G86" s="19"/>
      <c r="H86" s="13">
        <v>0.1</v>
      </c>
      <c r="I86" s="10">
        <v>14</v>
      </c>
      <c r="J86" s="9">
        <v>120</v>
      </c>
      <c r="K86" s="9">
        <f t="shared" si="5"/>
        <v>132</v>
      </c>
      <c r="L86" s="9"/>
      <c r="M86" s="9">
        <f t="shared" si="10"/>
        <v>1848</v>
      </c>
      <c r="N86" s="10"/>
      <c r="O86" s="10" t="str">
        <f t="shared" si="11"/>
        <v/>
      </c>
      <c r="P86" s="9" t="str">
        <f t="shared" si="12"/>
        <v/>
      </c>
      <c r="Q86" s="9" t="str">
        <f t="shared" si="13"/>
        <v/>
      </c>
      <c r="R86" s="9" t="str">
        <f t="shared" si="14"/>
        <v/>
      </c>
    </row>
    <row r="87" spans="2:18" x14ac:dyDescent="0.4">
      <c r="B87" s="24" t="s">
        <v>165</v>
      </c>
      <c r="C87" s="5" t="s">
        <v>96</v>
      </c>
      <c r="D87" s="5"/>
      <c r="E87" s="5" t="s">
        <v>302</v>
      </c>
      <c r="F87" s="17" t="s">
        <v>153</v>
      </c>
      <c r="G87" s="19"/>
      <c r="H87" s="13">
        <v>0.1</v>
      </c>
      <c r="I87" s="10">
        <v>28</v>
      </c>
      <c r="J87" s="9">
        <v>120</v>
      </c>
      <c r="K87" s="9">
        <f t="shared" si="5"/>
        <v>132</v>
      </c>
      <c r="L87" s="9"/>
      <c r="M87" s="9">
        <f t="shared" si="10"/>
        <v>3696</v>
      </c>
      <c r="N87" s="10"/>
      <c r="O87" s="10" t="str">
        <f t="shared" si="11"/>
        <v/>
      </c>
      <c r="P87" s="9" t="str">
        <f t="shared" si="12"/>
        <v/>
      </c>
      <c r="Q87" s="9" t="str">
        <f t="shared" si="13"/>
        <v/>
      </c>
      <c r="R87" s="9" t="str">
        <f t="shared" si="14"/>
        <v/>
      </c>
    </row>
    <row r="88" spans="2:18" x14ac:dyDescent="0.4">
      <c r="B88" s="24" t="s">
        <v>165</v>
      </c>
      <c r="C88" s="5" t="s">
        <v>96</v>
      </c>
      <c r="D88" s="5"/>
      <c r="E88" s="5" t="s">
        <v>302</v>
      </c>
      <c r="F88" s="17" t="s">
        <v>154</v>
      </c>
      <c r="G88" s="19"/>
      <c r="H88" s="13">
        <v>0.1</v>
      </c>
      <c r="I88" s="10">
        <v>120</v>
      </c>
      <c r="J88" s="9">
        <v>450</v>
      </c>
      <c r="K88" s="9">
        <f t="shared" si="5"/>
        <v>495.00000000000006</v>
      </c>
      <c r="L88" s="9"/>
      <c r="M88" s="9">
        <f t="shared" si="10"/>
        <v>59400.000000000007</v>
      </c>
      <c r="N88" s="10"/>
      <c r="O88" s="10" t="str">
        <f t="shared" si="11"/>
        <v/>
      </c>
      <c r="P88" s="9" t="str">
        <f t="shared" si="12"/>
        <v/>
      </c>
      <c r="Q88" s="9" t="str">
        <f t="shared" si="13"/>
        <v/>
      </c>
      <c r="R88" s="9" t="str">
        <f t="shared" si="14"/>
        <v/>
      </c>
    </row>
    <row r="89" spans="2:18" x14ac:dyDescent="0.4">
      <c r="B89" s="24" t="s">
        <v>165</v>
      </c>
      <c r="C89" s="5" t="s">
        <v>96</v>
      </c>
      <c r="D89" s="5"/>
      <c r="E89" s="5" t="s">
        <v>302</v>
      </c>
      <c r="F89" s="17" t="s">
        <v>155</v>
      </c>
      <c r="G89" s="19"/>
      <c r="H89" s="13">
        <v>0.1</v>
      </c>
      <c r="I89" s="10">
        <v>120</v>
      </c>
      <c r="J89" s="9">
        <v>450</v>
      </c>
      <c r="K89" s="9">
        <f t="shared" si="5"/>
        <v>495.00000000000006</v>
      </c>
      <c r="L89" s="9"/>
      <c r="M89" s="9">
        <f t="shared" si="10"/>
        <v>59400.000000000007</v>
      </c>
      <c r="N89" s="10"/>
      <c r="O89" s="10" t="str">
        <f t="shared" si="11"/>
        <v/>
      </c>
      <c r="P89" s="9" t="str">
        <f t="shared" si="12"/>
        <v/>
      </c>
      <c r="Q89" s="9" t="str">
        <f t="shared" si="13"/>
        <v/>
      </c>
      <c r="R89" s="9" t="str">
        <f t="shared" si="14"/>
        <v/>
      </c>
    </row>
    <row r="90" spans="2:18" x14ac:dyDescent="0.4">
      <c r="B90" s="24" t="s">
        <v>165</v>
      </c>
      <c r="C90" s="5" t="s">
        <v>96</v>
      </c>
      <c r="D90" s="5"/>
      <c r="E90" s="5" t="s">
        <v>302</v>
      </c>
      <c r="F90" s="17" t="s">
        <v>156</v>
      </c>
      <c r="G90" s="19"/>
      <c r="H90" s="13">
        <v>0.1</v>
      </c>
      <c r="I90" s="10">
        <v>120</v>
      </c>
      <c r="J90" s="9">
        <v>450</v>
      </c>
      <c r="K90" s="9">
        <f t="shared" si="5"/>
        <v>495.00000000000006</v>
      </c>
      <c r="L90" s="9"/>
      <c r="M90" s="9">
        <f t="shared" si="10"/>
        <v>59400.000000000007</v>
      </c>
      <c r="N90" s="10"/>
      <c r="O90" s="10" t="str">
        <f t="shared" si="11"/>
        <v/>
      </c>
      <c r="P90" s="9" t="str">
        <f t="shared" si="12"/>
        <v/>
      </c>
      <c r="Q90" s="9" t="str">
        <f t="shared" si="13"/>
        <v/>
      </c>
      <c r="R90" s="9" t="str">
        <f t="shared" si="14"/>
        <v/>
      </c>
    </row>
    <row r="91" spans="2:18" x14ac:dyDescent="0.4">
      <c r="B91" s="24" t="s">
        <v>165</v>
      </c>
      <c r="C91" s="5" t="s">
        <v>96</v>
      </c>
      <c r="D91" s="5"/>
      <c r="E91" s="5" t="s">
        <v>302</v>
      </c>
      <c r="F91" s="17" t="s">
        <v>157</v>
      </c>
      <c r="G91" s="19"/>
      <c r="H91" s="13">
        <v>0.1</v>
      </c>
      <c r="I91" s="10">
        <v>60</v>
      </c>
      <c r="J91" s="9">
        <v>450</v>
      </c>
      <c r="K91" s="9">
        <f t="shared" si="5"/>
        <v>495.00000000000006</v>
      </c>
      <c r="L91" s="9"/>
      <c r="M91" s="9">
        <f t="shared" si="10"/>
        <v>29700.000000000004</v>
      </c>
      <c r="N91" s="10"/>
      <c r="O91" s="10" t="str">
        <f t="shared" si="11"/>
        <v/>
      </c>
      <c r="P91" s="9" t="str">
        <f t="shared" si="12"/>
        <v/>
      </c>
      <c r="Q91" s="9" t="str">
        <f t="shared" si="13"/>
        <v/>
      </c>
      <c r="R91" s="9" t="str">
        <f t="shared" si="14"/>
        <v/>
      </c>
    </row>
    <row r="92" spans="2:18" x14ac:dyDescent="0.4">
      <c r="B92" s="24">
        <v>44498</v>
      </c>
      <c r="C92" s="5" t="s">
        <v>96</v>
      </c>
      <c r="D92" s="5" t="s">
        <v>120</v>
      </c>
      <c r="E92" s="5" t="s">
        <v>172</v>
      </c>
      <c r="F92" s="8" t="s">
        <v>167</v>
      </c>
      <c r="G92" s="19" t="s">
        <v>169</v>
      </c>
      <c r="H92" s="13">
        <v>0.1</v>
      </c>
      <c r="I92" s="10">
        <v>90</v>
      </c>
      <c r="J92" s="9">
        <v>300</v>
      </c>
      <c r="K92" s="9">
        <f t="shared" si="5"/>
        <v>330</v>
      </c>
      <c r="L92" s="9">
        <v>490</v>
      </c>
      <c r="M92" s="9">
        <f>K92*I92</f>
        <v>29700</v>
      </c>
      <c r="N92" s="10"/>
      <c r="O92" s="10" t="str">
        <f t="shared" si="11"/>
        <v/>
      </c>
      <c r="P92" s="9" t="str">
        <f t="shared" si="12"/>
        <v/>
      </c>
      <c r="Q92" s="9" t="str">
        <f t="shared" si="13"/>
        <v/>
      </c>
      <c r="R92" s="9" t="str">
        <f t="shared" si="14"/>
        <v/>
      </c>
    </row>
    <row r="93" spans="2:18" x14ac:dyDescent="0.4">
      <c r="B93" s="24">
        <v>44498</v>
      </c>
      <c r="C93" s="5" t="s">
        <v>96</v>
      </c>
      <c r="D93" s="5" t="s">
        <v>120</v>
      </c>
      <c r="E93" s="5" t="s">
        <v>172</v>
      </c>
      <c r="F93" s="8" t="s">
        <v>166</v>
      </c>
      <c r="G93" s="19" t="s">
        <v>168</v>
      </c>
      <c r="H93" s="13">
        <v>0.1</v>
      </c>
      <c r="I93" s="10">
        <v>45</v>
      </c>
      <c r="J93" s="9">
        <v>300</v>
      </c>
      <c r="K93" s="9">
        <f t="shared" si="5"/>
        <v>330</v>
      </c>
      <c r="L93" s="9">
        <v>490</v>
      </c>
      <c r="M93" s="9">
        <f t="shared" si="10"/>
        <v>14850</v>
      </c>
      <c r="N93" s="10"/>
      <c r="O93" s="10" t="str">
        <f t="shared" si="11"/>
        <v/>
      </c>
      <c r="P93" s="9" t="str">
        <f t="shared" si="12"/>
        <v/>
      </c>
      <c r="Q93" s="9" t="str">
        <f t="shared" si="13"/>
        <v/>
      </c>
      <c r="R93" s="9" t="str">
        <f t="shared" si="14"/>
        <v/>
      </c>
    </row>
    <row r="94" spans="2:18" x14ac:dyDescent="0.4">
      <c r="B94" s="24">
        <v>44498</v>
      </c>
      <c r="C94" s="5" t="s">
        <v>96</v>
      </c>
      <c r="D94" s="5" t="s">
        <v>120</v>
      </c>
      <c r="E94" s="5" t="s">
        <v>172</v>
      </c>
      <c r="F94" s="8" t="s">
        <v>161</v>
      </c>
      <c r="G94" s="19" t="s">
        <v>170</v>
      </c>
      <c r="H94" s="13">
        <v>0.1</v>
      </c>
      <c r="I94" s="10">
        <v>45</v>
      </c>
      <c r="J94" s="9">
        <v>300</v>
      </c>
      <c r="K94" s="9">
        <f t="shared" si="5"/>
        <v>330</v>
      </c>
      <c r="L94" s="9">
        <v>490</v>
      </c>
      <c r="M94" s="9">
        <f t="shared" si="10"/>
        <v>14850</v>
      </c>
      <c r="N94" s="10"/>
      <c r="O94" s="10" t="str">
        <f t="shared" si="11"/>
        <v/>
      </c>
      <c r="P94" s="9" t="str">
        <f t="shared" si="12"/>
        <v/>
      </c>
      <c r="Q94" s="9" t="str">
        <f t="shared" si="13"/>
        <v/>
      </c>
      <c r="R94" s="9" t="str">
        <f t="shared" si="14"/>
        <v/>
      </c>
    </row>
    <row r="95" spans="2:18" x14ac:dyDescent="0.4">
      <c r="B95" s="24">
        <v>44499</v>
      </c>
      <c r="C95" s="5" t="s">
        <v>171</v>
      </c>
      <c r="D95" s="5"/>
      <c r="E95" s="5" t="s">
        <v>173</v>
      </c>
      <c r="F95" s="17" t="s">
        <v>174</v>
      </c>
      <c r="G95" s="19"/>
      <c r="H95" s="13">
        <v>0.1</v>
      </c>
      <c r="I95" s="10">
        <v>30</v>
      </c>
      <c r="J95" s="9">
        <v>500</v>
      </c>
      <c r="K95" s="9">
        <f t="shared" si="5"/>
        <v>550</v>
      </c>
      <c r="L95" s="9">
        <v>1280</v>
      </c>
      <c r="M95" s="9">
        <f t="shared" si="10"/>
        <v>16500</v>
      </c>
      <c r="N95" s="10"/>
      <c r="O95" s="10" t="str">
        <f t="shared" si="11"/>
        <v/>
      </c>
      <c r="P95" s="9" t="str">
        <f t="shared" si="12"/>
        <v/>
      </c>
      <c r="Q95" s="9" t="str">
        <f t="shared" si="13"/>
        <v/>
      </c>
      <c r="R95" s="9" t="str">
        <f t="shared" si="14"/>
        <v/>
      </c>
    </row>
    <row r="96" spans="2:18" x14ac:dyDescent="0.4">
      <c r="B96" s="24">
        <v>44499</v>
      </c>
      <c r="C96" s="5" t="s">
        <v>171</v>
      </c>
      <c r="D96" s="5"/>
      <c r="E96" s="5" t="s">
        <v>173</v>
      </c>
      <c r="F96" s="17" t="s">
        <v>175</v>
      </c>
      <c r="G96" s="19"/>
      <c r="H96" s="13">
        <v>0.1</v>
      </c>
      <c r="I96" s="10">
        <v>20</v>
      </c>
      <c r="J96" s="9">
        <v>500</v>
      </c>
      <c r="K96" s="9">
        <f t="shared" si="5"/>
        <v>550</v>
      </c>
      <c r="L96" s="9">
        <v>1280</v>
      </c>
      <c r="M96" s="9">
        <f t="shared" si="10"/>
        <v>11000</v>
      </c>
      <c r="N96" s="10"/>
      <c r="O96" s="10" t="str">
        <f t="shared" si="11"/>
        <v/>
      </c>
      <c r="P96" s="9" t="str">
        <f t="shared" si="12"/>
        <v/>
      </c>
      <c r="Q96" s="9" t="str">
        <f t="shared" si="13"/>
        <v/>
      </c>
      <c r="R96" s="9" t="str">
        <f t="shared" si="14"/>
        <v/>
      </c>
    </row>
    <row r="97" spans="2:18" x14ac:dyDescent="0.4">
      <c r="B97" s="24">
        <v>44499</v>
      </c>
      <c r="C97" s="5" t="s">
        <v>171</v>
      </c>
      <c r="D97" s="5"/>
      <c r="E97" s="5" t="s">
        <v>173</v>
      </c>
      <c r="F97" s="17" t="s">
        <v>176</v>
      </c>
      <c r="G97" s="19"/>
      <c r="H97" s="13">
        <v>0.1</v>
      </c>
      <c r="I97" s="10">
        <v>42</v>
      </c>
      <c r="J97" s="9">
        <v>484</v>
      </c>
      <c r="K97" s="9">
        <f t="shared" si="5"/>
        <v>532.40000000000009</v>
      </c>
      <c r="L97" s="9">
        <v>1280</v>
      </c>
      <c r="M97" s="9">
        <f t="shared" si="10"/>
        <v>22360.800000000003</v>
      </c>
      <c r="N97" s="10"/>
      <c r="O97" s="10" t="str">
        <f t="shared" si="11"/>
        <v/>
      </c>
      <c r="P97" s="9" t="str">
        <f t="shared" si="12"/>
        <v/>
      </c>
      <c r="Q97" s="9" t="str">
        <f t="shared" si="13"/>
        <v/>
      </c>
      <c r="R97" s="9" t="str">
        <f t="shared" si="14"/>
        <v/>
      </c>
    </row>
    <row r="98" spans="2:18" x14ac:dyDescent="0.4">
      <c r="B98" s="24">
        <v>44499</v>
      </c>
      <c r="C98" s="5" t="s">
        <v>171</v>
      </c>
      <c r="D98" s="5"/>
      <c r="E98" s="5" t="s">
        <v>173</v>
      </c>
      <c r="F98" s="17" t="s">
        <v>177</v>
      </c>
      <c r="G98" s="19"/>
      <c r="H98" s="13">
        <v>0.1</v>
      </c>
      <c r="I98" s="10">
        <v>42</v>
      </c>
      <c r="J98" s="9">
        <v>400</v>
      </c>
      <c r="K98" s="9">
        <f t="shared" si="5"/>
        <v>440.00000000000006</v>
      </c>
      <c r="L98" s="9">
        <v>1280</v>
      </c>
      <c r="M98" s="9">
        <f t="shared" si="10"/>
        <v>18480.000000000004</v>
      </c>
      <c r="N98" s="10"/>
      <c r="O98" s="10" t="str">
        <f t="shared" si="11"/>
        <v/>
      </c>
      <c r="P98" s="9" t="str">
        <f t="shared" si="12"/>
        <v/>
      </c>
      <c r="Q98" s="9" t="str">
        <f t="shared" si="13"/>
        <v/>
      </c>
      <c r="R98" s="9" t="str">
        <f t="shared" si="14"/>
        <v/>
      </c>
    </row>
    <row r="99" spans="2:18" x14ac:dyDescent="0.4">
      <c r="B99" s="24">
        <v>44499</v>
      </c>
      <c r="C99" s="5" t="s">
        <v>171</v>
      </c>
      <c r="D99" s="5"/>
      <c r="E99" s="5" t="s">
        <v>173</v>
      </c>
      <c r="F99" s="17" t="s">
        <v>178</v>
      </c>
      <c r="G99" s="19"/>
      <c r="H99" s="13">
        <v>0.1</v>
      </c>
      <c r="I99" s="10">
        <v>50</v>
      </c>
      <c r="J99" s="9">
        <v>480</v>
      </c>
      <c r="K99" s="9">
        <f t="shared" si="5"/>
        <v>528</v>
      </c>
      <c r="L99" s="9">
        <v>1280</v>
      </c>
      <c r="M99" s="9">
        <f t="shared" si="10"/>
        <v>26400</v>
      </c>
      <c r="N99" s="10"/>
      <c r="O99" s="10" t="str">
        <f t="shared" si="11"/>
        <v/>
      </c>
      <c r="P99" s="9" t="str">
        <f t="shared" si="12"/>
        <v/>
      </c>
      <c r="Q99" s="9" t="str">
        <f t="shared" si="13"/>
        <v/>
      </c>
      <c r="R99" s="9" t="str">
        <f t="shared" si="14"/>
        <v/>
      </c>
    </row>
    <row r="100" spans="2:18" x14ac:dyDescent="0.4">
      <c r="B100" s="24">
        <v>44499</v>
      </c>
      <c r="C100" s="5" t="s">
        <v>171</v>
      </c>
      <c r="D100" s="5"/>
      <c r="E100" s="5" t="s">
        <v>173</v>
      </c>
      <c r="F100" s="17" t="s">
        <v>179</v>
      </c>
      <c r="G100" s="19"/>
      <c r="H100" s="13">
        <v>0.1</v>
      </c>
      <c r="I100" s="10">
        <v>28</v>
      </c>
      <c r="J100" s="9">
        <v>390</v>
      </c>
      <c r="K100" s="9">
        <f t="shared" si="5"/>
        <v>429.00000000000006</v>
      </c>
      <c r="L100" s="9">
        <v>1280</v>
      </c>
      <c r="M100" s="9">
        <f t="shared" si="10"/>
        <v>12012.000000000002</v>
      </c>
      <c r="N100" s="10"/>
      <c r="O100" s="10" t="str">
        <f t="shared" si="11"/>
        <v/>
      </c>
      <c r="P100" s="9" t="str">
        <f t="shared" si="12"/>
        <v/>
      </c>
      <c r="Q100" s="9" t="str">
        <f t="shared" si="13"/>
        <v/>
      </c>
      <c r="R100" s="9" t="str">
        <f t="shared" si="14"/>
        <v/>
      </c>
    </row>
    <row r="101" spans="2:18" x14ac:dyDescent="0.4">
      <c r="B101" s="24">
        <v>44498</v>
      </c>
      <c r="C101" s="5" t="s">
        <v>184</v>
      </c>
      <c r="D101" s="5"/>
      <c r="E101" s="5" t="s">
        <v>173</v>
      </c>
      <c r="F101" s="17" t="s">
        <v>180</v>
      </c>
      <c r="G101" s="19"/>
      <c r="H101" s="13">
        <v>0.1</v>
      </c>
      <c r="I101" s="10">
        <v>2</v>
      </c>
      <c r="J101" s="9">
        <v>1800</v>
      </c>
      <c r="K101" s="9">
        <f t="shared" si="5"/>
        <v>1980.0000000000002</v>
      </c>
      <c r="L101" s="9">
        <v>2380</v>
      </c>
      <c r="M101" s="9">
        <f t="shared" si="10"/>
        <v>3960.0000000000005</v>
      </c>
      <c r="N101" s="10"/>
      <c r="O101" s="10" t="str">
        <f t="shared" si="11"/>
        <v/>
      </c>
      <c r="P101" s="9" t="str">
        <f t="shared" si="12"/>
        <v/>
      </c>
      <c r="Q101" s="9" t="str">
        <f t="shared" si="13"/>
        <v/>
      </c>
      <c r="R101" s="9" t="str">
        <f t="shared" si="14"/>
        <v/>
      </c>
    </row>
    <row r="102" spans="2:18" x14ac:dyDescent="0.4">
      <c r="B102" s="24">
        <v>44498</v>
      </c>
      <c r="C102" s="5" t="s">
        <v>184</v>
      </c>
      <c r="D102" s="5"/>
      <c r="E102" s="5" t="s">
        <v>173</v>
      </c>
      <c r="F102" s="17" t="s">
        <v>181</v>
      </c>
      <c r="G102" s="19"/>
      <c r="H102" s="13">
        <v>0.1</v>
      </c>
      <c r="I102" s="10">
        <v>2</v>
      </c>
      <c r="J102" s="9">
        <v>1085</v>
      </c>
      <c r="K102" s="9">
        <f t="shared" si="5"/>
        <v>1193.5</v>
      </c>
      <c r="L102" s="9">
        <v>1980</v>
      </c>
      <c r="M102" s="9">
        <f t="shared" si="10"/>
        <v>2387</v>
      </c>
      <c r="N102" s="10"/>
      <c r="O102" s="10" t="str">
        <f t="shared" si="11"/>
        <v/>
      </c>
      <c r="P102" s="9" t="str">
        <f t="shared" si="12"/>
        <v/>
      </c>
      <c r="Q102" s="9" t="str">
        <f t="shared" si="13"/>
        <v/>
      </c>
      <c r="R102" s="9" t="str">
        <f t="shared" si="14"/>
        <v/>
      </c>
    </row>
    <row r="103" spans="2:18" x14ac:dyDescent="0.4">
      <c r="B103" s="24">
        <v>44498</v>
      </c>
      <c r="C103" s="5" t="s">
        <v>185</v>
      </c>
      <c r="D103" s="5"/>
      <c r="E103" s="5" t="s">
        <v>173</v>
      </c>
      <c r="F103" s="17" t="s">
        <v>182</v>
      </c>
      <c r="G103" s="19"/>
      <c r="H103" s="13">
        <v>0.1</v>
      </c>
      <c r="I103" s="10">
        <v>3</v>
      </c>
      <c r="J103" s="9">
        <v>1000</v>
      </c>
      <c r="K103" s="9">
        <f t="shared" si="5"/>
        <v>1100</v>
      </c>
      <c r="L103" s="9">
        <v>4980</v>
      </c>
      <c r="M103" s="9">
        <f t="shared" si="10"/>
        <v>3300</v>
      </c>
      <c r="N103" s="10"/>
      <c r="O103" s="10" t="str">
        <f t="shared" si="11"/>
        <v/>
      </c>
      <c r="P103" s="9" t="str">
        <f t="shared" si="12"/>
        <v/>
      </c>
      <c r="Q103" s="9" t="str">
        <f t="shared" si="13"/>
        <v/>
      </c>
      <c r="R103" s="9" t="str">
        <f t="shared" si="14"/>
        <v/>
      </c>
    </row>
    <row r="104" spans="2:18" x14ac:dyDescent="0.4">
      <c r="B104" s="24">
        <v>44498</v>
      </c>
      <c r="C104" s="5" t="s">
        <v>97</v>
      </c>
      <c r="D104" s="5"/>
      <c r="E104" s="5" t="s">
        <v>173</v>
      </c>
      <c r="F104" s="17" t="s">
        <v>183</v>
      </c>
      <c r="G104" s="19"/>
      <c r="H104" s="13">
        <v>0.1</v>
      </c>
      <c r="I104" s="10">
        <v>3</v>
      </c>
      <c r="J104" s="9">
        <v>6500</v>
      </c>
      <c r="K104" s="9">
        <f t="shared" si="5"/>
        <v>7150.0000000000009</v>
      </c>
      <c r="L104" s="9">
        <v>7980</v>
      </c>
      <c r="M104" s="9">
        <f t="shared" si="10"/>
        <v>21450.000000000004</v>
      </c>
      <c r="N104" s="10"/>
      <c r="O104" s="10" t="str">
        <f t="shared" si="11"/>
        <v/>
      </c>
      <c r="P104" s="9" t="str">
        <f t="shared" si="12"/>
        <v/>
      </c>
      <c r="Q104" s="9" t="str">
        <f t="shared" si="13"/>
        <v/>
      </c>
      <c r="R104" s="9" t="str">
        <f t="shared" si="14"/>
        <v/>
      </c>
    </row>
    <row r="105" spans="2:18" x14ac:dyDescent="0.4">
      <c r="B105" s="24">
        <v>44498</v>
      </c>
      <c r="C105" s="5" t="s">
        <v>300</v>
      </c>
      <c r="D105" s="5"/>
      <c r="E105" s="5" t="s">
        <v>186</v>
      </c>
      <c r="F105" s="17" t="s">
        <v>187</v>
      </c>
      <c r="G105" s="19" t="s">
        <v>246</v>
      </c>
      <c r="H105" s="13">
        <v>0.08</v>
      </c>
      <c r="I105" s="10"/>
      <c r="J105" s="9">
        <v>58</v>
      </c>
      <c r="K105" s="9">
        <f>J105*108%</f>
        <v>62.64</v>
      </c>
      <c r="L105" s="9"/>
      <c r="M105" s="9">
        <f t="shared" si="10"/>
        <v>0</v>
      </c>
      <c r="N105" s="10"/>
      <c r="O105" s="10" t="str">
        <f t="shared" si="11"/>
        <v/>
      </c>
      <c r="P105" s="9" t="str">
        <f t="shared" si="12"/>
        <v/>
      </c>
      <c r="Q105" s="9" t="str">
        <f t="shared" si="13"/>
        <v/>
      </c>
      <c r="R105" s="9" t="str">
        <f t="shared" si="14"/>
        <v/>
      </c>
    </row>
    <row r="106" spans="2:18" x14ac:dyDescent="0.4">
      <c r="B106" s="24">
        <v>44498</v>
      </c>
      <c r="C106" s="5" t="s">
        <v>300</v>
      </c>
      <c r="D106" s="5"/>
      <c r="E106" s="5" t="s">
        <v>186</v>
      </c>
      <c r="F106" s="17" t="s">
        <v>188</v>
      </c>
      <c r="G106" s="19" t="s">
        <v>247</v>
      </c>
      <c r="H106" s="13">
        <v>0.08</v>
      </c>
      <c r="I106" s="10"/>
      <c r="J106" s="9">
        <v>106</v>
      </c>
      <c r="K106" s="9">
        <f t="shared" ref="K106:K162" si="15">J106*108%</f>
        <v>114.48</v>
      </c>
      <c r="L106" s="9"/>
      <c r="M106" s="9">
        <f>K106*I106</f>
        <v>0</v>
      </c>
      <c r="N106" s="10"/>
      <c r="O106" s="10" t="str">
        <f t="shared" ref="O106:O152" si="16">IF(N106="","",I106-N106)</f>
        <v/>
      </c>
      <c r="P106" s="9" t="str">
        <f t="shared" ref="P106:P152" si="17">IFERROR(O106*J106,"")</f>
        <v/>
      </c>
      <c r="Q106" s="9" t="str">
        <f t="shared" ref="Q106:Q152" si="18">IFERROR(P106*O106,"")</f>
        <v/>
      </c>
      <c r="R106" s="9" t="str">
        <f t="shared" ref="R106:R152" si="19">IFERROR(Q106-P106,"")</f>
        <v/>
      </c>
    </row>
    <row r="107" spans="2:18" x14ac:dyDescent="0.4">
      <c r="B107" s="24">
        <v>44498</v>
      </c>
      <c r="C107" s="5" t="s">
        <v>300</v>
      </c>
      <c r="D107" s="5"/>
      <c r="E107" s="5" t="s">
        <v>186</v>
      </c>
      <c r="F107" s="17" t="s">
        <v>189</v>
      </c>
      <c r="G107" s="19" t="s">
        <v>248</v>
      </c>
      <c r="H107" s="13">
        <v>0.08</v>
      </c>
      <c r="I107" s="10"/>
      <c r="J107" s="9">
        <v>145</v>
      </c>
      <c r="K107" s="9">
        <f t="shared" si="15"/>
        <v>156.60000000000002</v>
      </c>
      <c r="L107" s="9"/>
      <c r="M107" s="9">
        <f t="shared" ref="M107:M152" si="20">K107*I107</f>
        <v>0</v>
      </c>
      <c r="N107" s="10"/>
      <c r="O107" s="10" t="str">
        <f t="shared" si="16"/>
        <v/>
      </c>
      <c r="P107" s="9" t="str">
        <f t="shared" si="17"/>
        <v/>
      </c>
      <c r="Q107" s="9" t="str">
        <f t="shared" si="18"/>
        <v/>
      </c>
      <c r="R107" s="9" t="str">
        <f t="shared" si="19"/>
        <v/>
      </c>
    </row>
    <row r="108" spans="2:18" x14ac:dyDescent="0.4">
      <c r="B108" s="24">
        <v>44498</v>
      </c>
      <c r="C108" s="5" t="s">
        <v>300</v>
      </c>
      <c r="D108" s="5"/>
      <c r="E108" s="5" t="s">
        <v>186</v>
      </c>
      <c r="F108" s="17" t="s">
        <v>190</v>
      </c>
      <c r="G108" s="19" t="s">
        <v>249</v>
      </c>
      <c r="H108" s="13">
        <v>0.08</v>
      </c>
      <c r="I108" s="10"/>
      <c r="J108" s="9">
        <v>318</v>
      </c>
      <c r="K108" s="9">
        <f t="shared" si="15"/>
        <v>343.44</v>
      </c>
      <c r="L108" s="9"/>
      <c r="M108" s="9">
        <f t="shared" si="20"/>
        <v>0</v>
      </c>
      <c r="N108" s="10"/>
      <c r="O108" s="10" t="str">
        <f t="shared" si="16"/>
        <v/>
      </c>
      <c r="P108" s="9" t="str">
        <f t="shared" si="17"/>
        <v/>
      </c>
      <c r="Q108" s="9" t="str">
        <f t="shared" si="18"/>
        <v/>
      </c>
      <c r="R108" s="9" t="str">
        <f t="shared" si="19"/>
        <v/>
      </c>
    </row>
    <row r="109" spans="2:18" x14ac:dyDescent="0.4">
      <c r="B109" s="24">
        <v>44498</v>
      </c>
      <c r="C109" s="5" t="s">
        <v>300</v>
      </c>
      <c r="D109" s="5"/>
      <c r="E109" s="5" t="s">
        <v>186</v>
      </c>
      <c r="F109" s="17" t="s">
        <v>191</v>
      </c>
      <c r="G109" s="19" t="s">
        <v>250</v>
      </c>
      <c r="H109" s="13">
        <v>0.08</v>
      </c>
      <c r="I109" s="10"/>
      <c r="J109" s="9">
        <v>267</v>
      </c>
      <c r="K109" s="9">
        <f t="shared" si="15"/>
        <v>288.36</v>
      </c>
      <c r="L109" s="9"/>
      <c r="M109" s="9">
        <f t="shared" si="20"/>
        <v>0</v>
      </c>
      <c r="N109" s="10"/>
      <c r="O109" s="10" t="str">
        <f t="shared" si="16"/>
        <v/>
      </c>
      <c r="P109" s="9" t="str">
        <f t="shared" si="17"/>
        <v/>
      </c>
      <c r="Q109" s="9" t="str">
        <f t="shared" si="18"/>
        <v/>
      </c>
      <c r="R109" s="9" t="str">
        <f t="shared" si="19"/>
        <v/>
      </c>
    </row>
    <row r="110" spans="2:18" x14ac:dyDescent="0.4">
      <c r="B110" s="24">
        <v>44498</v>
      </c>
      <c r="C110" s="5" t="s">
        <v>300</v>
      </c>
      <c r="D110" s="5"/>
      <c r="E110" s="5" t="s">
        <v>186</v>
      </c>
      <c r="F110" s="17" t="s">
        <v>192</v>
      </c>
      <c r="G110" s="19" t="s">
        <v>251</v>
      </c>
      <c r="H110" s="13">
        <v>0.08</v>
      </c>
      <c r="I110" s="10"/>
      <c r="J110" s="9">
        <v>77</v>
      </c>
      <c r="K110" s="9">
        <f t="shared" si="15"/>
        <v>83.160000000000011</v>
      </c>
      <c r="L110" s="9"/>
      <c r="M110" s="9">
        <f t="shared" si="20"/>
        <v>0</v>
      </c>
      <c r="N110" s="10"/>
      <c r="O110" s="10" t="str">
        <f t="shared" si="16"/>
        <v/>
      </c>
      <c r="P110" s="9" t="str">
        <f t="shared" si="17"/>
        <v/>
      </c>
      <c r="Q110" s="9" t="str">
        <f t="shared" si="18"/>
        <v/>
      </c>
      <c r="R110" s="9" t="str">
        <f t="shared" si="19"/>
        <v/>
      </c>
    </row>
    <row r="111" spans="2:18" x14ac:dyDescent="0.4">
      <c r="B111" s="24">
        <v>44498</v>
      </c>
      <c r="C111" s="5" t="s">
        <v>300</v>
      </c>
      <c r="D111" s="5"/>
      <c r="E111" s="5" t="s">
        <v>186</v>
      </c>
      <c r="F111" s="17" t="s">
        <v>193</v>
      </c>
      <c r="G111" s="19" t="s">
        <v>252</v>
      </c>
      <c r="H111" s="13">
        <v>0.08</v>
      </c>
      <c r="I111" s="10"/>
      <c r="J111" s="9">
        <v>83</v>
      </c>
      <c r="K111" s="9">
        <f t="shared" si="15"/>
        <v>89.64</v>
      </c>
      <c r="L111" s="9"/>
      <c r="M111" s="9">
        <f t="shared" si="20"/>
        <v>0</v>
      </c>
      <c r="N111" s="10"/>
      <c r="O111" s="10" t="str">
        <f t="shared" si="16"/>
        <v/>
      </c>
      <c r="P111" s="9" t="str">
        <f t="shared" si="17"/>
        <v/>
      </c>
      <c r="Q111" s="9" t="str">
        <f t="shared" si="18"/>
        <v/>
      </c>
      <c r="R111" s="9" t="str">
        <f t="shared" si="19"/>
        <v/>
      </c>
    </row>
    <row r="112" spans="2:18" x14ac:dyDescent="0.4">
      <c r="B112" s="24">
        <v>44498</v>
      </c>
      <c r="C112" s="5" t="s">
        <v>300</v>
      </c>
      <c r="D112" s="5"/>
      <c r="E112" s="5" t="s">
        <v>186</v>
      </c>
      <c r="F112" s="17" t="s">
        <v>194</v>
      </c>
      <c r="G112" s="19" t="s">
        <v>253</v>
      </c>
      <c r="H112" s="13">
        <v>0.08</v>
      </c>
      <c r="I112" s="10"/>
      <c r="J112" s="9">
        <v>69</v>
      </c>
      <c r="K112" s="9">
        <f t="shared" si="15"/>
        <v>74.52000000000001</v>
      </c>
      <c r="L112" s="9"/>
      <c r="M112" s="9">
        <f t="shared" si="20"/>
        <v>0</v>
      </c>
      <c r="N112" s="10"/>
      <c r="O112" s="10" t="str">
        <f t="shared" si="16"/>
        <v/>
      </c>
      <c r="P112" s="9" t="str">
        <f t="shared" si="17"/>
        <v/>
      </c>
      <c r="Q112" s="9" t="str">
        <f t="shared" si="18"/>
        <v/>
      </c>
      <c r="R112" s="9" t="str">
        <f t="shared" si="19"/>
        <v/>
      </c>
    </row>
    <row r="113" spans="2:18" x14ac:dyDescent="0.4">
      <c r="B113" s="24">
        <v>44498</v>
      </c>
      <c r="C113" s="5" t="s">
        <v>300</v>
      </c>
      <c r="D113" s="5"/>
      <c r="E113" s="5" t="s">
        <v>186</v>
      </c>
      <c r="F113" s="17" t="s">
        <v>195</v>
      </c>
      <c r="G113" s="19" t="s">
        <v>254</v>
      </c>
      <c r="H113" s="13">
        <v>0.08</v>
      </c>
      <c r="I113" s="10"/>
      <c r="J113" s="9">
        <v>69</v>
      </c>
      <c r="K113" s="9">
        <f t="shared" si="15"/>
        <v>74.52000000000001</v>
      </c>
      <c r="L113" s="9"/>
      <c r="M113" s="9">
        <f t="shared" si="20"/>
        <v>0</v>
      </c>
      <c r="N113" s="10"/>
      <c r="O113" s="10" t="str">
        <f t="shared" si="16"/>
        <v/>
      </c>
      <c r="P113" s="9" t="str">
        <f t="shared" si="17"/>
        <v/>
      </c>
      <c r="Q113" s="9" t="str">
        <f t="shared" si="18"/>
        <v/>
      </c>
      <c r="R113" s="9" t="str">
        <f t="shared" si="19"/>
        <v/>
      </c>
    </row>
    <row r="114" spans="2:18" x14ac:dyDescent="0.4">
      <c r="B114" s="24">
        <v>44498</v>
      </c>
      <c r="C114" s="5" t="s">
        <v>300</v>
      </c>
      <c r="D114" s="5"/>
      <c r="E114" s="5" t="s">
        <v>186</v>
      </c>
      <c r="F114" s="17" t="s">
        <v>196</v>
      </c>
      <c r="G114" s="19" t="s">
        <v>255</v>
      </c>
      <c r="H114" s="13">
        <v>0.08</v>
      </c>
      <c r="I114" s="10"/>
      <c r="J114" s="9">
        <v>63</v>
      </c>
      <c r="K114" s="9">
        <f t="shared" si="15"/>
        <v>68.040000000000006</v>
      </c>
      <c r="L114" s="9"/>
      <c r="M114" s="9">
        <f t="shared" si="20"/>
        <v>0</v>
      </c>
      <c r="N114" s="10"/>
      <c r="O114" s="10" t="str">
        <f t="shared" si="16"/>
        <v/>
      </c>
      <c r="P114" s="9" t="str">
        <f t="shared" si="17"/>
        <v/>
      </c>
      <c r="Q114" s="9" t="str">
        <f t="shared" si="18"/>
        <v/>
      </c>
      <c r="R114" s="9" t="str">
        <f t="shared" si="19"/>
        <v/>
      </c>
    </row>
    <row r="115" spans="2:18" x14ac:dyDescent="0.4">
      <c r="B115" s="24">
        <v>44498</v>
      </c>
      <c r="C115" s="5" t="s">
        <v>300</v>
      </c>
      <c r="D115" s="5"/>
      <c r="E115" s="5" t="s">
        <v>186</v>
      </c>
      <c r="F115" s="17" t="s">
        <v>197</v>
      </c>
      <c r="G115" s="19" t="s">
        <v>256</v>
      </c>
      <c r="H115" s="13">
        <v>0.08</v>
      </c>
      <c r="I115" s="10"/>
      <c r="J115" s="9">
        <v>65</v>
      </c>
      <c r="K115" s="9">
        <f t="shared" si="15"/>
        <v>70.2</v>
      </c>
      <c r="L115" s="9"/>
      <c r="M115" s="9">
        <f t="shared" si="20"/>
        <v>0</v>
      </c>
      <c r="N115" s="10"/>
      <c r="O115" s="10" t="str">
        <f t="shared" si="16"/>
        <v/>
      </c>
      <c r="P115" s="9" t="str">
        <f t="shared" si="17"/>
        <v/>
      </c>
      <c r="Q115" s="9" t="str">
        <f t="shared" si="18"/>
        <v/>
      </c>
      <c r="R115" s="9" t="str">
        <f t="shared" si="19"/>
        <v/>
      </c>
    </row>
    <row r="116" spans="2:18" x14ac:dyDescent="0.4">
      <c r="B116" s="24">
        <v>44498</v>
      </c>
      <c r="C116" s="5" t="s">
        <v>300</v>
      </c>
      <c r="D116" s="5"/>
      <c r="E116" s="5" t="s">
        <v>186</v>
      </c>
      <c r="F116" s="17" t="s">
        <v>198</v>
      </c>
      <c r="G116" s="19" t="s">
        <v>257</v>
      </c>
      <c r="H116" s="13">
        <v>0.1</v>
      </c>
      <c r="I116" s="10"/>
      <c r="J116" s="9">
        <v>52</v>
      </c>
      <c r="K116" s="9">
        <f>J116*110%</f>
        <v>57.2</v>
      </c>
      <c r="L116" s="9"/>
      <c r="M116" s="9">
        <f t="shared" si="20"/>
        <v>0</v>
      </c>
      <c r="N116" s="10"/>
      <c r="O116" s="10" t="str">
        <f t="shared" si="16"/>
        <v/>
      </c>
      <c r="P116" s="9" t="str">
        <f t="shared" si="17"/>
        <v/>
      </c>
      <c r="Q116" s="9" t="str">
        <f t="shared" si="18"/>
        <v/>
      </c>
      <c r="R116" s="9" t="str">
        <f t="shared" si="19"/>
        <v/>
      </c>
    </row>
    <row r="117" spans="2:18" x14ac:dyDescent="0.4">
      <c r="B117" s="24">
        <v>44498</v>
      </c>
      <c r="C117" s="5" t="s">
        <v>300</v>
      </c>
      <c r="D117" s="5"/>
      <c r="E117" s="5" t="s">
        <v>186</v>
      </c>
      <c r="F117" s="17" t="s">
        <v>199</v>
      </c>
      <c r="G117" s="19" t="s">
        <v>258</v>
      </c>
      <c r="H117" s="13">
        <v>0.08</v>
      </c>
      <c r="I117" s="10"/>
      <c r="J117" s="9">
        <v>35</v>
      </c>
      <c r="K117" s="9">
        <f t="shared" si="15"/>
        <v>37.800000000000004</v>
      </c>
      <c r="L117" s="9"/>
      <c r="M117" s="9">
        <f t="shared" si="20"/>
        <v>0</v>
      </c>
      <c r="N117" s="10"/>
      <c r="O117" s="10" t="str">
        <f t="shared" si="16"/>
        <v/>
      </c>
      <c r="P117" s="9" t="str">
        <f t="shared" si="17"/>
        <v/>
      </c>
      <c r="Q117" s="9" t="str">
        <f t="shared" si="18"/>
        <v/>
      </c>
      <c r="R117" s="9" t="str">
        <f t="shared" si="19"/>
        <v/>
      </c>
    </row>
    <row r="118" spans="2:18" x14ac:dyDescent="0.4">
      <c r="B118" s="24">
        <v>44498</v>
      </c>
      <c r="C118" s="5" t="s">
        <v>300</v>
      </c>
      <c r="D118" s="5"/>
      <c r="E118" s="5" t="s">
        <v>186</v>
      </c>
      <c r="F118" s="17" t="s">
        <v>200</v>
      </c>
      <c r="G118" s="19" t="s">
        <v>259</v>
      </c>
      <c r="H118" s="13">
        <v>0.08</v>
      </c>
      <c r="I118" s="10"/>
      <c r="J118" s="9">
        <v>79</v>
      </c>
      <c r="K118" s="9">
        <f t="shared" si="15"/>
        <v>85.320000000000007</v>
      </c>
      <c r="L118" s="9"/>
      <c r="M118" s="9">
        <f t="shared" si="20"/>
        <v>0</v>
      </c>
      <c r="N118" s="10"/>
      <c r="O118" s="10" t="str">
        <f t="shared" si="16"/>
        <v/>
      </c>
      <c r="P118" s="9" t="str">
        <f t="shared" si="17"/>
        <v/>
      </c>
      <c r="Q118" s="9" t="str">
        <f t="shared" si="18"/>
        <v/>
      </c>
      <c r="R118" s="9" t="str">
        <f t="shared" si="19"/>
        <v/>
      </c>
    </row>
    <row r="119" spans="2:18" x14ac:dyDescent="0.4">
      <c r="B119" s="24">
        <v>44498</v>
      </c>
      <c r="C119" s="5" t="s">
        <v>300</v>
      </c>
      <c r="D119" s="5"/>
      <c r="E119" s="5" t="s">
        <v>186</v>
      </c>
      <c r="F119" s="17" t="s">
        <v>201</v>
      </c>
      <c r="G119" s="19" t="s">
        <v>260</v>
      </c>
      <c r="H119" s="13">
        <v>0.08</v>
      </c>
      <c r="I119" s="10"/>
      <c r="J119" s="9">
        <v>65</v>
      </c>
      <c r="K119" s="9">
        <f t="shared" si="15"/>
        <v>70.2</v>
      </c>
      <c r="L119" s="9"/>
      <c r="M119" s="9">
        <f t="shared" si="20"/>
        <v>0</v>
      </c>
      <c r="N119" s="10"/>
      <c r="O119" s="10" t="str">
        <f t="shared" si="16"/>
        <v/>
      </c>
      <c r="P119" s="9" t="str">
        <f t="shared" si="17"/>
        <v/>
      </c>
      <c r="Q119" s="9" t="str">
        <f t="shared" si="18"/>
        <v/>
      </c>
      <c r="R119" s="9" t="str">
        <f t="shared" si="19"/>
        <v/>
      </c>
    </row>
    <row r="120" spans="2:18" x14ac:dyDescent="0.4">
      <c r="B120" s="24">
        <v>44498</v>
      </c>
      <c r="C120" s="5" t="s">
        <v>300</v>
      </c>
      <c r="D120" s="5"/>
      <c r="E120" s="5" t="s">
        <v>186</v>
      </c>
      <c r="F120" s="17" t="s">
        <v>202</v>
      </c>
      <c r="G120" s="19" t="s">
        <v>261</v>
      </c>
      <c r="H120" s="13">
        <v>0.08</v>
      </c>
      <c r="I120" s="10"/>
      <c r="J120" s="9">
        <v>70</v>
      </c>
      <c r="K120" s="9">
        <f t="shared" si="15"/>
        <v>75.600000000000009</v>
      </c>
      <c r="L120" s="9"/>
      <c r="M120" s="9">
        <f t="shared" si="20"/>
        <v>0</v>
      </c>
      <c r="N120" s="10"/>
      <c r="O120" s="10" t="str">
        <f t="shared" si="16"/>
        <v/>
      </c>
      <c r="P120" s="9" t="str">
        <f t="shared" si="17"/>
        <v/>
      </c>
      <c r="Q120" s="9" t="str">
        <f t="shared" si="18"/>
        <v/>
      </c>
      <c r="R120" s="9" t="str">
        <f t="shared" si="19"/>
        <v/>
      </c>
    </row>
    <row r="121" spans="2:18" x14ac:dyDescent="0.4">
      <c r="B121" s="24">
        <v>44498</v>
      </c>
      <c r="C121" s="5" t="s">
        <v>300</v>
      </c>
      <c r="D121" s="5"/>
      <c r="E121" s="5" t="s">
        <v>186</v>
      </c>
      <c r="F121" s="17" t="s">
        <v>203</v>
      </c>
      <c r="G121" s="19">
        <v>49780741</v>
      </c>
      <c r="H121" s="13">
        <v>0.08</v>
      </c>
      <c r="I121" s="10"/>
      <c r="J121" s="9">
        <v>50.15</v>
      </c>
      <c r="K121" s="9">
        <f t="shared" si="15"/>
        <v>54.161999999999999</v>
      </c>
      <c r="L121" s="9"/>
      <c r="M121" s="9">
        <f t="shared" si="20"/>
        <v>0</v>
      </c>
      <c r="N121" s="10"/>
      <c r="O121" s="10" t="str">
        <f t="shared" si="16"/>
        <v/>
      </c>
      <c r="P121" s="9" t="str">
        <f t="shared" si="17"/>
        <v/>
      </c>
      <c r="Q121" s="9" t="str">
        <f t="shared" si="18"/>
        <v/>
      </c>
      <c r="R121" s="9" t="str">
        <f t="shared" si="19"/>
        <v/>
      </c>
    </row>
    <row r="122" spans="2:18" x14ac:dyDescent="0.4">
      <c r="B122" s="24">
        <v>44498</v>
      </c>
      <c r="C122" s="5" t="s">
        <v>300</v>
      </c>
      <c r="D122" s="5"/>
      <c r="E122" s="5" t="s">
        <v>186</v>
      </c>
      <c r="F122" s="17" t="s">
        <v>204</v>
      </c>
      <c r="G122" s="19" t="s">
        <v>262</v>
      </c>
      <c r="H122" s="13">
        <v>0.08</v>
      </c>
      <c r="I122" s="10"/>
      <c r="J122" s="9">
        <v>50</v>
      </c>
      <c r="K122" s="9">
        <f t="shared" si="15"/>
        <v>54</v>
      </c>
      <c r="L122" s="9"/>
      <c r="M122" s="9">
        <f t="shared" si="20"/>
        <v>0</v>
      </c>
      <c r="N122" s="10"/>
      <c r="O122" s="10" t="str">
        <f t="shared" si="16"/>
        <v/>
      </c>
      <c r="P122" s="9" t="str">
        <f t="shared" si="17"/>
        <v/>
      </c>
      <c r="Q122" s="9" t="str">
        <f t="shared" si="18"/>
        <v/>
      </c>
      <c r="R122" s="9" t="str">
        <f t="shared" si="19"/>
        <v/>
      </c>
    </row>
    <row r="123" spans="2:18" x14ac:dyDescent="0.4">
      <c r="B123" s="24">
        <v>44498</v>
      </c>
      <c r="C123" s="5" t="s">
        <v>300</v>
      </c>
      <c r="D123" s="5"/>
      <c r="E123" s="5" t="s">
        <v>186</v>
      </c>
      <c r="F123" s="17" t="s">
        <v>205</v>
      </c>
      <c r="G123" s="19" t="s">
        <v>263</v>
      </c>
      <c r="H123" s="13">
        <v>0.08</v>
      </c>
      <c r="I123" s="10"/>
      <c r="J123" s="9">
        <v>69</v>
      </c>
      <c r="K123" s="9">
        <f t="shared" si="15"/>
        <v>74.52000000000001</v>
      </c>
      <c r="L123" s="9"/>
      <c r="M123" s="9">
        <f t="shared" si="20"/>
        <v>0</v>
      </c>
      <c r="N123" s="10"/>
      <c r="O123" s="10" t="str">
        <f t="shared" si="16"/>
        <v/>
      </c>
      <c r="P123" s="9" t="str">
        <f t="shared" si="17"/>
        <v/>
      </c>
      <c r="Q123" s="9" t="str">
        <f t="shared" si="18"/>
        <v/>
      </c>
      <c r="R123" s="9" t="str">
        <f t="shared" si="19"/>
        <v/>
      </c>
    </row>
    <row r="124" spans="2:18" x14ac:dyDescent="0.4">
      <c r="B124" s="24">
        <v>44498</v>
      </c>
      <c r="C124" s="5" t="s">
        <v>300</v>
      </c>
      <c r="D124" s="5"/>
      <c r="E124" s="5" t="s">
        <v>186</v>
      </c>
      <c r="F124" s="17" t="s">
        <v>206</v>
      </c>
      <c r="G124" s="19" t="s">
        <v>264</v>
      </c>
      <c r="H124" s="13">
        <v>0.08</v>
      </c>
      <c r="I124" s="10"/>
      <c r="J124" s="9">
        <v>72</v>
      </c>
      <c r="K124" s="9">
        <f t="shared" si="15"/>
        <v>77.760000000000005</v>
      </c>
      <c r="L124" s="9"/>
      <c r="M124" s="9">
        <f t="shared" si="20"/>
        <v>0</v>
      </c>
      <c r="N124" s="10"/>
      <c r="O124" s="10" t="str">
        <f t="shared" si="16"/>
        <v/>
      </c>
      <c r="P124" s="9" t="str">
        <f t="shared" si="17"/>
        <v/>
      </c>
      <c r="Q124" s="9" t="str">
        <f t="shared" si="18"/>
        <v/>
      </c>
      <c r="R124" s="9" t="str">
        <f t="shared" si="19"/>
        <v/>
      </c>
    </row>
    <row r="125" spans="2:18" x14ac:dyDescent="0.4">
      <c r="B125" s="24">
        <v>44498</v>
      </c>
      <c r="C125" s="5" t="s">
        <v>300</v>
      </c>
      <c r="D125" s="5"/>
      <c r="E125" s="5" t="s">
        <v>186</v>
      </c>
      <c r="F125" s="17" t="s">
        <v>207</v>
      </c>
      <c r="G125" s="19" t="s">
        <v>265</v>
      </c>
      <c r="H125" s="13">
        <v>0.08</v>
      </c>
      <c r="I125" s="10"/>
      <c r="J125" s="9">
        <v>78</v>
      </c>
      <c r="K125" s="9">
        <f t="shared" si="15"/>
        <v>84.240000000000009</v>
      </c>
      <c r="L125" s="9"/>
      <c r="M125" s="9">
        <f t="shared" si="20"/>
        <v>0</v>
      </c>
      <c r="N125" s="10"/>
      <c r="O125" s="10" t="str">
        <f t="shared" si="16"/>
        <v/>
      </c>
      <c r="P125" s="9" t="str">
        <f t="shared" si="17"/>
        <v/>
      </c>
      <c r="Q125" s="9" t="str">
        <f t="shared" si="18"/>
        <v/>
      </c>
      <c r="R125" s="9" t="str">
        <f t="shared" si="19"/>
        <v/>
      </c>
    </row>
    <row r="126" spans="2:18" x14ac:dyDescent="0.4">
      <c r="B126" s="24">
        <v>44498</v>
      </c>
      <c r="C126" s="5" t="s">
        <v>300</v>
      </c>
      <c r="D126" s="5"/>
      <c r="E126" s="5" t="s">
        <v>186</v>
      </c>
      <c r="F126" s="17" t="s">
        <v>208</v>
      </c>
      <c r="G126" s="19" t="s">
        <v>266</v>
      </c>
      <c r="H126" s="13">
        <v>0.08</v>
      </c>
      <c r="I126" s="10"/>
      <c r="J126" s="9">
        <v>153</v>
      </c>
      <c r="K126" s="9">
        <f t="shared" si="15"/>
        <v>165.24</v>
      </c>
      <c r="L126" s="9"/>
      <c r="M126" s="9">
        <f t="shared" si="20"/>
        <v>0</v>
      </c>
      <c r="N126" s="10"/>
      <c r="O126" s="10" t="str">
        <f t="shared" si="16"/>
        <v/>
      </c>
      <c r="P126" s="9" t="str">
        <f t="shared" si="17"/>
        <v/>
      </c>
      <c r="Q126" s="9" t="str">
        <f t="shared" si="18"/>
        <v/>
      </c>
      <c r="R126" s="9" t="str">
        <f t="shared" si="19"/>
        <v/>
      </c>
    </row>
    <row r="127" spans="2:18" x14ac:dyDescent="0.4">
      <c r="B127" s="24">
        <v>44498</v>
      </c>
      <c r="C127" s="5" t="s">
        <v>300</v>
      </c>
      <c r="D127" s="5"/>
      <c r="E127" s="5" t="s">
        <v>186</v>
      </c>
      <c r="F127" s="17" t="s">
        <v>209</v>
      </c>
      <c r="G127" s="19" t="s">
        <v>267</v>
      </c>
      <c r="H127" s="13">
        <v>0.08</v>
      </c>
      <c r="I127" s="10"/>
      <c r="J127" s="9">
        <v>225</v>
      </c>
      <c r="K127" s="9">
        <f t="shared" si="15"/>
        <v>243.00000000000003</v>
      </c>
      <c r="L127" s="9"/>
      <c r="M127" s="9">
        <f t="shared" si="20"/>
        <v>0</v>
      </c>
      <c r="N127" s="10"/>
      <c r="O127" s="10" t="str">
        <f t="shared" si="16"/>
        <v/>
      </c>
      <c r="P127" s="9" t="str">
        <f t="shared" si="17"/>
        <v/>
      </c>
      <c r="Q127" s="9" t="str">
        <f t="shared" si="18"/>
        <v/>
      </c>
      <c r="R127" s="9" t="str">
        <f t="shared" si="19"/>
        <v/>
      </c>
    </row>
    <row r="128" spans="2:18" x14ac:dyDescent="0.4">
      <c r="B128" s="24">
        <v>44498</v>
      </c>
      <c r="C128" s="5" t="s">
        <v>300</v>
      </c>
      <c r="D128" s="5"/>
      <c r="E128" s="5" t="s">
        <v>186</v>
      </c>
      <c r="F128" s="17" t="s">
        <v>210</v>
      </c>
      <c r="G128" s="19" t="s">
        <v>269</v>
      </c>
      <c r="H128" s="13">
        <v>0.08</v>
      </c>
      <c r="I128" s="10"/>
      <c r="J128" s="9">
        <v>142</v>
      </c>
      <c r="K128" s="9">
        <f t="shared" si="15"/>
        <v>153.36000000000001</v>
      </c>
      <c r="L128" s="9"/>
      <c r="M128" s="9">
        <f t="shared" si="20"/>
        <v>0</v>
      </c>
      <c r="N128" s="10"/>
      <c r="O128" s="10" t="str">
        <f t="shared" si="16"/>
        <v/>
      </c>
      <c r="P128" s="9" t="str">
        <f t="shared" si="17"/>
        <v/>
      </c>
      <c r="Q128" s="9" t="str">
        <f t="shared" si="18"/>
        <v/>
      </c>
      <c r="R128" s="9" t="str">
        <f t="shared" si="19"/>
        <v/>
      </c>
    </row>
    <row r="129" spans="2:18" x14ac:dyDescent="0.4">
      <c r="B129" s="24">
        <v>44498</v>
      </c>
      <c r="C129" s="5" t="s">
        <v>300</v>
      </c>
      <c r="D129" s="5"/>
      <c r="E129" s="5" t="s">
        <v>186</v>
      </c>
      <c r="F129" s="17" t="s">
        <v>211</v>
      </c>
      <c r="G129" s="19" t="s">
        <v>268</v>
      </c>
      <c r="H129" s="13">
        <v>0.08</v>
      </c>
      <c r="I129" s="10"/>
      <c r="J129" s="9">
        <v>172</v>
      </c>
      <c r="K129" s="9">
        <f t="shared" si="15"/>
        <v>185.76000000000002</v>
      </c>
      <c r="L129" s="9"/>
      <c r="M129" s="9">
        <f t="shared" si="20"/>
        <v>0</v>
      </c>
      <c r="N129" s="10"/>
      <c r="O129" s="10" t="str">
        <f t="shared" si="16"/>
        <v/>
      </c>
      <c r="P129" s="9" t="str">
        <f t="shared" si="17"/>
        <v/>
      </c>
      <c r="Q129" s="9" t="str">
        <f t="shared" si="18"/>
        <v/>
      </c>
      <c r="R129" s="9" t="str">
        <f t="shared" si="19"/>
        <v/>
      </c>
    </row>
    <row r="130" spans="2:18" x14ac:dyDescent="0.4">
      <c r="B130" s="24">
        <v>44498</v>
      </c>
      <c r="C130" s="5" t="s">
        <v>300</v>
      </c>
      <c r="D130" s="5"/>
      <c r="E130" s="5" t="s">
        <v>186</v>
      </c>
      <c r="F130" s="17" t="s">
        <v>212</v>
      </c>
      <c r="G130" s="19">
        <v>49840292</v>
      </c>
      <c r="H130" s="13">
        <v>0.08</v>
      </c>
      <c r="I130" s="10"/>
      <c r="J130" s="9">
        <v>146</v>
      </c>
      <c r="K130" s="9">
        <f t="shared" si="15"/>
        <v>157.68</v>
      </c>
      <c r="L130" s="9"/>
      <c r="M130" s="9">
        <f t="shared" si="20"/>
        <v>0</v>
      </c>
      <c r="N130" s="10"/>
      <c r="O130" s="10" t="str">
        <f t="shared" si="16"/>
        <v/>
      </c>
      <c r="P130" s="9" t="str">
        <f t="shared" si="17"/>
        <v/>
      </c>
      <c r="Q130" s="9" t="str">
        <f t="shared" si="18"/>
        <v/>
      </c>
      <c r="R130" s="9" t="str">
        <f t="shared" si="19"/>
        <v/>
      </c>
    </row>
    <row r="131" spans="2:18" x14ac:dyDescent="0.4">
      <c r="B131" s="24">
        <v>44498</v>
      </c>
      <c r="C131" s="5" t="s">
        <v>300</v>
      </c>
      <c r="D131" s="5"/>
      <c r="E131" s="5" t="s">
        <v>186</v>
      </c>
      <c r="F131" s="17" t="s">
        <v>213</v>
      </c>
      <c r="G131" s="19" t="s">
        <v>270</v>
      </c>
      <c r="H131" s="13">
        <v>0.08</v>
      </c>
      <c r="I131" s="10"/>
      <c r="J131" s="9">
        <v>57</v>
      </c>
      <c r="K131" s="9">
        <f t="shared" si="15"/>
        <v>61.56</v>
      </c>
      <c r="L131" s="9"/>
      <c r="M131" s="9">
        <f t="shared" si="20"/>
        <v>0</v>
      </c>
      <c r="N131" s="10"/>
      <c r="O131" s="10" t="str">
        <f t="shared" si="16"/>
        <v/>
      </c>
      <c r="P131" s="9" t="str">
        <f t="shared" si="17"/>
        <v/>
      </c>
      <c r="Q131" s="9" t="str">
        <f t="shared" si="18"/>
        <v/>
      </c>
      <c r="R131" s="9" t="str">
        <f t="shared" si="19"/>
        <v/>
      </c>
    </row>
    <row r="132" spans="2:18" x14ac:dyDescent="0.4">
      <c r="B132" s="24">
        <v>44498</v>
      </c>
      <c r="C132" s="5" t="s">
        <v>300</v>
      </c>
      <c r="D132" s="5"/>
      <c r="E132" s="5" t="s">
        <v>186</v>
      </c>
      <c r="F132" s="17" t="s">
        <v>214</v>
      </c>
      <c r="G132" s="19" t="s">
        <v>271</v>
      </c>
      <c r="H132" s="13">
        <v>0.08</v>
      </c>
      <c r="I132" s="10"/>
      <c r="J132" s="9">
        <v>99</v>
      </c>
      <c r="K132" s="9">
        <f t="shared" si="15"/>
        <v>106.92</v>
      </c>
      <c r="L132" s="9"/>
      <c r="M132" s="9">
        <f t="shared" si="20"/>
        <v>0</v>
      </c>
      <c r="N132" s="10"/>
      <c r="O132" s="10" t="str">
        <f t="shared" si="16"/>
        <v/>
      </c>
      <c r="P132" s="9" t="str">
        <f t="shared" si="17"/>
        <v/>
      </c>
      <c r="Q132" s="9" t="str">
        <f t="shared" si="18"/>
        <v/>
      </c>
      <c r="R132" s="9" t="str">
        <f t="shared" si="19"/>
        <v/>
      </c>
    </row>
    <row r="133" spans="2:18" x14ac:dyDescent="0.4">
      <c r="B133" s="24">
        <v>44498</v>
      </c>
      <c r="C133" s="5" t="s">
        <v>300</v>
      </c>
      <c r="D133" s="5"/>
      <c r="E133" s="5" t="s">
        <v>186</v>
      </c>
      <c r="F133" s="17" t="s">
        <v>215</v>
      </c>
      <c r="G133" s="19" t="s">
        <v>272</v>
      </c>
      <c r="H133" s="13">
        <v>0.08</v>
      </c>
      <c r="I133" s="10"/>
      <c r="J133" s="9">
        <v>99</v>
      </c>
      <c r="K133" s="9">
        <f t="shared" si="15"/>
        <v>106.92</v>
      </c>
      <c r="L133" s="9"/>
      <c r="M133" s="9">
        <f t="shared" si="20"/>
        <v>0</v>
      </c>
      <c r="N133" s="10"/>
      <c r="O133" s="10" t="str">
        <f t="shared" si="16"/>
        <v/>
      </c>
      <c r="P133" s="9" t="str">
        <f t="shared" si="17"/>
        <v/>
      </c>
      <c r="Q133" s="9" t="str">
        <f t="shared" si="18"/>
        <v/>
      </c>
      <c r="R133" s="9" t="str">
        <f t="shared" si="19"/>
        <v/>
      </c>
    </row>
    <row r="134" spans="2:18" x14ac:dyDescent="0.4">
      <c r="B134" s="24">
        <v>44498</v>
      </c>
      <c r="C134" s="5" t="s">
        <v>300</v>
      </c>
      <c r="D134" s="5"/>
      <c r="E134" s="5" t="s">
        <v>186</v>
      </c>
      <c r="F134" s="17" t="s">
        <v>216</v>
      </c>
      <c r="G134" s="19" t="s">
        <v>273</v>
      </c>
      <c r="H134" s="13">
        <v>0.08</v>
      </c>
      <c r="I134" s="10"/>
      <c r="J134" s="9">
        <v>60</v>
      </c>
      <c r="K134" s="9">
        <f t="shared" si="15"/>
        <v>64.800000000000011</v>
      </c>
      <c r="L134" s="9"/>
      <c r="M134" s="9">
        <f t="shared" si="20"/>
        <v>0</v>
      </c>
      <c r="N134" s="10"/>
      <c r="O134" s="10" t="str">
        <f t="shared" si="16"/>
        <v/>
      </c>
      <c r="P134" s="9" t="str">
        <f t="shared" si="17"/>
        <v/>
      </c>
      <c r="Q134" s="9" t="str">
        <f t="shared" si="18"/>
        <v/>
      </c>
      <c r="R134" s="9" t="str">
        <f t="shared" si="19"/>
        <v/>
      </c>
    </row>
    <row r="135" spans="2:18" x14ac:dyDescent="0.4">
      <c r="B135" s="24">
        <v>44498</v>
      </c>
      <c r="C135" s="5" t="s">
        <v>300</v>
      </c>
      <c r="D135" s="5"/>
      <c r="E135" s="5" t="s">
        <v>186</v>
      </c>
      <c r="F135" s="17" t="s">
        <v>217</v>
      </c>
      <c r="G135" s="19" t="s">
        <v>274</v>
      </c>
      <c r="H135" s="13">
        <v>0.08</v>
      </c>
      <c r="I135" s="10"/>
      <c r="J135" s="9">
        <v>102</v>
      </c>
      <c r="K135" s="9">
        <f t="shared" si="15"/>
        <v>110.16000000000001</v>
      </c>
      <c r="L135" s="9"/>
      <c r="M135" s="9">
        <f t="shared" si="20"/>
        <v>0</v>
      </c>
      <c r="N135" s="10"/>
      <c r="O135" s="10" t="str">
        <f t="shared" si="16"/>
        <v/>
      </c>
      <c r="P135" s="9" t="str">
        <f t="shared" si="17"/>
        <v/>
      </c>
      <c r="Q135" s="9" t="str">
        <f t="shared" si="18"/>
        <v/>
      </c>
      <c r="R135" s="9" t="str">
        <f t="shared" si="19"/>
        <v/>
      </c>
    </row>
    <row r="136" spans="2:18" x14ac:dyDescent="0.4">
      <c r="B136" s="24">
        <v>44498</v>
      </c>
      <c r="C136" s="5" t="s">
        <v>300</v>
      </c>
      <c r="D136" s="5"/>
      <c r="E136" s="5" t="s">
        <v>186</v>
      </c>
      <c r="F136" s="17" t="s">
        <v>218</v>
      </c>
      <c r="G136" s="19" t="s">
        <v>275</v>
      </c>
      <c r="H136" s="13">
        <v>0.08</v>
      </c>
      <c r="I136" s="10"/>
      <c r="J136" s="9">
        <v>63</v>
      </c>
      <c r="K136" s="9">
        <f t="shared" si="15"/>
        <v>68.040000000000006</v>
      </c>
      <c r="L136" s="9"/>
      <c r="M136" s="9">
        <f t="shared" si="20"/>
        <v>0</v>
      </c>
      <c r="N136" s="10"/>
      <c r="O136" s="10" t="str">
        <f t="shared" si="16"/>
        <v/>
      </c>
      <c r="P136" s="9" t="str">
        <f t="shared" si="17"/>
        <v/>
      </c>
      <c r="Q136" s="9" t="str">
        <f t="shared" si="18"/>
        <v/>
      </c>
      <c r="R136" s="9" t="str">
        <f t="shared" si="19"/>
        <v/>
      </c>
    </row>
    <row r="137" spans="2:18" x14ac:dyDescent="0.4">
      <c r="B137" s="24">
        <v>44498</v>
      </c>
      <c r="C137" s="5" t="s">
        <v>300</v>
      </c>
      <c r="D137" s="5"/>
      <c r="E137" s="5" t="s">
        <v>186</v>
      </c>
      <c r="F137" s="17" t="s">
        <v>219</v>
      </c>
      <c r="G137" s="19" t="s">
        <v>276</v>
      </c>
      <c r="H137" s="13">
        <v>0.08</v>
      </c>
      <c r="I137" s="10"/>
      <c r="J137" s="9">
        <v>69</v>
      </c>
      <c r="K137" s="9">
        <f t="shared" si="15"/>
        <v>74.52000000000001</v>
      </c>
      <c r="L137" s="9"/>
      <c r="M137" s="9">
        <f t="shared" si="20"/>
        <v>0</v>
      </c>
      <c r="N137" s="10"/>
      <c r="O137" s="10" t="str">
        <f t="shared" si="16"/>
        <v/>
      </c>
      <c r="P137" s="9" t="str">
        <f t="shared" si="17"/>
        <v/>
      </c>
      <c r="Q137" s="9" t="str">
        <f t="shared" si="18"/>
        <v/>
      </c>
      <c r="R137" s="9" t="str">
        <f t="shared" si="19"/>
        <v/>
      </c>
    </row>
    <row r="138" spans="2:18" x14ac:dyDescent="0.4">
      <c r="B138" s="24">
        <v>44498</v>
      </c>
      <c r="C138" s="5" t="s">
        <v>300</v>
      </c>
      <c r="D138" s="5"/>
      <c r="E138" s="5" t="s">
        <v>186</v>
      </c>
      <c r="F138" s="17" t="s">
        <v>220</v>
      </c>
      <c r="G138" s="19">
        <v>49698640</v>
      </c>
      <c r="H138" s="13">
        <v>0.08</v>
      </c>
      <c r="I138" s="10"/>
      <c r="J138" s="9">
        <v>126</v>
      </c>
      <c r="K138" s="9">
        <f t="shared" si="15"/>
        <v>136.08000000000001</v>
      </c>
      <c r="L138" s="9"/>
      <c r="M138" s="9">
        <f t="shared" si="20"/>
        <v>0</v>
      </c>
      <c r="N138" s="10"/>
      <c r="O138" s="10" t="str">
        <f t="shared" si="16"/>
        <v/>
      </c>
      <c r="P138" s="9" t="str">
        <f t="shared" si="17"/>
        <v/>
      </c>
      <c r="Q138" s="9" t="str">
        <f t="shared" si="18"/>
        <v/>
      </c>
      <c r="R138" s="9" t="str">
        <f t="shared" si="19"/>
        <v/>
      </c>
    </row>
    <row r="139" spans="2:18" x14ac:dyDescent="0.4">
      <c r="B139" s="24">
        <v>44498</v>
      </c>
      <c r="C139" s="5" t="s">
        <v>300</v>
      </c>
      <c r="D139" s="5"/>
      <c r="E139" s="5" t="s">
        <v>186</v>
      </c>
      <c r="F139" s="17" t="s">
        <v>221</v>
      </c>
      <c r="G139" s="19">
        <v>49698626</v>
      </c>
      <c r="H139" s="13">
        <v>0.08</v>
      </c>
      <c r="I139" s="10"/>
      <c r="J139" s="9">
        <v>126</v>
      </c>
      <c r="K139" s="9">
        <f t="shared" si="15"/>
        <v>136.08000000000001</v>
      </c>
      <c r="L139" s="9"/>
      <c r="M139" s="9">
        <f t="shared" si="20"/>
        <v>0</v>
      </c>
      <c r="N139" s="10"/>
      <c r="O139" s="10" t="str">
        <f t="shared" si="16"/>
        <v/>
      </c>
      <c r="P139" s="9" t="str">
        <f t="shared" si="17"/>
        <v/>
      </c>
      <c r="Q139" s="9" t="str">
        <f t="shared" si="18"/>
        <v/>
      </c>
      <c r="R139" s="9" t="str">
        <f t="shared" si="19"/>
        <v/>
      </c>
    </row>
    <row r="140" spans="2:18" x14ac:dyDescent="0.4">
      <c r="B140" s="24">
        <v>44498</v>
      </c>
      <c r="C140" s="5" t="s">
        <v>300</v>
      </c>
      <c r="D140" s="5"/>
      <c r="E140" s="5" t="s">
        <v>186</v>
      </c>
      <c r="F140" s="17" t="s">
        <v>222</v>
      </c>
      <c r="G140" s="19">
        <v>49698633</v>
      </c>
      <c r="H140" s="13">
        <v>0.08</v>
      </c>
      <c r="I140" s="10"/>
      <c r="J140" s="9">
        <v>126</v>
      </c>
      <c r="K140" s="9">
        <f t="shared" si="15"/>
        <v>136.08000000000001</v>
      </c>
      <c r="L140" s="9"/>
      <c r="M140" s="9">
        <f t="shared" si="20"/>
        <v>0</v>
      </c>
      <c r="N140" s="10"/>
      <c r="O140" s="10" t="str">
        <f t="shared" si="16"/>
        <v/>
      </c>
      <c r="P140" s="9" t="str">
        <f t="shared" si="17"/>
        <v/>
      </c>
      <c r="Q140" s="9" t="str">
        <f t="shared" si="18"/>
        <v/>
      </c>
      <c r="R140" s="9" t="str">
        <f t="shared" si="19"/>
        <v/>
      </c>
    </row>
    <row r="141" spans="2:18" x14ac:dyDescent="0.4">
      <c r="B141" s="24">
        <v>44498</v>
      </c>
      <c r="C141" s="5" t="s">
        <v>300</v>
      </c>
      <c r="D141" s="5"/>
      <c r="E141" s="5" t="s">
        <v>186</v>
      </c>
      <c r="F141" s="17" t="s">
        <v>223</v>
      </c>
      <c r="G141" s="19" t="s">
        <v>277</v>
      </c>
      <c r="H141" s="13">
        <v>0.08</v>
      </c>
      <c r="I141" s="10"/>
      <c r="J141" s="9">
        <v>135</v>
      </c>
      <c r="K141" s="9">
        <f t="shared" si="15"/>
        <v>145.80000000000001</v>
      </c>
      <c r="L141" s="9"/>
      <c r="M141" s="9">
        <f t="shared" si="20"/>
        <v>0</v>
      </c>
      <c r="N141" s="10"/>
      <c r="O141" s="10" t="str">
        <f t="shared" si="16"/>
        <v/>
      </c>
      <c r="P141" s="9" t="str">
        <f t="shared" si="17"/>
        <v/>
      </c>
      <c r="Q141" s="9" t="str">
        <f t="shared" si="18"/>
        <v/>
      </c>
      <c r="R141" s="9" t="str">
        <f t="shared" si="19"/>
        <v/>
      </c>
    </row>
    <row r="142" spans="2:18" x14ac:dyDescent="0.4">
      <c r="B142" s="24">
        <v>44498</v>
      </c>
      <c r="C142" s="5" t="s">
        <v>300</v>
      </c>
      <c r="D142" s="5"/>
      <c r="E142" s="5" t="s">
        <v>186</v>
      </c>
      <c r="F142" s="17" t="s">
        <v>224</v>
      </c>
      <c r="G142" s="19" t="s">
        <v>278</v>
      </c>
      <c r="H142" s="13">
        <v>0.08</v>
      </c>
      <c r="I142" s="10"/>
      <c r="J142" s="9">
        <v>160</v>
      </c>
      <c r="K142" s="9">
        <f t="shared" si="15"/>
        <v>172.8</v>
      </c>
      <c r="L142" s="9"/>
      <c r="M142" s="9">
        <f t="shared" si="20"/>
        <v>0</v>
      </c>
      <c r="N142" s="10"/>
      <c r="O142" s="10" t="str">
        <f t="shared" si="16"/>
        <v/>
      </c>
      <c r="P142" s="9" t="str">
        <f t="shared" si="17"/>
        <v/>
      </c>
      <c r="Q142" s="9" t="str">
        <f t="shared" si="18"/>
        <v/>
      </c>
      <c r="R142" s="9" t="str">
        <f t="shared" si="19"/>
        <v/>
      </c>
    </row>
    <row r="143" spans="2:18" x14ac:dyDescent="0.4">
      <c r="B143" s="24">
        <v>44498</v>
      </c>
      <c r="C143" s="5" t="s">
        <v>300</v>
      </c>
      <c r="D143" s="5"/>
      <c r="E143" s="5" t="s">
        <v>186</v>
      </c>
      <c r="F143" s="17" t="s">
        <v>225</v>
      </c>
      <c r="G143" s="19" t="s">
        <v>279</v>
      </c>
      <c r="H143" s="13">
        <v>0.08</v>
      </c>
      <c r="I143" s="10"/>
      <c r="J143" s="9">
        <v>160</v>
      </c>
      <c r="K143" s="9">
        <f t="shared" si="15"/>
        <v>172.8</v>
      </c>
      <c r="L143" s="9"/>
      <c r="M143" s="9">
        <f t="shared" si="20"/>
        <v>0</v>
      </c>
      <c r="N143" s="10"/>
      <c r="O143" s="10" t="str">
        <f t="shared" si="16"/>
        <v/>
      </c>
      <c r="P143" s="9" t="str">
        <f t="shared" si="17"/>
        <v/>
      </c>
      <c r="Q143" s="9" t="str">
        <f t="shared" si="18"/>
        <v/>
      </c>
      <c r="R143" s="9" t="str">
        <f t="shared" si="19"/>
        <v/>
      </c>
    </row>
    <row r="144" spans="2:18" x14ac:dyDescent="0.4">
      <c r="B144" s="24">
        <v>44498</v>
      </c>
      <c r="C144" s="5" t="s">
        <v>300</v>
      </c>
      <c r="D144" s="5"/>
      <c r="E144" s="5" t="s">
        <v>186</v>
      </c>
      <c r="F144" s="17" t="s">
        <v>226</v>
      </c>
      <c r="G144" s="19" t="s">
        <v>280</v>
      </c>
      <c r="H144" s="13">
        <v>0.08</v>
      </c>
      <c r="I144" s="10"/>
      <c r="J144" s="9">
        <v>160</v>
      </c>
      <c r="K144" s="9">
        <f t="shared" si="15"/>
        <v>172.8</v>
      </c>
      <c r="L144" s="9"/>
      <c r="M144" s="9">
        <f t="shared" si="20"/>
        <v>0</v>
      </c>
      <c r="N144" s="10"/>
      <c r="O144" s="10" t="str">
        <f t="shared" si="16"/>
        <v/>
      </c>
      <c r="P144" s="9" t="str">
        <f t="shared" si="17"/>
        <v/>
      </c>
      <c r="Q144" s="9" t="str">
        <f t="shared" si="18"/>
        <v/>
      </c>
      <c r="R144" s="9" t="str">
        <f t="shared" si="19"/>
        <v/>
      </c>
    </row>
    <row r="145" spans="2:18" x14ac:dyDescent="0.4">
      <c r="B145" s="24">
        <v>44498</v>
      </c>
      <c r="C145" s="5" t="s">
        <v>300</v>
      </c>
      <c r="D145" s="5"/>
      <c r="E145" s="5" t="s">
        <v>186</v>
      </c>
      <c r="F145" s="17" t="s">
        <v>227</v>
      </c>
      <c r="G145" s="19" t="s">
        <v>281</v>
      </c>
      <c r="H145" s="13">
        <v>0.08</v>
      </c>
      <c r="I145" s="10"/>
      <c r="J145" s="9">
        <v>239</v>
      </c>
      <c r="K145" s="9">
        <f t="shared" si="15"/>
        <v>258.12</v>
      </c>
      <c r="L145" s="9"/>
      <c r="M145" s="9">
        <f t="shared" si="20"/>
        <v>0</v>
      </c>
      <c r="N145" s="10"/>
      <c r="O145" s="10" t="str">
        <f t="shared" si="16"/>
        <v/>
      </c>
      <c r="P145" s="9" t="str">
        <f t="shared" si="17"/>
        <v/>
      </c>
      <c r="Q145" s="9" t="str">
        <f t="shared" si="18"/>
        <v/>
      </c>
      <c r="R145" s="9" t="str">
        <f t="shared" si="19"/>
        <v/>
      </c>
    </row>
    <row r="146" spans="2:18" x14ac:dyDescent="0.4">
      <c r="B146" s="24">
        <v>44498</v>
      </c>
      <c r="C146" s="5" t="s">
        <v>300</v>
      </c>
      <c r="D146" s="5"/>
      <c r="E146" s="5" t="s">
        <v>186</v>
      </c>
      <c r="F146" s="17" t="s">
        <v>228</v>
      </c>
      <c r="G146" s="19" t="s">
        <v>282</v>
      </c>
      <c r="H146" s="13">
        <v>0.08</v>
      </c>
      <c r="I146" s="10"/>
      <c r="J146" s="9">
        <v>170</v>
      </c>
      <c r="K146" s="9">
        <f t="shared" si="15"/>
        <v>183.60000000000002</v>
      </c>
      <c r="L146" s="9"/>
      <c r="M146" s="9">
        <f t="shared" si="20"/>
        <v>0</v>
      </c>
      <c r="N146" s="10"/>
      <c r="O146" s="10" t="str">
        <f t="shared" si="16"/>
        <v/>
      </c>
      <c r="P146" s="9" t="str">
        <f t="shared" si="17"/>
        <v/>
      </c>
      <c r="Q146" s="9" t="str">
        <f t="shared" si="18"/>
        <v/>
      </c>
      <c r="R146" s="9" t="str">
        <f t="shared" si="19"/>
        <v/>
      </c>
    </row>
    <row r="147" spans="2:18" ht="18.75" x14ac:dyDescent="0.4">
      <c r="B147" s="24">
        <v>44498</v>
      </c>
      <c r="C147" s="5" t="s">
        <v>300</v>
      </c>
      <c r="D147" s="5"/>
      <c r="E147" s="5" t="s">
        <v>186</v>
      </c>
      <c r="F147" s="17" t="s">
        <v>229</v>
      </c>
      <c r="G147" s="19" t="s">
        <v>283</v>
      </c>
      <c r="H147" s="13">
        <v>0.08</v>
      </c>
      <c r="I147" s="10"/>
      <c r="J147" s="9">
        <v>138</v>
      </c>
      <c r="K147" s="9">
        <f t="shared" si="15"/>
        <v>149.04000000000002</v>
      </c>
      <c r="L147" s="9"/>
      <c r="M147" s="9">
        <f t="shared" si="20"/>
        <v>0</v>
      </c>
      <c r="N147" s="10"/>
      <c r="O147" s="10" t="str">
        <f t="shared" si="16"/>
        <v/>
      </c>
      <c r="P147" s="9" t="str">
        <f t="shared" si="17"/>
        <v/>
      </c>
      <c r="Q147" s="9" t="str">
        <f t="shared" si="18"/>
        <v/>
      </c>
      <c r="R147" s="9" t="str">
        <f t="shared" si="19"/>
        <v/>
      </c>
    </row>
    <row r="148" spans="2:18" x14ac:dyDescent="0.4">
      <c r="B148" s="24">
        <v>44498</v>
      </c>
      <c r="C148" s="5" t="s">
        <v>300</v>
      </c>
      <c r="D148" s="5"/>
      <c r="E148" s="5" t="s">
        <v>186</v>
      </c>
      <c r="F148" s="17" t="s">
        <v>230</v>
      </c>
      <c r="G148" s="19" t="s">
        <v>284</v>
      </c>
      <c r="H148" s="13">
        <v>0.08</v>
      </c>
      <c r="I148" s="10"/>
      <c r="J148" s="9">
        <v>138</v>
      </c>
      <c r="K148" s="9">
        <f t="shared" si="15"/>
        <v>149.04000000000002</v>
      </c>
      <c r="L148" s="9"/>
      <c r="M148" s="9">
        <f t="shared" si="20"/>
        <v>0</v>
      </c>
      <c r="N148" s="10"/>
      <c r="O148" s="10" t="str">
        <f t="shared" si="16"/>
        <v/>
      </c>
      <c r="P148" s="9" t="str">
        <f t="shared" si="17"/>
        <v/>
      </c>
      <c r="Q148" s="9" t="str">
        <f t="shared" si="18"/>
        <v/>
      </c>
      <c r="R148" s="9" t="str">
        <f t="shared" si="19"/>
        <v/>
      </c>
    </row>
    <row r="149" spans="2:18" x14ac:dyDescent="0.4">
      <c r="B149" s="24">
        <v>44498</v>
      </c>
      <c r="C149" s="5" t="s">
        <v>300</v>
      </c>
      <c r="D149" s="5"/>
      <c r="E149" s="5" t="s">
        <v>186</v>
      </c>
      <c r="F149" s="17" t="s">
        <v>231</v>
      </c>
      <c r="G149" s="19" t="s">
        <v>285</v>
      </c>
      <c r="H149" s="13">
        <v>0.08</v>
      </c>
      <c r="I149" s="10"/>
      <c r="J149" s="9">
        <v>65</v>
      </c>
      <c r="K149" s="9">
        <f t="shared" si="15"/>
        <v>70.2</v>
      </c>
      <c r="L149" s="9"/>
      <c r="M149" s="9">
        <f t="shared" si="20"/>
        <v>0</v>
      </c>
      <c r="N149" s="10"/>
      <c r="O149" s="10" t="str">
        <f t="shared" si="16"/>
        <v/>
      </c>
      <c r="P149" s="9" t="str">
        <f t="shared" si="17"/>
        <v/>
      </c>
      <c r="Q149" s="9" t="str">
        <f t="shared" si="18"/>
        <v/>
      </c>
      <c r="R149" s="9" t="str">
        <f t="shared" si="19"/>
        <v/>
      </c>
    </row>
    <row r="150" spans="2:18" x14ac:dyDescent="0.4">
      <c r="B150" s="24">
        <v>44498</v>
      </c>
      <c r="C150" s="5" t="s">
        <v>300</v>
      </c>
      <c r="D150" s="5"/>
      <c r="E150" s="5" t="s">
        <v>186</v>
      </c>
      <c r="F150" s="17" t="s">
        <v>232</v>
      </c>
      <c r="G150" s="19" t="s">
        <v>286</v>
      </c>
      <c r="H150" s="13">
        <v>0.08</v>
      </c>
      <c r="I150" s="10"/>
      <c r="J150" s="9">
        <v>151</v>
      </c>
      <c r="K150" s="9">
        <f t="shared" si="15"/>
        <v>163.08000000000001</v>
      </c>
      <c r="L150" s="9"/>
      <c r="M150" s="9">
        <f t="shared" si="20"/>
        <v>0</v>
      </c>
      <c r="N150" s="10"/>
      <c r="O150" s="10" t="str">
        <f t="shared" si="16"/>
        <v/>
      </c>
      <c r="P150" s="9" t="str">
        <f t="shared" si="17"/>
        <v/>
      </c>
      <c r="Q150" s="9" t="str">
        <f t="shared" si="18"/>
        <v/>
      </c>
      <c r="R150" s="9" t="str">
        <f t="shared" si="19"/>
        <v/>
      </c>
    </row>
    <row r="151" spans="2:18" x14ac:dyDescent="0.4">
      <c r="B151" s="24">
        <v>44498</v>
      </c>
      <c r="C151" s="5" t="s">
        <v>300</v>
      </c>
      <c r="D151" s="5"/>
      <c r="E151" s="5" t="s">
        <v>186</v>
      </c>
      <c r="F151" s="17" t="s">
        <v>233</v>
      </c>
      <c r="G151" s="19" t="s">
        <v>287</v>
      </c>
      <c r="H151" s="13">
        <v>0.08</v>
      </c>
      <c r="I151" s="10"/>
      <c r="J151" s="9">
        <v>139</v>
      </c>
      <c r="K151" s="9">
        <f t="shared" si="15"/>
        <v>150.12</v>
      </c>
      <c r="L151" s="9"/>
      <c r="M151" s="9">
        <f t="shared" si="20"/>
        <v>0</v>
      </c>
      <c r="N151" s="10"/>
      <c r="O151" s="10" t="str">
        <f t="shared" si="16"/>
        <v/>
      </c>
      <c r="P151" s="9" t="str">
        <f t="shared" si="17"/>
        <v/>
      </c>
      <c r="Q151" s="9" t="str">
        <f t="shared" si="18"/>
        <v/>
      </c>
      <c r="R151" s="9" t="str">
        <f t="shared" si="19"/>
        <v/>
      </c>
    </row>
    <row r="152" spans="2:18" x14ac:dyDescent="0.4">
      <c r="B152" s="24">
        <v>44498</v>
      </c>
      <c r="C152" s="5" t="s">
        <v>300</v>
      </c>
      <c r="D152" s="5"/>
      <c r="E152" s="5" t="s">
        <v>186</v>
      </c>
      <c r="F152" s="17" t="s">
        <v>234</v>
      </c>
      <c r="G152" s="19" t="s">
        <v>288</v>
      </c>
      <c r="H152" s="13">
        <v>0.08</v>
      </c>
      <c r="I152" s="10"/>
      <c r="J152" s="9">
        <v>69.5</v>
      </c>
      <c r="K152" s="9">
        <f t="shared" si="15"/>
        <v>75.06</v>
      </c>
      <c r="L152" s="9"/>
      <c r="M152" s="9">
        <f t="shared" si="20"/>
        <v>0</v>
      </c>
      <c r="N152" s="10"/>
      <c r="O152" s="10" t="str">
        <f t="shared" si="16"/>
        <v/>
      </c>
      <c r="P152" s="9" t="str">
        <f t="shared" si="17"/>
        <v/>
      </c>
      <c r="Q152" s="9" t="str">
        <f t="shared" si="18"/>
        <v/>
      </c>
      <c r="R152" s="9" t="str">
        <f t="shared" si="19"/>
        <v/>
      </c>
    </row>
    <row r="153" spans="2:18" x14ac:dyDescent="0.4">
      <c r="B153" s="24">
        <v>44498</v>
      </c>
      <c r="C153" s="5" t="s">
        <v>300</v>
      </c>
      <c r="D153" s="5"/>
      <c r="E153" s="5" t="s">
        <v>186</v>
      </c>
      <c r="F153" s="17" t="s">
        <v>235</v>
      </c>
      <c r="G153" s="19" t="s">
        <v>289</v>
      </c>
      <c r="H153" s="13">
        <v>0.08</v>
      </c>
      <c r="I153" s="10"/>
      <c r="J153" s="9">
        <v>79</v>
      </c>
      <c r="K153" s="9">
        <f t="shared" si="15"/>
        <v>85.320000000000007</v>
      </c>
      <c r="L153" s="9"/>
      <c r="M153" s="9">
        <f t="shared" si="10"/>
        <v>0</v>
      </c>
      <c r="N153" s="10"/>
      <c r="O153" s="10" t="str">
        <f t="shared" si="11"/>
        <v/>
      </c>
      <c r="P153" s="9" t="str">
        <f t="shared" si="12"/>
        <v/>
      </c>
      <c r="Q153" s="9" t="str">
        <f t="shared" si="13"/>
        <v/>
      </c>
      <c r="R153" s="9" t="str">
        <f t="shared" si="14"/>
        <v/>
      </c>
    </row>
    <row r="154" spans="2:18" x14ac:dyDescent="0.4">
      <c r="B154" s="24">
        <v>44498</v>
      </c>
      <c r="C154" s="5" t="s">
        <v>300</v>
      </c>
      <c r="D154" s="5"/>
      <c r="E154" s="5" t="s">
        <v>186</v>
      </c>
      <c r="F154" s="17" t="s">
        <v>236</v>
      </c>
      <c r="G154" s="19" t="s">
        <v>290</v>
      </c>
      <c r="H154" s="13">
        <v>0.08</v>
      </c>
      <c r="I154" s="10"/>
      <c r="J154" s="9">
        <v>65</v>
      </c>
      <c r="K154" s="9">
        <f t="shared" si="15"/>
        <v>70.2</v>
      </c>
      <c r="L154" s="9"/>
      <c r="M154" s="9">
        <f t="shared" si="10"/>
        <v>0</v>
      </c>
      <c r="N154" s="10"/>
      <c r="O154" s="10" t="str">
        <f t="shared" si="11"/>
        <v/>
      </c>
      <c r="P154" s="9" t="str">
        <f t="shared" si="12"/>
        <v/>
      </c>
      <c r="Q154" s="9" t="str">
        <f t="shared" si="13"/>
        <v/>
      </c>
      <c r="R154" s="9" t="str">
        <f t="shared" si="14"/>
        <v/>
      </c>
    </row>
    <row r="155" spans="2:18" x14ac:dyDescent="0.4">
      <c r="B155" s="24">
        <v>44498</v>
      </c>
      <c r="C155" s="5" t="s">
        <v>300</v>
      </c>
      <c r="D155" s="5"/>
      <c r="E155" s="5" t="s">
        <v>186</v>
      </c>
      <c r="F155" s="17" t="s">
        <v>237</v>
      </c>
      <c r="G155" s="19" t="s">
        <v>291</v>
      </c>
      <c r="H155" s="13">
        <v>0.08</v>
      </c>
      <c r="I155" s="10"/>
      <c r="J155" s="9">
        <v>105</v>
      </c>
      <c r="K155" s="9">
        <f t="shared" si="15"/>
        <v>113.4</v>
      </c>
      <c r="L155" s="9"/>
      <c r="M155" s="9">
        <f t="shared" ref="M155:M161" si="21">K155*I155</f>
        <v>0</v>
      </c>
      <c r="N155" s="10"/>
      <c r="O155" s="10" t="str">
        <f t="shared" si="11"/>
        <v/>
      </c>
      <c r="P155" s="9" t="str">
        <f t="shared" si="12"/>
        <v/>
      </c>
      <c r="Q155" s="9" t="str">
        <f t="shared" si="13"/>
        <v/>
      </c>
      <c r="R155" s="9" t="str">
        <f t="shared" si="14"/>
        <v/>
      </c>
    </row>
    <row r="156" spans="2:18" x14ac:dyDescent="0.4">
      <c r="B156" s="24">
        <v>44498</v>
      </c>
      <c r="C156" s="5" t="s">
        <v>300</v>
      </c>
      <c r="D156" s="5"/>
      <c r="E156" s="5" t="s">
        <v>186</v>
      </c>
      <c r="F156" s="17" t="s">
        <v>238</v>
      </c>
      <c r="G156" s="19" t="s">
        <v>292</v>
      </c>
      <c r="H156" s="13">
        <v>0.08</v>
      </c>
      <c r="I156" s="10"/>
      <c r="J156" s="9">
        <v>69.5</v>
      </c>
      <c r="K156" s="9">
        <f t="shared" si="15"/>
        <v>75.06</v>
      </c>
      <c r="L156" s="9"/>
      <c r="M156" s="9">
        <f t="shared" si="21"/>
        <v>0</v>
      </c>
      <c r="N156" s="10"/>
      <c r="O156" s="10" t="str">
        <f t="shared" si="11"/>
        <v/>
      </c>
      <c r="P156" s="9" t="str">
        <f t="shared" si="12"/>
        <v/>
      </c>
      <c r="Q156" s="9" t="str">
        <f t="shared" si="13"/>
        <v/>
      </c>
      <c r="R156" s="9" t="str">
        <f t="shared" si="14"/>
        <v/>
      </c>
    </row>
    <row r="157" spans="2:18" x14ac:dyDescent="0.4">
      <c r="B157" s="24">
        <v>44498</v>
      </c>
      <c r="C157" s="5" t="s">
        <v>300</v>
      </c>
      <c r="D157" s="5"/>
      <c r="E157" s="5" t="s">
        <v>186</v>
      </c>
      <c r="F157" s="17" t="s">
        <v>239</v>
      </c>
      <c r="G157" s="19" t="s">
        <v>293</v>
      </c>
      <c r="H157" s="13">
        <v>0.08</v>
      </c>
      <c r="I157" s="10"/>
      <c r="J157" s="9">
        <v>159</v>
      </c>
      <c r="K157" s="9">
        <f t="shared" si="15"/>
        <v>171.72</v>
      </c>
      <c r="L157" s="9"/>
      <c r="M157" s="9">
        <f t="shared" si="21"/>
        <v>0</v>
      </c>
      <c r="N157" s="10"/>
      <c r="O157" s="10" t="str">
        <f t="shared" si="11"/>
        <v/>
      </c>
      <c r="P157" s="9" t="str">
        <f t="shared" si="12"/>
        <v/>
      </c>
      <c r="Q157" s="9" t="str">
        <f t="shared" si="13"/>
        <v/>
      </c>
      <c r="R157" s="9" t="str">
        <f t="shared" si="14"/>
        <v/>
      </c>
    </row>
    <row r="158" spans="2:18" x14ac:dyDescent="0.4">
      <c r="B158" s="24">
        <v>44498</v>
      </c>
      <c r="C158" s="5" t="s">
        <v>300</v>
      </c>
      <c r="D158" s="5"/>
      <c r="E158" s="5" t="s">
        <v>186</v>
      </c>
      <c r="F158" s="17" t="s">
        <v>240</v>
      </c>
      <c r="G158" s="19" t="s">
        <v>294</v>
      </c>
      <c r="H158" s="13">
        <v>0.08</v>
      </c>
      <c r="I158" s="10"/>
      <c r="J158" s="9">
        <v>128</v>
      </c>
      <c r="K158" s="9">
        <f t="shared" si="15"/>
        <v>138.24</v>
      </c>
      <c r="L158" s="9"/>
      <c r="M158" s="9">
        <f t="shared" si="21"/>
        <v>0</v>
      </c>
      <c r="N158" s="10"/>
      <c r="O158" s="10" t="str">
        <f t="shared" si="11"/>
        <v/>
      </c>
      <c r="P158" s="9" t="str">
        <f t="shared" si="12"/>
        <v/>
      </c>
      <c r="Q158" s="9" t="str">
        <f t="shared" si="13"/>
        <v/>
      </c>
      <c r="R158" s="9" t="str">
        <f t="shared" si="14"/>
        <v/>
      </c>
    </row>
    <row r="159" spans="2:18" x14ac:dyDescent="0.4">
      <c r="B159" s="24">
        <v>44498</v>
      </c>
      <c r="C159" s="5" t="s">
        <v>300</v>
      </c>
      <c r="D159" s="5"/>
      <c r="E159" s="5" t="s">
        <v>186</v>
      </c>
      <c r="F159" s="17" t="s">
        <v>241</v>
      </c>
      <c r="G159" s="19" t="s">
        <v>295</v>
      </c>
      <c r="H159" s="13">
        <v>0.08</v>
      </c>
      <c r="I159" s="10"/>
      <c r="J159" s="9">
        <v>108</v>
      </c>
      <c r="K159" s="9">
        <f t="shared" si="15"/>
        <v>116.64000000000001</v>
      </c>
      <c r="L159" s="9"/>
      <c r="M159" s="9">
        <f t="shared" si="21"/>
        <v>0</v>
      </c>
      <c r="N159" s="10"/>
      <c r="O159" s="10" t="str">
        <f t="shared" si="11"/>
        <v/>
      </c>
      <c r="P159" s="9" t="str">
        <f t="shared" si="12"/>
        <v/>
      </c>
      <c r="Q159" s="9" t="str">
        <f t="shared" si="13"/>
        <v/>
      </c>
      <c r="R159" s="9" t="str">
        <f t="shared" si="14"/>
        <v/>
      </c>
    </row>
    <row r="160" spans="2:18" x14ac:dyDescent="0.4">
      <c r="B160" s="24">
        <v>44498</v>
      </c>
      <c r="C160" s="5" t="s">
        <v>300</v>
      </c>
      <c r="D160" s="5"/>
      <c r="E160" s="5" t="s">
        <v>186</v>
      </c>
      <c r="F160" s="17" t="s">
        <v>242</v>
      </c>
      <c r="G160" s="19" t="s">
        <v>296</v>
      </c>
      <c r="H160" s="13">
        <v>0.08</v>
      </c>
      <c r="I160" s="10"/>
      <c r="J160" s="9">
        <v>105</v>
      </c>
      <c r="K160" s="9">
        <f t="shared" si="15"/>
        <v>113.4</v>
      </c>
      <c r="L160" s="9"/>
      <c r="M160" s="9">
        <f t="shared" si="21"/>
        <v>0</v>
      </c>
      <c r="N160" s="10"/>
      <c r="O160" s="10" t="str">
        <f t="shared" si="11"/>
        <v/>
      </c>
      <c r="P160" s="9" t="str">
        <f t="shared" si="12"/>
        <v/>
      </c>
      <c r="Q160" s="9" t="str">
        <f t="shared" si="13"/>
        <v/>
      </c>
      <c r="R160" s="9" t="str">
        <f t="shared" si="14"/>
        <v/>
      </c>
    </row>
    <row r="161" spans="2:18" x14ac:dyDescent="0.4">
      <c r="B161" s="24">
        <v>44498</v>
      </c>
      <c r="C161" s="5" t="s">
        <v>300</v>
      </c>
      <c r="D161" s="5"/>
      <c r="E161" s="5" t="s">
        <v>186</v>
      </c>
      <c r="F161" s="17" t="s">
        <v>243</v>
      </c>
      <c r="G161" s="19" t="s">
        <v>297</v>
      </c>
      <c r="H161" s="13">
        <v>0.08</v>
      </c>
      <c r="I161" s="10"/>
      <c r="J161" s="9">
        <v>69</v>
      </c>
      <c r="K161" s="9">
        <f t="shared" si="15"/>
        <v>74.52000000000001</v>
      </c>
      <c r="L161" s="9"/>
      <c r="M161" s="9">
        <f t="shared" si="21"/>
        <v>0</v>
      </c>
      <c r="N161" s="10"/>
      <c r="O161" s="10" t="str">
        <f t="shared" si="11"/>
        <v/>
      </c>
      <c r="P161" s="9" t="str">
        <f t="shared" si="12"/>
        <v/>
      </c>
      <c r="Q161" s="9" t="str">
        <f t="shared" si="13"/>
        <v/>
      </c>
      <c r="R161" s="9" t="str">
        <f t="shared" si="14"/>
        <v/>
      </c>
    </row>
    <row r="162" spans="2:18" x14ac:dyDescent="0.4">
      <c r="B162" s="24">
        <v>44498</v>
      </c>
      <c r="C162" s="5" t="s">
        <v>300</v>
      </c>
      <c r="D162" s="5"/>
      <c r="E162" s="5" t="s">
        <v>186</v>
      </c>
      <c r="F162" s="17" t="s">
        <v>244</v>
      </c>
      <c r="G162" s="19" t="s">
        <v>298</v>
      </c>
      <c r="H162" s="13">
        <v>0.08</v>
      </c>
      <c r="I162" s="10"/>
      <c r="J162" s="9">
        <v>70</v>
      </c>
      <c r="K162" s="9">
        <f t="shared" si="15"/>
        <v>75.600000000000009</v>
      </c>
      <c r="L162" s="9"/>
      <c r="M162" s="9">
        <f t="shared" ref="M162" si="22">K162*I162</f>
        <v>0</v>
      </c>
      <c r="N162" s="10"/>
      <c r="O162" s="10" t="str">
        <f t="shared" ref="O162:O163" si="23">IF(N162="","",I162-N162)</f>
        <v/>
      </c>
      <c r="P162" s="9" t="str">
        <f t="shared" ref="P162:P163" si="24">IFERROR(O162*J162,"")</f>
        <v/>
      </c>
      <c r="Q162" s="9" t="str">
        <f t="shared" ref="Q162:Q163" si="25">IFERROR(P162*O162,"")</f>
        <v/>
      </c>
      <c r="R162" s="9" t="str">
        <f t="shared" ref="R162:R163" si="26">IFERROR(Q162-P162,"")</f>
        <v/>
      </c>
    </row>
    <row r="163" spans="2:18" x14ac:dyDescent="0.4">
      <c r="B163" s="24">
        <v>44498</v>
      </c>
      <c r="C163" s="33" t="s">
        <v>300</v>
      </c>
      <c r="D163" s="33"/>
      <c r="E163" s="33" t="s">
        <v>186</v>
      </c>
      <c r="F163" s="34" t="s">
        <v>245</v>
      </c>
      <c r="G163" s="35" t="s">
        <v>299</v>
      </c>
      <c r="H163" s="36">
        <v>0.08</v>
      </c>
      <c r="I163" s="37"/>
      <c r="J163" s="38">
        <v>71</v>
      </c>
      <c r="K163" s="38">
        <f>J163*108%</f>
        <v>76.680000000000007</v>
      </c>
      <c r="L163" s="38"/>
      <c r="M163" s="38">
        <f>K163*I163</f>
        <v>0</v>
      </c>
      <c r="N163" s="37"/>
      <c r="O163" s="37" t="str">
        <f t="shared" si="23"/>
        <v/>
      </c>
      <c r="P163" s="38" t="str">
        <f t="shared" si="24"/>
        <v/>
      </c>
      <c r="Q163" s="38" t="str">
        <f t="shared" si="25"/>
        <v/>
      </c>
      <c r="R163" s="38" t="str">
        <f t="shared" si="26"/>
        <v/>
      </c>
    </row>
    <row r="164" spans="2:18" ht="18.75" x14ac:dyDescent="0.4">
      <c r="C164" s="39" t="s">
        <v>300</v>
      </c>
      <c r="D164" s="40"/>
      <c r="E164" s="39" t="s">
        <v>308</v>
      </c>
      <c r="F164" s="27" t="s">
        <v>309</v>
      </c>
      <c r="G164" s="30">
        <v>4977629310376</v>
      </c>
      <c r="H164" s="41">
        <v>0.08</v>
      </c>
      <c r="I164" s="40">
        <v>192</v>
      </c>
      <c r="J164" s="31">
        <v>40</v>
      </c>
      <c r="K164" s="38">
        <f>J164*108%</f>
        <v>43.2</v>
      </c>
      <c r="L164" s="40"/>
      <c r="M164" s="38">
        <f t="shared" ref="M164:M201" si="27">K164*I164</f>
        <v>8294.4000000000015</v>
      </c>
      <c r="N164" s="40"/>
      <c r="O164" s="40"/>
      <c r="P164" s="40"/>
      <c r="Q164" s="40"/>
      <c r="R164" s="40"/>
    </row>
    <row r="165" spans="2:18" ht="18.75" x14ac:dyDescent="0.4">
      <c r="C165" s="32" t="s">
        <v>303</v>
      </c>
      <c r="D165" s="40"/>
      <c r="E165" s="39" t="s">
        <v>308</v>
      </c>
      <c r="F165" s="28" t="s">
        <v>310</v>
      </c>
      <c r="G165" s="30">
        <v>2000000062716</v>
      </c>
      <c r="H165" s="41">
        <v>0.1</v>
      </c>
      <c r="I165" s="42">
        <v>100</v>
      </c>
      <c r="J165" s="31">
        <v>48</v>
      </c>
      <c r="K165" s="43">
        <f>J165*110%</f>
        <v>52.800000000000004</v>
      </c>
      <c r="L165" s="43"/>
      <c r="M165" s="38">
        <f t="shared" si="27"/>
        <v>5280</v>
      </c>
      <c r="N165" s="42"/>
      <c r="O165" s="42"/>
      <c r="P165" s="43"/>
      <c r="Q165" s="43"/>
      <c r="R165" s="43"/>
    </row>
    <row r="166" spans="2:18" ht="18.75" x14ac:dyDescent="0.4">
      <c r="C166" s="32" t="s">
        <v>304</v>
      </c>
      <c r="D166" s="40"/>
      <c r="E166" s="39" t="s">
        <v>308</v>
      </c>
      <c r="F166" s="28" t="s">
        <v>311</v>
      </c>
      <c r="G166" s="30">
        <v>2000000064529</v>
      </c>
      <c r="H166" s="41">
        <v>0.1</v>
      </c>
      <c r="I166" s="42">
        <v>60</v>
      </c>
      <c r="J166" s="31">
        <v>80</v>
      </c>
      <c r="K166" s="43">
        <f t="shared" ref="K166:K183" si="28">J166*110%</f>
        <v>88</v>
      </c>
      <c r="L166" s="43"/>
      <c r="M166" s="38">
        <f t="shared" si="27"/>
        <v>5280</v>
      </c>
      <c r="N166" s="42"/>
      <c r="O166" s="42"/>
      <c r="P166" s="43"/>
      <c r="Q166" s="43"/>
      <c r="R166" s="43"/>
    </row>
    <row r="167" spans="2:18" ht="18.75" x14ac:dyDescent="0.4">
      <c r="C167" s="32" t="s">
        <v>304</v>
      </c>
      <c r="D167" s="40"/>
      <c r="E167" s="39" t="s">
        <v>308</v>
      </c>
      <c r="F167" s="28" t="s">
        <v>312</v>
      </c>
      <c r="G167" s="30">
        <v>4973512263651</v>
      </c>
      <c r="H167" s="41">
        <v>0.1</v>
      </c>
      <c r="I167" s="42">
        <v>100</v>
      </c>
      <c r="J167" s="31">
        <v>80</v>
      </c>
      <c r="K167" s="43">
        <f t="shared" si="28"/>
        <v>88</v>
      </c>
      <c r="L167" s="43"/>
      <c r="M167" s="38">
        <f t="shared" si="27"/>
        <v>8800</v>
      </c>
      <c r="N167" s="42"/>
      <c r="O167" s="42"/>
      <c r="P167" s="43"/>
      <c r="Q167" s="43"/>
      <c r="R167" s="43"/>
    </row>
    <row r="168" spans="2:18" ht="18.75" x14ac:dyDescent="0.4">
      <c r="C168" s="32" t="s">
        <v>304</v>
      </c>
      <c r="D168" s="40"/>
      <c r="E168" s="39" t="s">
        <v>308</v>
      </c>
      <c r="F168" s="28" t="s">
        <v>313</v>
      </c>
      <c r="G168" s="30">
        <v>4518516000088</v>
      </c>
      <c r="H168" s="41">
        <v>0.1</v>
      </c>
      <c r="I168" s="42">
        <v>48</v>
      </c>
      <c r="J168" s="31">
        <v>130</v>
      </c>
      <c r="K168" s="43">
        <f t="shared" si="28"/>
        <v>143</v>
      </c>
      <c r="L168" s="43"/>
      <c r="M168" s="38">
        <f t="shared" si="27"/>
        <v>6864</v>
      </c>
      <c r="N168" s="42"/>
      <c r="O168" s="42"/>
      <c r="P168" s="43"/>
      <c r="Q168" s="43"/>
      <c r="R168" s="43"/>
    </row>
    <row r="169" spans="2:18" ht="18.75" x14ac:dyDescent="0.4">
      <c r="C169" s="32" t="s">
        <v>303</v>
      </c>
      <c r="D169" s="40"/>
      <c r="E169" s="39" t="s">
        <v>308</v>
      </c>
      <c r="F169" s="28" t="s">
        <v>314</v>
      </c>
      <c r="G169" s="30">
        <v>4580419310328</v>
      </c>
      <c r="H169" s="41">
        <v>0.1</v>
      </c>
      <c r="I169" s="42">
        <v>100</v>
      </c>
      <c r="J169" s="31">
        <v>280</v>
      </c>
      <c r="K169" s="43">
        <f t="shared" si="28"/>
        <v>308</v>
      </c>
      <c r="L169" s="43"/>
      <c r="M169" s="38">
        <f t="shared" si="27"/>
        <v>30800</v>
      </c>
      <c r="N169" s="42"/>
      <c r="O169" s="42"/>
      <c r="P169" s="43"/>
      <c r="Q169" s="43"/>
      <c r="R169" s="43"/>
    </row>
    <row r="170" spans="2:18" ht="18.75" x14ac:dyDescent="0.4">
      <c r="C170" s="32" t="s">
        <v>304</v>
      </c>
      <c r="D170" s="40"/>
      <c r="E170" s="39" t="s">
        <v>308</v>
      </c>
      <c r="F170" s="28" t="s">
        <v>315</v>
      </c>
      <c r="G170" s="30">
        <v>4904705163304</v>
      </c>
      <c r="H170" s="41">
        <v>0.1</v>
      </c>
      <c r="I170" s="42">
        <v>240</v>
      </c>
      <c r="J170" s="31">
        <v>19</v>
      </c>
      <c r="K170" s="43">
        <f t="shared" si="28"/>
        <v>20.900000000000002</v>
      </c>
      <c r="L170" s="43"/>
      <c r="M170" s="38">
        <f t="shared" si="27"/>
        <v>5016.0000000000009</v>
      </c>
      <c r="N170" s="42"/>
      <c r="O170" s="42"/>
      <c r="P170" s="43"/>
      <c r="Q170" s="43"/>
      <c r="R170" s="43"/>
    </row>
    <row r="171" spans="2:18" ht="18.75" x14ac:dyDescent="0.4">
      <c r="C171" s="32" t="s">
        <v>304</v>
      </c>
      <c r="D171" s="40"/>
      <c r="E171" s="39" t="s">
        <v>308</v>
      </c>
      <c r="F171" s="28" t="s">
        <v>316</v>
      </c>
      <c r="G171" s="30">
        <v>4966840253630</v>
      </c>
      <c r="H171" s="41">
        <v>0.1</v>
      </c>
      <c r="I171" s="42">
        <v>240</v>
      </c>
      <c r="J171" s="31">
        <v>22</v>
      </c>
      <c r="K171" s="43">
        <f t="shared" si="28"/>
        <v>24.200000000000003</v>
      </c>
      <c r="L171" s="43"/>
      <c r="M171" s="38">
        <f t="shared" si="27"/>
        <v>5808.0000000000009</v>
      </c>
      <c r="N171" s="42"/>
      <c r="O171" s="42"/>
      <c r="P171" s="43"/>
      <c r="Q171" s="43"/>
      <c r="R171" s="43"/>
    </row>
    <row r="172" spans="2:18" ht="18.75" x14ac:dyDescent="0.4">
      <c r="C172" s="32" t="s">
        <v>304</v>
      </c>
      <c r="D172" s="40"/>
      <c r="E172" s="39" t="s">
        <v>308</v>
      </c>
      <c r="F172" s="28" t="s">
        <v>317</v>
      </c>
      <c r="G172" s="30">
        <v>8010630333869</v>
      </c>
      <c r="H172" s="41">
        <v>0.1</v>
      </c>
      <c r="I172" s="42">
        <v>400</v>
      </c>
      <c r="J172" s="31">
        <v>30</v>
      </c>
      <c r="K172" s="43">
        <f t="shared" si="28"/>
        <v>33</v>
      </c>
      <c r="L172" s="43"/>
      <c r="M172" s="38">
        <f t="shared" si="27"/>
        <v>13200</v>
      </c>
      <c r="N172" s="42"/>
      <c r="O172" s="42"/>
      <c r="P172" s="43"/>
      <c r="Q172" s="43"/>
      <c r="R172" s="43"/>
    </row>
    <row r="173" spans="2:18" ht="18.75" x14ac:dyDescent="0.4">
      <c r="C173" s="32" t="s">
        <v>303</v>
      </c>
      <c r="D173" s="40"/>
      <c r="E173" s="39" t="s">
        <v>308</v>
      </c>
      <c r="F173" s="28" t="s">
        <v>318</v>
      </c>
      <c r="G173" s="30">
        <v>4528364820028</v>
      </c>
      <c r="H173" s="41">
        <v>0.1</v>
      </c>
      <c r="I173" s="42">
        <v>100</v>
      </c>
      <c r="J173" s="31">
        <v>35</v>
      </c>
      <c r="K173" s="43">
        <f t="shared" si="28"/>
        <v>38.5</v>
      </c>
      <c r="L173" s="43"/>
      <c r="M173" s="38">
        <f t="shared" si="27"/>
        <v>3850</v>
      </c>
      <c r="N173" s="42"/>
      <c r="O173" s="42"/>
      <c r="P173" s="43"/>
      <c r="Q173" s="43"/>
      <c r="R173" s="43"/>
    </row>
    <row r="174" spans="2:18" ht="18.75" x14ac:dyDescent="0.4">
      <c r="C174" s="32" t="s">
        <v>304</v>
      </c>
      <c r="D174" s="40"/>
      <c r="E174" s="39" t="s">
        <v>308</v>
      </c>
      <c r="F174" s="28" t="s">
        <v>319</v>
      </c>
      <c r="G174" s="30">
        <v>4966840251551</v>
      </c>
      <c r="H174" s="41">
        <v>0.1</v>
      </c>
      <c r="I174" s="42">
        <v>144</v>
      </c>
      <c r="J174" s="31">
        <v>40</v>
      </c>
      <c r="K174" s="43">
        <f t="shared" si="28"/>
        <v>44</v>
      </c>
      <c r="L174" s="43"/>
      <c r="M174" s="38">
        <f t="shared" si="27"/>
        <v>6336</v>
      </c>
      <c r="N174" s="42"/>
      <c r="O174" s="42"/>
      <c r="P174" s="43"/>
      <c r="Q174" s="43"/>
      <c r="R174" s="43"/>
    </row>
    <row r="175" spans="2:18" ht="18.75" x14ac:dyDescent="0.4">
      <c r="C175" s="32" t="s">
        <v>305</v>
      </c>
      <c r="D175" s="40"/>
      <c r="E175" s="39" t="s">
        <v>308</v>
      </c>
      <c r="F175" s="28" t="s">
        <v>320</v>
      </c>
      <c r="G175" s="30">
        <v>4970687211159</v>
      </c>
      <c r="H175" s="41">
        <v>0.1</v>
      </c>
      <c r="I175" s="42">
        <v>120</v>
      </c>
      <c r="J175" s="31">
        <v>80</v>
      </c>
      <c r="K175" s="43">
        <f t="shared" si="28"/>
        <v>88</v>
      </c>
      <c r="L175" s="43"/>
      <c r="M175" s="38">
        <f t="shared" si="27"/>
        <v>10560</v>
      </c>
      <c r="N175" s="42"/>
      <c r="O175" s="42"/>
      <c r="P175" s="43"/>
      <c r="Q175" s="43"/>
      <c r="R175" s="43"/>
    </row>
    <row r="176" spans="2:18" ht="18.75" x14ac:dyDescent="0.4">
      <c r="C176" s="32" t="s">
        <v>305</v>
      </c>
      <c r="D176" s="40"/>
      <c r="E176" s="39" t="s">
        <v>308</v>
      </c>
      <c r="F176" s="28" t="s">
        <v>321</v>
      </c>
      <c r="G176" s="30">
        <v>4970687211241</v>
      </c>
      <c r="H176" s="41">
        <v>0.1</v>
      </c>
      <c r="I176" s="42">
        <v>120</v>
      </c>
      <c r="J176" s="31">
        <v>80</v>
      </c>
      <c r="K176" s="43">
        <f t="shared" si="28"/>
        <v>88</v>
      </c>
      <c r="L176" s="43"/>
      <c r="M176" s="38">
        <f t="shared" si="27"/>
        <v>10560</v>
      </c>
      <c r="N176" s="42"/>
      <c r="O176" s="42"/>
      <c r="P176" s="43"/>
      <c r="Q176" s="43"/>
      <c r="R176" s="43"/>
    </row>
    <row r="177" spans="3:18" ht="18.75" x14ac:dyDescent="0.4">
      <c r="C177" s="32" t="s">
        <v>96</v>
      </c>
      <c r="D177" s="40"/>
      <c r="E177" s="39" t="s">
        <v>308</v>
      </c>
      <c r="F177" s="28" t="s">
        <v>322</v>
      </c>
      <c r="G177" s="30">
        <v>4538291208509</v>
      </c>
      <c r="H177" s="41">
        <v>0.1</v>
      </c>
      <c r="I177" s="42">
        <v>72</v>
      </c>
      <c r="J177" s="31">
        <v>90</v>
      </c>
      <c r="K177" s="43">
        <f t="shared" si="28"/>
        <v>99.000000000000014</v>
      </c>
      <c r="L177" s="43"/>
      <c r="M177" s="38">
        <f t="shared" si="27"/>
        <v>7128.0000000000009</v>
      </c>
      <c r="N177" s="42"/>
      <c r="O177" s="42"/>
      <c r="P177" s="43"/>
      <c r="Q177" s="43"/>
      <c r="R177" s="43"/>
    </row>
    <row r="178" spans="3:18" ht="18.75" x14ac:dyDescent="0.4">
      <c r="C178" s="123" t="s">
        <v>304</v>
      </c>
      <c r="D178" s="40"/>
      <c r="E178" s="39" t="s">
        <v>308</v>
      </c>
      <c r="F178" s="28" t="s">
        <v>323</v>
      </c>
      <c r="G178" s="30">
        <v>4510482194181</v>
      </c>
      <c r="H178" s="41">
        <v>0.1</v>
      </c>
      <c r="I178" s="42">
        <v>24</v>
      </c>
      <c r="J178" s="31">
        <v>100</v>
      </c>
      <c r="K178" s="43">
        <f t="shared" si="28"/>
        <v>110.00000000000001</v>
      </c>
      <c r="L178" s="43"/>
      <c r="M178" s="38">
        <f t="shared" si="27"/>
        <v>2640.0000000000005</v>
      </c>
      <c r="N178" s="42"/>
      <c r="O178" s="42"/>
      <c r="P178" s="43"/>
      <c r="Q178" s="43"/>
      <c r="R178" s="43"/>
    </row>
    <row r="179" spans="3:18" ht="18.75" x14ac:dyDescent="0.4">
      <c r="C179" s="123"/>
      <c r="D179" s="40"/>
      <c r="E179" s="39" t="s">
        <v>308</v>
      </c>
      <c r="F179" s="28" t="s">
        <v>324</v>
      </c>
      <c r="G179" s="30">
        <v>4510482194198</v>
      </c>
      <c r="H179" s="41">
        <v>0.1</v>
      </c>
      <c r="I179" s="42">
        <v>24</v>
      </c>
      <c r="J179" s="31">
        <v>100</v>
      </c>
      <c r="K179" s="43">
        <f t="shared" si="28"/>
        <v>110.00000000000001</v>
      </c>
      <c r="L179" s="43"/>
      <c r="M179" s="38">
        <f t="shared" si="27"/>
        <v>2640.0000000000005</v>
      </c>
      <c r="N179" s="42"/>
      <c r="O179" s="42"/>
      <c r="P179" s="43"/>
      <c r="Q179" s="43"/>
      <c r="R179" s="43"/>
    </row>
    <row r="180" spans="3:18" ht="18.75" x14ac:dyDescent="0.4">
      <c r="C180" s="123"/>
      <c r="D180" s="40"/>
      <c r="E180" s="39" t="s">
        <v>308</v>
      </c>
      <c r="F180" s="28" t="s">
        <v>325</v>
      </c>
      <c r="G180" s="30">
        <v>4510482194204</v>
      </c>
      <c r="H180" s="41">
        <v>0.1</v>
      </c>
      <c r="I180" s="42">
        <v>24</v>
      </c>
      <c r="J180" s="31">
        <v>100</v>
      </c>
      <c r="K180" s="43">
        <f t="shared" si="28"/>
        <v>110.00000000000001</v>
      </c>
      <c r="L180" s="43"/>
      <c r="M180" s="38">
        <f t="shared" si="27"/>
        <v>2640.0000000000005</v>
      </c>
      <c r="N180" s="42"/>
      <c r="O180" s="42"/>
      <c r="P180" s="43"/>
      <c r="Q180" s="43"/>
      <c r="R180" s="43"/>
    </row>
    <row r="181" spans="3:18" ht="18.75" x14ac:dyDescent="0.4">
      <c r="C181" s="32" t="s">
        <v>304</v>
      </c>
      <c r="D181" s="40"/>
      <c r="E181" s="39" t="s">
        <v>308</v>
      </c>
      <c r="F181" s="28" t="s">
        <v>326</v>
      </c>
      <c r="G181" s="30">
        <v>4972603100585</v>
      </c>
      <c r="H181" s="41">
        <v>0.1</v>
      </c>
      <c r="I181" s="42">
        <v>30</v>
      </c>
      <c r="J181" s="31">
        <v>100</v>
      </c>
      <c r="K181" s="43">
        <f t="shared" si="28"/>
        <v>110.00000000000001</v>
      </c>
      <c r="L181" s="43"/>
      <c r="M181" s="38">
        <f t="shared" si="27"/>
        <v>3300.0000000000005</v>
      </c>
      <c r="N181" s="42"/>
      <c r="O181" s="42"/>
      <c r="P181" s="43"/>
      <c r="Q181" s="43"/>
      <c r="R181" s="43"/>
    </row>
    <row r="182" spans="3:18" ht="18.75" x14ac:dyDescent="0.4">
      <c r="C182" s="32" t="s">
        <v>304</v>
      </c>
      <c r="D182" s="40"/>
      <c r="E182" s="39" t="s">
        <v>308</v>
      </c>
      <c r="F182" s="28" t="s">
        <v>327</v>
      </c>
      <c r="G182" s="30">
        <v>4589596691961</v>
      </c>
      <c r="H182" s="41">
        <v>0.1</v>
      </c>
      <c r="I182" s="42">
        <v>54</v>
      </c>
      <c r="J182" s="31">
        <v>140</v>
      </c>
      <c r="K182" s="43">
        <f t="shared" si="28"/>
        <v>154</v>
      </c>
      <c r="L182" s="43"/>
      <c r="M182" s="38">
        <f t="shared" si="27"/>
        <v>8316</v>
      </c>
      <c r="N182" s="42"/>
      <c r="O182" s="42"/>
      <c r="P182" s="43"/>
      <c r="Q182" s="43"/>
      <c r="R182" s="43"/>
    </row>
    <row r="183" spans="3:18" ht="18.75" x14ac:dyDescent="0.4">
      <c r="C183" s="32" t="s">
        <v>304</v>
      </c>
      <c r="D183" s="40"/>
      <c r="E183" s="39" t="s">
        <v>308</v>
      </c>
      <c r="F183" s="28" t="s">
        <v>347</v>
      </c>
      <c r="G183" s="30">
        <v>4939560247197</v>
      </c>
      <c r="H183" s="41">
        <v>0.1</v>
      </c>
      <c r="I183" s="42">
        <v>60</v>
      </c>
      <c r="J183" s="31">
        <v>216</v>
      </c>
      <c r="K183" s="43">
        <f t="shared" si="28"/>
        <v>237.60000000000002</v>
      </c>
      <c r="L183" s="43"/>
      <c r="M183" s="38">
        <f t="shared" si="27"/>
        <v>14256.000000000002</v>
      </c>
      <c r="N183" s="42"/>
      <c r="O183" s="42"/>
      <c r="P183" s="43"/>
      <c r="Q183" s="43"/>
      <c r="R183" s="43"/>
    </row>
    <row r="184" spans="3:18" ht="37.5" x14ac:dyDescent="0.4">
      <c r="C184" s="32" t="s">
        <v>300</v>
      </c>
      <c r="D184" s="40"/>
      <c r="E184" s="39" t="s">
        <v>308</v>
      </c>
      <c r="F184" s="29" t="s">
        <v>329</v>
      </c>
      <c r="G184" s="30">
        <v>4960867008396</v>
      </c>
      <c r="H184" s="41">
        <v>0.08</v>
      </c>
      <c r="I184" s="42">
        <v>30</v>
      </c>
      <c r="J184" s="31">
        <v>240</v>
      </c>
      <c r="K184" s="38">
        <f t="shared" ref="K184" si="29">J184*108%</f>
        <v>259.20000000000005</v>
      </c>
      <c r="L184" s="43"/>
      <c r="M184" s="38">
        <f t="shared" si="27"/>
        <v>7776.0000000000018</v>
      </c>
      <c r="N184" s="42"/>
      <c r="O184" s="42"/>
      <c r="P184" s="43"/>
      <c r="Q184" s="43"/>
      <c r="R184" s="43"/>
    </row>
    <row r="185" spans="3:18" ht="18.75" x14ac:dyDescent="0.4">
      <c r="C185" s="32" t="s">
        <v>300</v>
      </c>
      <c r="D185" s="40"/>
      <c r="E185" s="39" t="s">
        <v>308</v>
      </c>
      <c r="F185" s="28" t="s">
        <v>330</v>
      </c>
      <c r="G185" s="30">
        <v>4960867008228</v>
      </c>
      <c r="H185" s="41">
        <v>0.08</v>
      </c>
      <c r="I185" s="42">
        <v>30</v>
      </c>
      <c r="J185" s="31">
        <v>300</v>
      </c>
      <c r="K185" s="43">
        <f t="shared" ref="K185:K201" si="30">J185*110%</f>
        <v>330</v>
      </c>
      <c r="L185" s="43"/>
      <c r="M185" s="38">
        <f t="shared" si="27"/>
        <v>9900</v>
      </c>
      <c r="N185" s="42"/>
      <c r="O185" s="42"/>
      <c r="P185" s="43"/>
      <c r="Q185" s="43"/>
      <c r="R185" s="43"/>
    </row>
    <row r="186" spans="3:18" ht="18.75" x14ac:dyDescent="0.4">
      <c r="C186" s="32" t="s">
        <v>96</v>
      </c>
      <c r="D186" s="40"/>
      <c r="E186" s="39" t="s">
        <v>308</v>
      </c>
      <c r="F186" s="28" t="s">
        <v>331</v>
      </c>
      <c r="G186" s="30">
        <v>4939560521600</v>
      </c>
      <c r="H186" s="41">
        <v>0.1</v>
      </c>
      <c r="I186" s="42">
        <v>24</v>
      </c>
      <c r="J186" s="31">
        <v>360</v>
      </c>
      <c r="K186" s="43">
        <f t="shared" si="30"/>
        <v>396.00000000000006</v>
      </c>
      <c r="L186" s="43"/>
      <c r="M186" s="38">
        <f t="shared" si="27"/>
        <v>9504.0000000000018</v>
      </c>
      <c r="N186" s="42"/>
      <c r="O186" s="42"/>
      <c r="P186" s="43"/>
      <c r="Q186" s="43"/>
      <c r="R186" s="43"/>
    </row>
    <row r="187" spans="3:18" ht="18.75" x14ac:dyDescent="0.4">
      <c r="C187" s="32" t="s">
        <v>304</v>
      </c>
      <c r="D187" s="40"/>
      <c r="E187" s="39" t="s">
        <v>308</v>
      </c>
      <c r="F187" s="28" t="s">
        <v>332</v>
      </c>
      <c r="G187" s="30">
        <v>4939560521648</v>
      </c>
      <c r="H187" s="41">
        <v>0.1</v>
      </c>
      <c r="I187" s="42">
        <v>16</v>
      </c>
      <c r="J187" s="31">
        <v>450</v>
      </c>
      <c r="K187" s="43">
        <f t="shared" si="30"/>
        <v>495.00000000000006</v>
      </c>
      <c r="L187" s="43"/>
      <c r="M187" s="38">
        <f t="shared" si="27"/>
        <v>7920.0000000000009</v>
      </c>
      <c r="N187" s="42"/>
      <c r="O187" s="42"/>
      <c r="P187" s="43"/>
      <c r="Q187" s="43"/>
      <c r="R187" s="43"/>
    </row>
    <row r="188" spans="3:18" ht="18.75" x14ac:dyDescent="0.4">
      <c r="C188" s="32" t="s">
        <v>304</v>
      </c>
      <c r="D188" s="40"/>
      <c r="E188" s="39" t="s">
        <v>308</v>
      </c>
      <c r="F188" s="28" t="s">
        <v>333</v>
      </c>
      <c r="G188" s="30">
        <v>4939560521617</v>
      </c>
      <c r="H188" s="41">
        <v>0.1</v>
      </c>
      <c r="I188" s="42">
        <v>12</v>
      </c>
      <c r="J188" s="31">
        <v>540</v>
      </c>
      <c r="K188" s="43">
        <f t="shared" si="30"/>
        <v>594</v>
      </c>
      <c r="L188" s="43"/>
      <c r="M188" s="38">
        <f t="shared" si="27"/>
        <v>7128</v>
      </c>
      <c r="N188" s="42"/>
      <c r="O188" s="42"/>
      <c r="P188" s="43"/>
      <c r="Q188" s="43"/>
      <c r="R188" s="43"/>
    </row>
    <row r="189" spans="3:18" ht="18.75" x14ac:dyDescent="0.4">
      <c r="C189" s="32" t="s">
        <v>304</v>
      </c>
      <c r="D189" s="40"/>
      <c r="E189" s="39" t="s">
        <v>308</v>
      </c>
      <c r="F189" s="28" t="s">
        <v>334</v>
      </c>
      <c r="G189" s="30">
        <v>2000000068152</v>
      </c>
      <c r="H189" s="41">
        <v>0.1</v>
      </c>
      <c r="I189" s="42">
        <v>200</v>
      </c>
      <c r="J189" s="31">
        <v>30</v>
      </c>
      <c r="K189" s="43">
        <f t="shared" si="30"/>
        <v>33</v>
      </c>
      <c r="L189" s="43"/>
      <c r="M189" s="38">
        <f t="shared" si="27"/>
        <v>6600</v>
      </c>
      <c r="N189" s="42"/>
      <c r="O189" s="42"/>
      <c r="P189" s="43"/>
      <c r="Q189" s="43"/>
      <c r="R189" s="43"/>
    </row>
    <row r="190" spans="3:18" ht="18.75" x14ac:dyDescent="0.4">
      <c r="C190" s="32" t="s">
        <v>303</v>
      </c>
      <c r="D190" s="40"/>
      <c r="E190" s="39" t="s">
        <v>308</v>
      </c>
      <c r="F190" s="28" t="s">
        <v>336</v>
      </c>
      <c r="G190" s="30">
        <v>4580419310397</v>
      </c>
      <c r="H190" s="41">
        <v>0.1</v>
      </c>
      <c r="I190" s="42">
        <v>24</v>
      </c>
      <c r="J190" s="31">
        <v>330</v>
      </c>
      <c r="K190" s="43">
        <f t="shared" si="30"/>
        <v>363.00000000000006</v>
      </c>
      <c r="L190" s="43"/>
      <c r="M190" s="38">
        <f t="shared" si="27"/>
        <v>8712.0000000000018</v>
      </c>
      <c r="N190" s="42"/>
      <c r="O190" s="42"/>
      <c r="P190" s="43"/>
      <c r="Q190" s="43"/>
      <c r="R190" s="43"/>
    </row>
    <row r="191" spans="3:18" ht="18.75" x14ac:dyDescent="0.4">
      <c r="C191" s="32" t="s">
        <v>96</v>
      </c>
      <c r="D191" s="40"/>
      <c r="E191" s="39" t="s">
        <v>308</v>
      </c>
      <c r="F191" s="28" t="s">
        <v>337</v>
      </c>
      <c r="G191" s="30">
        <v>4904705164646</v>
      </c>
      <c r="H191" s="41">
        <v>0.1</v>
      </c>
      <c r="I191" s="42">
        <v>240</v>
      </c>
      <c r="J191" s="31">
        <v>12</v>
      </c>
      <c r="K191" s="43">
        <f t="shared" si="30"/>
        <v>13.200000000000001</v>
      </c>
      <c r="L191" s="43"/>
      <c r="M191" s="38">
        <f t="shared" si="27"/>
        <v>3168.0000000000005</v>
      </c>
      <c r="N191" s="42"/>
      <c r="O191" s="42"/>
      <c r="P191" s="43"/>
      <c r="Q191" s="43"/>
      <c r="R191" s="43"/>
    </row>
    <row r="192" spans="3:18" ht="18.75" x14ac:dyDescent="0.4">
      <c r="C192" s="32" t="s">
        <v>304</v>
      </c>
      <c r="D192" s="40"/>
      <c r="E192" s="39" t="s">
        <v>308</v>
      </c>
      <c r="F192" s="28" t="s">
        <v>338</v>
      </c>
      <c r="G192" s="30">
        <v>4510482229425</v>
      </c>
      <c r="H192" s="41">
        <v>0.1</v>
      </c>
      <c r="I192" s="42">
        <v>24</v>
      </c>
      <c r="J192" s="31">
        <v>80</v>
      </c>
      <c r="K192" s="43">
        <f t="shared" si="30"/>
        <v>88</v>
      </c>
      <c r="L192" s="43"/>
      <c r="M192" s="38">
        <f t="shared" si="27"/>
        <v>2112</v>
      </c>
      <c r="N192" s="42"/>
      <c r="O192" s="42"/>
      <c r="P192" s="43"/>
      <c r="Q192" s="43"/>
      <c r="R192" s="43"/>
    </row>
    <row r="193" spans="3:18" ht="18.75" x14ac:dyDescent="0.4">
      <c r="C193" s="32" t="s">
        <v>307</v>
      </c>
      <c r="D193" s="40"/>
      <c r="E193" s="39" t="s">
        <v>308</v>
      </c>
      <c r="F193" s="28" t="s">
        <v>339</v>
      </c>
      <c r="G193" s="30">
        <v>4573135361057</v>
      </c>
      <c r="H193" s="41">
        <v>0.1</v>
      </c>
      <c r="I193" s="42">
        <v>48</v>
      </c>
      <c r="J193" s="31">
        <v>80</v>
      </c>
      <c r="K193" s="43">
        <f t="shared" si="30"/>
        <v>88</v>
      </c>
      <c r="L193" s="43"/>
      <c r="M193" s="38">
        <f t="shared" si="27"/>
        <v>4224</v>
      </c>
      <c r="N193" s="42"/>
      <c r="O193" s="42"/>
      <c r="P193" s="43"/>
      <c r="Q193" s="43"/>
      <c r="R193" s="43"/>
    </row>
    <row r="194" spans="3:18" ht="18.75" x14ac:dyDescent="0.4">
      <c r="C194" s="32" t="s">
        <v>307</v>
      </c>
      <c r="D194" s="40"/>
      <c r="E194" s="39" t="s">
        <v>308</v>
      </c>
      <c r="F194" s="28" t="s">
        <v>340</v>
      </c>
      <c r="G194" s="30">
        <v>4580081300023</v>
      </c>
      <c r="H194" s="41">
        <v>0.1</v>
      </c>
      <c r="I194" s="42">
        <v>48</v>
      </c>
      <c r="J194" s="31">
        <v>130</v>
      </c>
      <c r="K194" s="43">
        <f t="shared" si="30"/>
        <v>143</v>
      </c>
      <c r="L194" s="43"/>
      <c r="M194" s="38">
        <f t="shared" si="27"/>
        <v>6864</v>
      </c>
      <c r="N194" s="42"/>
      <c r="O194" s="42"/>
      <c r="P194" s="43"/>
      <c r="Q194" s="43"/>
      <c r="R194" s="43"/>
    </row>
    <row r="195" spans="3:18" ht="18.75" x14ac:dyDescent="0.4">
      <c r="C195" s="32" t="s">
        <v>307</v>
      </c>
      <c r="D195" s="40"/>
      <c r="E195" s="39" t="s">
        <v>308</v>
      </c>
      <c r="F195" s="28" t="s">
        <v>341</v>
      </c>
      <c r="G195" s="30">
        <v>4580081300016</v>
      </c>
      <c r="H195" s="41">
        <v>0.1</v>
      </c>
      <c r="I195" s="42">
        <v>48</v>
      </c>
      <c r="J195" s="31">
        <v>130</v>
      </c>
      <c r="K195" s="43">
        <f t="shared" si="30"/>
        <v>143</v>
      </c>
      <c r="L195" s="43"/>
      <c r="M195" s="38">
        <f t="shared" si="27"/>
        <v>6864</v>
      </c>
      <c r="N195" s="42"/>
      <c r="O195" s="42"/>
      <c r="P195" s="43"/>
      <c r="Q195" s="43"/>
      <c r="R195" s="43"/>
    </row>
    <row r="196" spans="3:18" ht="18.75" x14ac:dyDescent="0.4">
      <c r="C196" s="32" t="s">
        <v>304</v>
      </c>
      <c r="D196" s="40"/>
      <c r="E196" s="39" t="s">
        <v>308</v>
      </c>
      <c r="F196" s="28" t="s">
        <v>342</v>
      </c>
      <c r="G196" s="30">
        <v>4580487007922</v>
      </c>
      <c r="H196" s="41">
        <v>0.1</v>
      </c>
      <c r="I196" s="42">
        <v>6</v>
      </c>
      <c r="J196" s="31">
        <v>850</v>
      </c>
      <c r="K196" s="43">
        <f t="shared" si="30"/>
        <v>935.00000000000011</v>
      </c>
      <c r="L196" s="43"/>
      <c r="M196" s="38">
        <f t="shared" si="27"/>
        <v>5610.0000000000009</v>
      </c>
      <c r="N196" s="42"/>
      <c r="O196" s="42"/>
      <c r="P196" s="43"/>
      <c r="Q196" s="43"/>
      <c r="R196" s="43"/>
    </row>
    <row r="197" spans="3:18" ht="18.75" x14ac:dyDescent="0.4">
      <c r="C197" s="32" t="s">
        <v>304</v>
      </c>
      <c r="D197" s="40"/>
      <c r="E197" s="39" t="s">
        <v>308</v>
      </c>
      <c r="F197" s="28" t="s">
        <v>343</v>
      </c>
      <c r="G197" s="30"/>
      <c r="H197" s="41">
        <v>0.1</v>
      </c>
      <c r="I197" s="42">
        <v>384</v>
      </c>
      <c r="J197" s="31">
        <v>9</v>
      </c>
      <c r="K197" s="43">
        <f t="shared" si="30"/>
        <v>9.9</v>
      </c>
      <c r="L197" s="43"/>
      <c r="M197" s="38">
        <f t="shared" si="27"/>
        <v>3801.6000000000004</v>
      </c>
      <c r="N197" s="42"/>
      <c r="O197" s="42"/>
      <c r="P197" s="43"/>
      <c r="Q197" s="43"/>
      <c r="R197" s="43"/>
    </row>
    <row r="198" spans="3:18" ht="18.75" x14ac:dyDescent="0.4">
      <c r="C198" s="32" t="s">
        <v>307</v>
      </c>
      <c r="D198" s="40"/>
      <c r="E198" s="39" t="s">
        <v>308</v>
      </c>
      <c r="F198" s="28" t="s">
        <v>344</v>
      </c>
      <c r="G198" s="30"/>
      <c r="H198" s="41">
        <v>0.1</v>
      </c>
      <c r="I198" s="42">
        <v>108</v>
      </c>
      <c r="J198" s="31">
        <v>140</v>
      </c>
      <c r="K198" s="43">
        <f t="shared" si="30"/>
        <v>154</v>
      </c>
      <c r="L198" s="43"/>
      <c r="M198" s="38">
        <f t="shared" si="27"/>
        <v>16632</v>
      </c>
      <c r="N198" s="42"/>
      <c r="O198" s="42"/>
      <c r="P198" s="43"/>
      <c r="Q198" s="43"/>
      <c r="R198" s="43"/>
    </row>
    <row r="199" spans="3:18" ht="37.5" x14ac:dyDescent="0.4">
      <c r="C199" s="32" t="s">
        <v>303</v>
      </c>
      <c r="D199" s="40"/>
      <c r="E199" s="39" t="s">
        <v>308</v>
      </c>
      <c r="F199" s="29" t="s">
        <v>348</v>
      </c>
      <c r="G199" s="30"/>
      <c r="H199" s="41">
        <v>0.1</v>
      </c>
      <c r="I199" s="42">
        <v>150</v>
      </c>
      <c r="J199" s="31">
        <v>145</v>
      </c>
      <c r="K199" s="43">
        <f t="shared" si="30"/>
        <v>159.5</v>
      </c>
      <c r="L199" s="43"/>
      <c r="M199" s="38">
        <f t="shared" si="27"/>
        <v>23925</v>
      </c>
      <c r="N199" s="42"/>
      <c r="O199" s="42"/>
      <c r="P199" s="43"/>
      <c r="Q199" s="43"/>
      <c r="R199" s="43"/>
    </row>
    <row r="200" spans="3:18" ht="18.75" x14ac:dyDescent="0.4">
      <c r="C200" s="32" t="s">
        <v>303</v>
      </c>
      <c r="D200" s="40"/>
      <c r="E200" s="39" t="s">
        <v>308</v>
      </c>
      <c r="F200" s="28" t="s">
        <v>345</v>
      </c>
      <c r="G200" s="30"/>
      <c r="H200" s="41">
        <v>0.1</v>
      </c>
      <c r="I200" s="42">
        <v>60</v>
      </c>
      <c r="J200" s="31">
        <v>145</v>
      </c>
      <c r="K200" s="43">
        <f t="shared" si="30"/>
        <v>159.5</v>
      </c>
      <c r="L200" s="43"/>
      <c r="M200" s="38">
        <f t="shared" si="27"/>
        <v>9570</v>
      </c>
      <c r="N200" s="42"/>
      <c r="O200" s="42"/>
      <c r="P200" s="43"/>
      <c r="Q200" s="43"/>
      <c r="R200" s="43"/>
    </row>
    <row r="201" spans="3:18" ht="18.75" x14ac:dyDescent="0.4">
      <c r="C201" s="32" t="s">
        <v>96</v>
      </c>
      <c r="D201" s="40"/>
      <c r="E201" s="39" t="s">
        <v>308</v>
      </c>
      <c r="F201" s="28" t="s">
        <v>346</v>
      </c>
      <c r="G201" s="30">
        <v>4560437940714</v>
      </c>
      <c r="H201" s="41">
        <v>0.1</v>
      </c>
      <c r="I201" s="42">
        <v>48</v>
      </c>
      <c r="J201" s="31">
        <v>150</v>
      </c>
      <c r="K201" s="43">
        <f t="shared" si="30"/>
        <v>165</v>
      </c>
      <c r="L201" s="43"/>
      <c r="M201" s="38">
        <f t="shared" si="27"/>
        <v>7920</v>
      </c>
      <c r="N201" s="42"/>
      <c r="O201" s="42"/>
      <c r="P201" s="43"/>
      <c r="Q201" s="43"/>
      <c r="R201" s="43"/>
    </row>
  </sheetData>
  <mergeCells count="1">
    <mergeCell ref="C178:C180"/>
  </mergeCells>
  <phoneticPr fontId="3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909B-2D5C-47E2-8153-CD4C2CB47AFB}">
  <dimension ref="B2:R78"/>
  <sheetViews>
    <sheetView zoomScale="85" zoomScaleNormal="85" workbookViewId="0">
      <selection activeCell="C59" sqref="C59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17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6" si="0">K6*I6</f>
        <v>15840.000000000002</v>
      </c>
      <c r="N6" s="10"/>
      <c r="O6" s="10" t="str">
        <f t="shared" ref="O6:O60" si="1">IF(N6="","",I6-N6)</f>
        <v/>
      </c>
      <c r="P6" s="9" t="str">
        <f t="shared" ref="P6:P60" si="2">IFERROR(O6*J6,"")</f>
        <v/>
      </c>
      <c r="Q6" s="9" t="str">
        <f t="shared" ref="Q6:Q60" si="3">IFERROR(P6*O6,"")</f>
        <v/>
      </c>
      <c r="R6" s="9" t="str">
        <f t="shared" ref="R6:R60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302</v>
      </c>
      <c r="F9" s="17" t="s">
        <v>140</v>
      </c>
      <c r="G9" s="19"/>
      <c r="H9" s="13">
        <v>0.1</v>
      </c>
      <c r="I9" s="10">
        <v>60</v>
      </c>
      <c r="J9" s="9">
        <v>450</v>
      </c>
      <c r="K9" s="9">
        <f>J9*110%</f>
        <v>495.00000000000006</v>
      </c>
      <c r="L9" s="9"/>
      <c r="M9" s="9">
        <f t="shared" si="0"/>
        <v>29700.000000000004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302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302</v>
      </c>
      <c r="F11" s="17" t="s">
        <v>142</v>
      </c>
      <c r="G11" s="19"/>
      <c r="H11" s="13">
        <v>0.1</v>
      </c>
      <c r="I11" s="10">
        <v>60</v>
      </c>
      <c r="J11" s="9">
        <v>450</v>
      </c>
      <c r="K11" s="9">
        <f t="shared" si="5"/>
        <v>495.00000000000006</v>
      </c>
      <c r="L11" s="9"/>
      <c r="M11" s="9">
        <f t="shared" si="0"/>
        <v>29700.000000000004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302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302</v>
      </c>
      <c r="F13" s="17" t="s">
        <v>144</v>
      </c>
      <c r="G13" s="19"/>
      <c r="H13" s="13">
        <v>0.1</v>
      </c>
      <c r="I13" s="10">
        <v>14</v>
      </c>
      <c r="J13" s="9">
        <v>75</v>
      </c>
      <c r="K13" s="9">
        <f t="shared" si="5"/>
        <v>82.5</v>
      </c>
      <c r="L13" s="9"/>
      <c r="M13" s="9">
        <f t="shared" si="0"/>
        <v>1155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302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302</v>
      </c>
      <c r="F15" s="17" t="s">
        <v>146</v>
      </c>
      <c r="G15" s="19"/>
      <c r="H15" s="13">
        <v>0.1</v>
      </c>
      <c r="I15" s="10">
        <v>14</v>
      </c>
      <c r="J15" s="9">
        <v>75</v>
      </c>
      <c r="K15" s="9">
        <f t="shared" si="5"/>
        <v>82.5</v>
      </c>
      <c r="L15" s="9"/>
      <c r="M15" s="9">
        <f t="shared" si="0"/>
        <v>1155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302</v>
      </c>
      <c r="F16" s="17" t="s">
        <v>147</v>
      </c>
      <c r="G16" s="19"/>
      <c r="H16" s="13">
        <v>0.1</v>
      </c>
      <c r="I16" s="10">
        <v>14</v>
      </c>
      <c r="J16" s="9">
        <v>75</v>
      </c>
      <c r="K16" s="9">
        <f t="shared" si="5"/>
        <v>82.5</v>
      </c>
      <c r="L16" s="9"/>
      <c r="M16" s="9">
        <f t="shared" si="0"/>
        <v>1155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302</v>
      </c>
      <c r="F17" s="17" t="s">
        <v>148</v>
      </c>
      <c r="G17" s="19"/>
      <c r="H17" s="13">
        <v>0.1</v>
      </c>
      <c r="I17" s="10">
        <v>14</v>
      </c>
      <c r="J17" s="9">
        <v>85</v>
      </c>
      <c r="K17" s="9">
        <f t="shared" si="5"/>
        <v>93.500000000000014</v>
      </c>
      <c r="L17" s="9"/>
      <c r="M17" s="9">
        <f t="shared" si="0"/>
        <v>1309.0000000000002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302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302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302</v>
      </c>
      <c r="F20" s="17" t="s">
        <v>151</v>
      </c>
      <c r="G20" s="19"/>
      <c r="H20" s="13">
        <v>0.1</v>
      </c>
      <c r="I20" s="10">
        <v>14</v>
      </c>
      <c r="J20" s="9">
        <v>120</v>
      </c>
      <c r="K20" s="9">
        <f t="shared" si="5"/>
        <v>132</v>
      </c>
      <c r="L20" s="9"/>
      <c r="M20" s="9">
        <f t="shared" si="0"/>
        <v>1848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302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302</v>
      </c>
      <c r="F22" s="17" t="s">
        <v>153</v>
      </c>
      <c r="G22" s="19"/>
      <c r="H22" s="13">
        <v>0.1</v>
      </c>
      <c r="I22" s="10">
        <v>14</v>
      </c>
      <c r="J22" s="9">
        <v>120</v>
      </c>
      <c r="K22" s="9">
        <f t="shared" si="5"/>
        <v>132</v>
      </c>
      <c r="L22" s="9"/>
      <c r="M22" s="9">
        <f t="shared" si="0"/>
        <v>1848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302</v>
      </c>
      <c r="F23" s="17" t="s">
        <v>154</v>
      </c>
      <c r="G23" s="19"/>
      <c r="H23" s="13">
        <v>0.1</v>
      </c>
      <c r="I23" s="10">
        <v>60</v>
      </c>
      <c r="J23" s="9">
        <v>450</v>
      </c>
      <c r="K23" s="9">
        <f t="shared" si="5"/>
        <v>495.00000000000006</v>
      </c>
      <c r="L23" s="9"/>
      <c r="M23" s="9">
        <f t="shared" si="0"/>
        <v>29700.000000000004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302</v>
      </c>
      <c r="F24" s="17" t="s">
        <v>155</v>
      </c>
      <c r="G24" s="19"/>
      <c r="H24" s="13">
        <v>0.1</v>
      </c>
      <c r="I24" s="10">
        <v>60</v>
      </c>
      <c r="J24" s="9">
        <v>450</v>
      </c>
      <c r="K24" s="9">
        <f t="shared" si="5"/>
        <v>495.00000000000006</v>
      </c>
      <c r="L24" s="9"/>
      <c r="M24" s="9">
        <f t="shared" si="0"/>
        <v>29700.000000000004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302</v>
      </c>
      <c r="F25" s="17" t="s">
        <v>156</v>
      </c>
      <c r="G25" s="19"/>
      <c r="H25" s="13">
        <v>0.1</v>
      </c>
      <c r="I25" s="10">
        <v>60</v>
      </c>
      <c r="J25" s="9">
        <v>450</v>
      </c>
      <c r="K25" s="9">
        <f t="shared" si="5"/>
        <v>495.00000000000006</v>
      </c>
      <c r="L25" s="9"/>
      <c r="M25" s="9">
        <f t="shared" si="0"/>
        <v>29700.000000000004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302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x14ac:dyDescent="0.4">
      <c r="B27" s="8"/>
      <c r="C27" s="8"/>
      <c r="D27" s="8"/>
      <c r="E27" s="8" t="s">
        <v>163</v>
      </c>
      <c r="F27" s="8" t="s">
        <v>160</v>
      </c>
      <c r="G27" s="19" t="s">
        <v>159</v>
      </c>
      <c r="H27" s="13">
        <v>0.1</v>
      </c>
      <c r="I27" s="10">
        <v>90</v>
      </c>
      <c r="J27" s="9"/>
      <c r="K27" s="9"/>
      <c r="L27" s="9"/>
      <c r="M27" s="9"/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x14ac:dyDescent="0.4">
      <c r="B28" s="8"/>
      <c r="C28" s="8"/>
      <c r="D28" s="8"/>
      <c r="E28" s="8" t="s">
        <v>163</v>
      </c>
      <c r="F28" s="8" t="s">
        <v>161</v>
      </c>
      <c r="G28" s="19" t="s">
        <v>159</v>
      </c>
      <c r="H28" s="13">
        <v>0.1</v>
      </c>
      <c r="I28" s="10">
        <v>90</v>
      </c>
      <c r="J28" s="9"/>
      <c r="K28" s="9"/>
      <c r="L28" s="9"/>
      <c r="M28" s="9"/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300</v>
      </c>
      <c r="D29" s="8"/>
      <c r="E29" s="8" t="s">
        <v>308</v>
      </c>
      <c r="F29" s="27" t="s">
        <v>309</v>
      </c>
      <c r="G29" s="30">
        <v>4977629310376</v>
      </c>
      <c r="H29" s="41">
        <v>0.08</v>
      </c>
      <c r="I29" s="10">
        <v>96</v>
      </c>
      <c r="J29" s="31">
        <v>40</v>
      </c>
      <c r="K29" s="9">
        <f>J29*108%</f>
        <v>43.2</v>
      </c>
      <c r="L29" s="9"/>
      <c r="M29" s="9">
        <f>K29*I29</f>
        <v>4147.2000000000007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303</v>
      </c>
      <c r="D30" s="8"/>
      <c r="E30" s="8" t="s">
        <v>308</v>
      </c>
      <c r="F30" s="28" t="s">
        <v>310</v>
      </c>
      <c r="G30" s="30">
        <v>2000000062716</v>
      </c>
      <c r="H30" s="41">
        <v>0.1</v>
      </c>
      <c r="I30" s="10">
        <v>100</v>
      </c>
      <c r="J30" s="31">
        <v>48</v>
      </c>
      <c r="K30" s="9">
        <f>J30*110%</f>
        <v>52.800000000000004</v>
      </c>
      <c r="L30" s="9"/>
      <c r="M30" s="9">
        <f t="shared" ref="M30:M59" si="6">K30*I30</f>
        <v>5280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311</v>
      </c>
      <c r="G31" s="30">
        <v>2000000064529</v>
      </c>
      <c r="H31" s="41">
        <v>0.1</v>
      </c>
      <c r="I31" s="10">
        <v>60</v>
      </c>
      <c r="J31" s="31">
        <v>80</v>
      </c>
      <c r="K31" s="9">
        <f t="shared" ref="K31:K47" si="7">J31*110%</f>
        <v>88</v>
      </c>
      <c r="L31" s="9"/>
      <c r="M31" s="9">
        <f t="shared" si="6"/>
        <v>5280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304</v>
      </c>
      <c r="D32" s="8"/>
      <c r="E32" s="8" t="s">
        <v>308</v>
      </c>
      <c r="F32" s="28" t="s">
        <v>312</v>
      </c>
      <c r="G32" s="30">
        <v>4973512263651</v>
      </c>
      <c r="H32" s="41">
        <v>0.1</v>
      </c>
      <c r="I32" s="10">
        <v>100</v>
      </c>
      <c r="J32" s="31">
        <v>80</v>
      </c>
      <c r="K32" s="9">
        <f t="shared" si="7"/>
        <v>88</v>
      </c>
      <c r="L32" s="9"/>
      <c r="M32" s="9">
        <f t="shared" si="6"/>
        <v>8800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304</v>
      </c>
      <c r="D33" s="8"/>
      <c r="E33" s="8" t="s">
        <v>308</v>
      </c>
      <c r="F33" s="28" t="s">
        <v>313</v>
      </c>
      <c r="G33" s="30">
        <v>4518516000088</v>
      </c>
      <c r="H33" s="41">
        <v>0.1</v>
      </c>
      <c r="I33" s="10">
        <v>48</v>
      </c>
      <c r="J33" s="31">
        <v>130</v>
      </c>
      <c r="K33" s="9">
        <f t="shared" si="7"/>
        <v>143</v>
      </c>
      <c r="L33" s="9"/>
      <c r="M33" s="9">
        <f t="shared" si="6"/>
        <v>6864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303</v>
      </c>
      <c r="D34" s="8"/>
      <c r="E34" s="8" t="s">
        <v>308</v>
      </c>
      <c r="F34" s="28" t="s">
        <v>314</v>
      </c>
      <c r="G34" s="30">
        <v>4580419310328</v>
      </c>
      <c r="H34" s="41">
        <v>0.1</v>
      </c>
      <c r="I34" s="10">
        <v>50</v>
      </c>
      <c r="J34" s="31">
        <v>280</v>
      </c>
      <c r="K34" s="9">
        <f t="shared" si="7"/>
        <v>308</v>
      </c>
      <c r="L34" s="9"/>
      <c r="M34" s="9">
        <f t="shared" si="6"/>
        <v>15400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315</v>
      </c>
      <c r="G35" s="30">
        <v>4904705163304</v>
      </c>
      <c r="H35" s="41">
        <v>0.1</v>
      </c>
      <c r="I35" s="10">
        <v>240</v>
      </c>
      <c r="J35" s="31">
        <v>19</v>
      </c>
      <c r="K35" s="9">
        <f t="shared" si="7"/>
        <v>20.900000000000002</v>
      </c>
      <c r="L35" s="9"/>
      <c r="M35" s="9">
        <f t="shared" si="6"/>
        <v>5016.0000000000009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304</v>
      </c>
      <c r="D36" s="8"/>
      <c r="E36" s="8" t="s">
        <v>308</v>
      </c>
      <c r="F36" s="28" t="s">
        <v>316</v>
      </c>
      <c r="G36" s="30">
        <v>4966840253630</v>
      </c>
      <c r="H36" s="41">
        <v>0.1</v>
      </c>
      <c r="I36" s="10">
        <v>240</v>
      </c>
      <c r="J36" s="31">
        <v>22</v>
      </c>
      <c r="K36" s="9">
        <f t="shared" si="7"/>
        <v>24.200000000000003</v>
      </c>
      <c r="L36" s="9"/>
      <c r="M36" s="9">
        <f t="shared" si="6"/>
        <v>5808.0000000000009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304</v>
      </c>
      <c r="D37" s="8"/>
      <c r="E37" s="8" t="s">
        <v>308</v>
      </c>
      <c r="F37" s="28" t="s">
        <v>317</v>
      </c>
      <c r="G37" s="30">
        <v>8010630333869</v>
      </c>
      <c r="H37" s="41">
        <v>0.1</v>
      </c>
      <c r="I37" s="10">
        <v>400</v>
      </c>
      <c r="J37" s="31">
        <v>30</v>
      </c>
      <c r="K37" s="9">
        <f t="shared" si="7"/>
        <v>33</v>
      </c>
      <c r="L37" s="9"/>
      <c r="M37" s="9">
        <f t="shared" si="6"/>
        <v>13200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303</v>
      </c>
      <c r="D38" s="8"/>
      <c r="E38" s="8" t="s">
        <v>308</v>
      </c>
      <c r="F38" s="28" t="s">
        <v>318</v>
      </c>
      <c r="G38" s="30">
        <v>4528364820028</v>
      </c>
      <c r="H38" s="41">
        <v>0.1</v>
      </c>
      <c r="I38" s="10">
        <v>100</v>
      </c>
      <c r="J38" s="31">
        <v>35</v>
      </c>
      <c r="K38" s="9">
        <f t="shared" si="7"/>
        <v>38.5</v>
      </c>
      <c r="L38" s="9"/>
      <c r="M38" s="9">
        <f t="shared" si="6"/>
        <v>3850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304</v>
      </c>
      <c r="D39" s="8"/>
      <c r="E39" s="8" t="s">
        <v>308</v>
      </c>
      <c r="F39" s="28" t="s">
        <v>319</v>
      </c>
      <c r="G39" s="30">
        <v>4966840251551</v>
      </c>
      <c r="H39" s="41">
        <v>0.1</v>
      </c>
      <c r="I39" s="10">
        <v>144</v>
      </c>
      <c r="J39" s="31">
        <v>40</v>
      </c>
      <c r="K39" s="9">
        <f t="shared" si="7"/>
        <v>44</v>
      </c>
      <c r="L39" s="9"/>
      <c r="M39" s="9">
        <f t="shared" si="6"/>
        <v>6336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26" t="s">
        <v>305</v>
      </c>
      <c r="D40" s="8"/>
      <c r="E40" s="8" t="s">
        <v>308</v>
      </c>
      <c r="F40" s="28" t="s">
        <v>320</v>
      </c>
      <c r="G40" s="30">
        <v>4970687211159</v>
      </c>
      <c r="H40" s="41">
        <v>0.1</v>
      </c>
      <c r="I40" s="10">
        <v>120</v>
      </c>
      <c r="J40" s="31">
        <v>80</v>
      </c>
      <c r="K40" s="9">
        <f t="shared" si="7"/>
        <v>88</v>
      </c>
      <c r="L40" s="9"/>
      <c r="M40" s="9">
        <f t="shared" si="6"/>
        <v>10560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26" t="s">
        <v>305</v>
      </c>
      <c r="D41" s="8"/>
      <c r="E41" s="8" t="s">
        <v>308</v>
      </c>
      <c r="F41" s="28" t="s">
        <v>321</v>
      </c>
      <c r="G41" s="30">
        <v>4970687211241</v>
      </c>
      <c r="H41" s="41">
        <v>0.1</v>
      </c>
      <c r="I41" s="10">
        <v>120</v>
      </c>
      <c r="J41" s="31">
        <v>80</v>
      </c>
      <c r="K41" s="9">
        <f t="shared" si="7"/>
        <v>88</v>
      </c>
      <c r="L41" s="9"/>
      <c r="M41" s="9">
        <f t="shared" si="6"/>
        <v>10560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26" t="s">
        <v>96</v>
      </c>
      <c r="D42" s="8"/>
      <c r="E42" s="8" t="s">
        <v>308</v>
      </c>
      <c r="F42" s="28" t="s">
        <v>322</v>
      </c>
      <c r="G42" s="30">
        <v>4538291208509</v>
      </c>
      <c r="H42" s="41">
        <v>0.1</v>
      </c>
      <c r="I42" s="10">
        <v>72</v>
      </c>
      <c r="J42" s="31">
        <v>90</v>
      </c>
      <c r="K42" s="9">
        <f t="shared" si="7"/>
        <v>99.000000000000014</v>
      </c>
      <c r="L42" s="9"/>
      <c r="M42" s="9">
        <f t="shared" si="6"/>
        <v>7128.0000000000009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121" t="s">
        <v>304</v>
      </c>
      <c r="D43" s="8"/>
      <c r="E43" s="8" t="s">
        <v>308</v>
      </c>
      <c r="F43" s="28" t="s">
        <v>323</v>
      </c>
      <c r="G43" s="30">
        <v>4510482194181</v>
      </c>
      <c r="H43" s="41">
        <v>0.1</v>
      </c>
      <c r="I43" s="10">
        <v>24</v>
      </c>
      <c r="J43" s="31">
        <v>100</v>
      </c>
      <c r="K43" s="9">
        <f t="shared" si="7"/>
        <v>110.00000000000001</v>
      </c>
      <c r="L43" s="9"/>
      <c r="M43" s="9">
        <f t="shared" si="6"/>
        <v>2640.0000000000005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122"/>
      <c r="D44" s="8"/>
      <c r="E44" s="8" t="s">
        <v>308</v>
      </c>
      <c r="F44" s="28" t="s">
        <v>325</v>
      </c>
      <c r="G44" s="30">
        <v>4510482194204</v>
      </c>
      <c r="H44" s="41">
        <v>0.1</v>
      </c>
      <c r="I44" s="10">
        <v>24</v>
      </c>
      <c r="J44" s="31">
        <v>100</v>
      </c>
      <c r="K44" s="9">
        <f t="shared" si="7"/>
        <v>110.00000000000001</v>
      </c>
      <c r="L44" s="9"/>
      <c r="M44" s="9">
        <f t="shared" si="6"/>
        <v>2640.0000000000005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26" t="s">
        <v>304</v>
      </c>
      <c r="D45" s="8"/>
      <c r="E45" s="8" t="s">
        <v>308</v>
      </c>
      <c r="F45" s="28" t="s">
        <v>326</v>
      </c>
      <c r="G45" s="30">
        <v>4972603100585</v>
      </c>
      <c r="H45" s="41">
        <v>0.1</v>
      </c>
      <c r="I45" s="10">
        <v>30</v>
      </c>
      <c r="J45" s="31">
        <v>100</v>
      </c>
      <c r="K45" s="9">
        <f t="shared" si="7"/>
        <v>110.00000000000001</v>
      </c>
      <c r="L45" s="9"/>
      <c r="M45" s="9">
        <f t="shared" si="6"/>
        <v>3300.0000000000005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18.75" x14ac:dyDescent="0.4">
      <c r="B46" s="8"/>
      <c r="C46" s="26" t="s">
        <v>304</v>
      </c>
      <c r="D46" s="8"/>
      <c r="E46" s="8" t="s">
        <v>308</v>
      </c>
      <c r="F46" s="28" t="s">
        <v>327</v>
      </c>
      <c r="G46" s="30">
        <v>4589596691961</v>
      </c>
      <c r="H46" s="41">
        <v>0.1</v>
      </c>
      <c r="I46" s="10">
        <v>36</v>
      </c>
      <c r="J46" s="31">
        <v>140</v>
      </c>
      <c r="K46" s="9">
        <f t="shared" si="7"/>
        <v>154</v>
      </c>
      <c r="L46" s="9"/>
      <c r="M46" s="9">
        <f t="shared" si="6"/>
        <v>5544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18.75" x14ac:dyDescent="0.4">
      <c r="B47" s="8"/>
      <c r="C47" s="26" t="s">
        <v>304</v>
      </c>
      <c r="D47" s="8"/>
      <c r="E47" s="8" t="s">
        <v>308</v>
      </c>
      <c r="F47" s="28" t="s">
        <v>347</v>
      </c>
      <c r="G47" s="30">
        <v>4939560247197</v>
      </c>
      <c r="H47" s="41">
        <v>0.1</v>
      </c>
      <c r="I47" s="10">
        <v>60</v>
      </c>
      <c r="J47" s="31">
        <v>216</v>
      </c>
      <c r="K47" s="9">
        <f t="shared" si="7"/>
        <v>237.60000000000002</v>
      </c>
      <c r="L47" s="9"/>
      <c r="M47" s="9">
        <f t="shared" si="6"/>
        <v>14256.000000000002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37.5" x14ac:dyDescent="0.4">
      <c r="B48" s="8"/>
      <c r="C48" s="26" t="s">
        <v>300</v>
      </c>
      <c r="D48" s="8"/>
      <c r="E48" s="8" t="s">
        <v>308</v>
      </c>
      <c r="F48" s="29" t="s">
        <v>329</v>
      </c>
      <c r="G48" s="30">
        <v>4960867008396</v>
      </c>
      <c r="H48" s="41">
        <v>0.08</v>
      </c>
      <c r="I48" s="10">
        <v>30</v>
      </c>
      <c r="J48" s="31">
        <v>240</v>
      </c>
      <c r="K48" s="9">
        <f t="shared" ref="K48" si="8">J48*108%</f>
        <v>259.20000000000005</v>
      </c>
      <c r="L48" s="9"/>
      <c r="M48" s="9">
        <f t="shared" si="6"/>
        <v>7776.0000000000018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304</v>
      </c>
      <c r="D49" s="8"/>
      <c r="E49" s="8" t="s">
        <v>308</v>
      </c>
      <c r="F49" s="28" t="s">
        <v>333</v>
      </c>
      <c r="G49" s="30">
        <v>4939560521617</v>
      </c>
      <c r="H49" s="41">
        <v>0.1</v>
      </c>
      <c r="I49" s="10">
        <v>12</v>
      </c>
      <c r="J49" s="31">
        <v>540</v>
      </c>
      <c r="K49" s="9">
        <f t="shared" ref="K49:K59" si="9">J49*110%</f>
        <v>594</v>
      </c>
      <c r="L49" s="9"/>
      <c r="M49" s="9">
        <f t="shared" si="6"/>
        <v>7128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304</v>
      </c>
      <c r="D50" s="8"/>
      <c r="E50" s="8" t="s">
        <v>308</v>
      </c>
      <c r="F50" s="28" t="s">
        <v>334</v>
      </c>
      <c r="G50" s="30">
        <v>2000000068152</v>
      </c>
      <c r="H50" s="41">
        <v>0.1</v>
      </c>
      <c r="I50" s="10">
        <v>200</v>
      </c>
      <c r="J50" s="31">
        <v>30</v>
      </c>
      <c r="K50" s="9">
        <f t="shared" si="9"/>
        <v>33</v>
      </c>
      <c r="L50" s="9"/>
      <c r="M50" s="9">
        <f t="shared" si="6"/>
        <v>6600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303</v>
      </c>
      <c r="D51" s="8"/>
      <c r="E51" s="8" t="s">
        <v>308</v>
      </c>
      <c r="F51" s="28" t="s">
        <v>336</v>
      </c>
      <c r="G51" s="30">
        <v>4580419310397</v>
      </c>
      <c r="H51" s="41">
        <v>0.1</v>
      </c>
      <c r="I51" s="10">
        <v>24</v>
      </c>
      <c r="J51" s="31">
        <v>330</v>
      </c>
      <c r="K51" s="9">
        <f t="shared" si="9"/>
        <v>363.00000000000006</v>
      </c>
      <c r="L51" s="9"/>
      <c r="M51" s="9">
        <f t="shared" si="6"/>
        <v>8712.0000000000018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26" t="s">
        <v>304</v>
      </c>
      <c r="D52" s="8"/>
      <c r="E52" s="8" t="s">
        <v>308</v>
      </c>
      <c r="F52" s="28" t="s">
        <v>338</v>
      </c>
      <c r="G52" s="30">
        <v>4510482229425</v>
      </c>
      <c r="H52" s="41">
        <v>0.1</v>
      </c>
      <c r="I52" s="10">
        <v>24</v>
      </c>
      <c r="J52" s="31">
        <v>80</v>
      </c>
      <c r="K52" s="9">
        <f t="shared" si="9"/>
        <v>88</v>
      </c>
      <c r="L52" s="9"/>
      <c r="M52" s="9">
        <f t="shared" si="6"/>
        <v>2112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26" t="s">
        <v>307</v>
      </c>
      <c r="D53" s="8"/>
      <c r="E53" s="8" t="s">
        <v>308</v>
      </c>
      <c r="F53" s="28" t="s">
        <v>339</v>
      </c>
      <c r="G53" s="30">
        <v>4573135361057</v>
      </c>
      <c r="H53" s="41">
        <v>0.1</v>
      </c>
      <c r="I53" s="10">
        <v>48</v>
      </c>
      <c r="J53" s="31">
        <v>80</v>
      </c>
      <c r="K53" s="9">
        <f t="shared" si="9"/>
        <v>88</v>
      </c>
      <c r="L53" s="9"/>
      <c r="M53" s="9">
        <f t="shared" si="6"/>
        <v>4224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26" t="s">
        <v>304</v>
      </c>
      <c r="D54" s="8"/>
      <c r="E54" s="8" t="s">
        <v>308</v>
      </c>
      <c r="F54" s="28" t="s">
        <v>342</v>
      </c>
      <c r="G54" s="30">
        <v>4580487007922</v>
      </c>
      <c r="H54" s="41">
        <v>0.1</v>
      </c>
      <c r="I54" s="10">
        <v>6</v>
      </c>
      <c r="J54" s="31">
        <v>850</v>
      </c>
      <c r="K54" s="9">
        <f t="shared" si="9"/>
        <v>935.00000000000011</v>
      </c>
      <c r="L54" s="9"/>
      <c r="M54" s="9">
        <f t="shared" si="6"/>
        <v>5610.0000000000009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18.75" x14ac:dyDescent="0.4">
      <c r="B55" s="8"/>
      <c r="C55" s="26" t="s">
        <v>304</v>
      </c>
      <c r="D55" s="8"/>
      <c r="E55" s="8" t="s">
        <v>308</v>
      </c>
      <c r="F55" s="28" t="s">
        <v>343</v>
      </c>
      <c r="G55" s="30"/>
      <c r="H55" s="41">
        <v>0.1</v>
      </c>
      <c r="I55" s="10">
        <v>384</v>
      </c>
      <c r="J55" s="31">
        <v>9</v>
      </c>
      <c r="K55" s="9">
        <f t="shared" si="9"/>
        <v>9.9</v>
      </c>
      <c r="L55" s="9"/>
      <c r="M55" s="9">
        <f t="shared" si="6"/>
        <v>3801.6000000000004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ht="18.75" x14ac:dyDescent="0.4">
      <c r="B56" s="8"/>
      <c r="C56" s="26" t="s">
        <v>307</v>
      </c>
      <c r="D56" s="8"/>
      <c r="E56" s="8" t="s">
        <v>308</v>
      </c>
      <c r="F56" s="28" t="s">
        <v>344</v>
      </c>
      <c r="G56" s="30"/>
      <c r="H56" s="41">
        <v>0.1</v>
      </c>
      <c r="I56" s="10">
        <v>108</v>
      </c>
      <c r="J56" s="31">
        <v>140</v>
      </c>
      <c r="K56" s="9">
        <f t="shared" si="9"/>
        <v>154</v>
      </c>
      <c r="L56" s="9"/>
      <c r="M56" s="9">
        <f t="shared" si="6"/>
        <v>16632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ht="37.5" x14ac:dyDescent="0.4">
      <c r="B57" s="8"/>
      <c r="C57" s="26" t="s">
        <v>303</v>
      </c>
      <c r="D57" s="8"/>
      <c r="E57" s="8" t="s">
        <v>308</v>
      </c>
      <c r="F57" s="29" t="s">
        <v>348</v>
      </c>
      <c r="G57" s="30"/>
      <c r="H57" s="41">
        <v>0.1</v>
      </c>
      <c r="I57" s="10">
        <v>150</v>
      </c>
      <c r="J57" s="31">
        <v>145</v>
      </c>
      <c r="K57" s="9">
        <f t="shared" si="9"/>
        <v>159.5</v>
      </c>
      <c r="L57" s="9"/>
      <c r="M57" s="9">
        <f t="shared" si="6"/>
        <v>23925</v>
      </c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ht="18.75" x14ac:dyDescent="0.4">
      <c r="B58" s="8"/>
      <c r="C58" s="26" t="s">
        <v>303</v>
      </c>
      <c r="D58" s="8"/>
      <c r="E58" s="8" t="s">
        <v>308</v>
      </c>
      <c r="F58" s="28" t="s">
        <v>345</v>
      </c>
      <c r="G58" s="30"/>
      <c r="H58" s="41">
        <v>0.1</v>
      </c>
      <c r="I58" s="10">
        <v>60</v>
      </c>
      <c r="J58" s="31">
        <v>145</v>
      </c>
      <c r="K58" s="9">
        <f t="shared" si="9"/>
        <v>159.5</v>
      </c>
      <c r="L58" s="9"/>
      <c r="M58" s="9">
        <f t="shared" si="6"/>
        <v>9570</v>
      </c>
      <c r="N58" s="10"/>
      <c r="O58" s="10" t="str">
        <f t="shared" si="1"/>
        <v/>
      </c>
      <c r="P58" s="9" t="str">
        <f t="shared" si="2"/>
        <v/>
      </c>
      <c r="Q58" s="9" t="str">
        <f t="shared" si="3"/>
        <v/>
      </c>
      <c r="R58" s="9" t="str">
        <f t="shared" si="4"/>
        <v/>
      </c>
    </row>
    <row r="59" spans="2:18" ht="18.75" x14ac:dyDescent="0.4">
      <c r="B59" s="8"/>
      <c r="C59" s="26" t="s">
        <v>96</v>
      </c>
      <c r="D59" s="8"/>
      <c r="E59" s="8" t="s">
        <v>308</v>
      </c>
      <c r="F59" s="28" t="s">
        <v>346</v>
      </c>
      <c r="G59" s="30">
        <v>4560437940714</v>
      </c>
      <c r="H59" s="41">
        <v>0.1</v>
      </c>
      <c r="I59" s="10">
        <v>48</v>
      </c>
      <c r="J59" s="31">
        <v>150</v>
      </c>
      <c r="K59" s="9">
        <f t="shared" si="9"/>
        <v>165</v>
      </c>
      <c r="L59" s="9"/>
      <c r="M59" s="9">
        <f t="shared" si="6"/>
        <v>7920</v>
      </c>
      <c r="N59" s="10"/>
      <c r="O59" s="10" t="str">
        <f t="shared" si="1"/>
        <v/>
      </c>
      <c r="P59" s="9" t="str">
        <f t="shared" si="2"/>
        <v/>
      </c>
      <c r="Q59" s="9" t="str">
        <f t="shared" si="3"/>
        <v/>
      </c>
      <c r="R59" s="9" t="str">
        <f t="shared" si="4"/>
        <v/>
      </c>
    </row>
    <row r="60" spans="2:18" x14ac:dyDescent="0.4">
      <c r="B60" s="8"/>
      <c r="C60" s="8"/>
      <c r="D60" s="8"/>
      <c r="E60" s="8"/>
      <c r="F60" s="8"/>
      <c r="G60" s="19"/>
      <c r="H60" s="8"/>
      <c r="I60" s="10"/>
      <c r="J60" s="9"/>
      <c r="K60" s="9"/>
      <c r="L60" s="9"/>
      <c r="M60" s="9"/>
      <c r="N60" s="10"/>
      <c r="O60" s="10" t="str">
        <f t="shared" si="1"/>
        <v/>
      </c>
      <c r="P60" s="9" t="str">
        <f t="shared" si="2"/>
        <v/>
      </c>
      <c r="Q60" s="9" t="str">
        <f t="shared" si="3"/>
        <v/>
      </c>
      <c r="R60" s="9" t="str">
        <f t="shared" si="4"/>
        <v/>
      </c>
    </row>
    <row r="61" spans="2:18" x14ac:dyDescent="0.4">
      <c r="B61" s="8"/>
      <c r="C61" s="8"/>
      <c r="D61" s="8"/>
      <c r="E61" s="8"/>
      <c r="F61" s="8"/>
      <c r="G61" s="19"/>
      <c r="H61" s="8"/>
      <c r="I61" s="10"/>
      <c r="J61" s="9"/>
      <c r="K61" s="9"/>
      <c r="L61" s="9"/>
      <c r="M61" s="9"/>
      <c r="N61" s="10"/>
      <c r="O61" s="10" t="str">
        <f t="shared" ref="O61:O78" si="10">IF(N61="","",I61-N61)</f>
        <v/>
      </c>
      <c r="P61" s="9" t="str">
        <f t="shared" ref="P61:P78" si="11">IFERROR(O61*J61,"")</f>
        <v/>
      </c>
      <c r="Q61" s="9" t="str">
        <f t="shared" ref="Q61:Q78" si="12">IFERROR(P61*O61,"")</f>
        <v/>
      </c>
      <c r="R61" s="9" t="str">
        <f t="shared" ref="R61:R78" si="13">IFERROR(Q61-P61,"")</f>
        <v/>
      </c>
    </row>
    <row r="62" spans="2:18" x14ac:dyDescent="0.4">
      <c r="B62" s="8"/>
      <c r="C62" s="8"/>
      <c r="D62" s="8"/>
      <c r="E62" s="8"/>
      <c r="F62" s="8"/>
      <c r="G62" s="19"/>
      <c r="H62" s="8"/>
      <c r="I62" s="10"/>
      <c r="J62" s="9"/>
      <c r="K62" s="9"/>
      <c r="L62" s="9"/>
      <c r="M62" s="9"/>
      <c r="N62" s="10"/>
      <c r="O62" s="10" t="str">
        <f t="shared" si="10"/>
        <v/>
      </c>
      <c r="P62" s="9" t="str">
        <f t="shared" si="11"/>
        <v/>
      </c>
      <c r="Q62" s="9" t="str">
        <f t="shared" si="12"/>
        <v/>
      </c>
      <c r="R62" s="9" t="str">
        <f t="shared" si="13"/>
        <v/>
      </c>
    </row>
    <row r="63" spans="2:18" x14ac:dyDescent="0.4">
      <c r="B63" s="8"/>
      <c r="C63" s="8"/>
      <c r="D63" s="8"/>
      <c r="E63" s="8"/>
      <c r="F63" s="8"/>
      <c r="G63" s="19"/>
      <c r="H63" s="8"/>
      <c r="I63" s="10"/>
      <c r="J63" s="9"/>
      <c r="K63" s="9"/>
      <c r="L63" s="9"/>
      <c r="M63" s="9"/>
      <c r="N63" s="10"/>
      <c r="O63" s="10" t="str">
        <f t="shared" si="10"/>
        <v/>
      </c>
      <c r="P63" s="9" t="str">
        <f t="shared" si="11"/>
        <v/>
      </c>
      <c r="Q63" s="9" t="str">
        <f t="shared" si="12"/>
        <v/>
      </c>
      <c r="R63" s="9" t="str">
        <f t="shared" si="13"/>
        <v/>
      </c>
    </row>
    <row r="64" spans="2:18" x14ac:dyDescent="0.4">
      <c r="B64" s="8"/>
      <c r="C64" s="8"/>
      <c r="D64" s="8"/>
      <c r="E64" s="8"/>
      <c r="F64" s="8"/>
      <c r="G64" s="19"/>
      <c r="H64" s="8"/>
      <c r="I64" s="10"/>
      <c r="J64" s="9"/>
      <c r="K64" s="9"/>
      <c r="L64" s="9"/>
      <c r="M64" s="9"/>
      <c r="N64" s="10"/>
      <c r="O64" s="10" t="str">
        <f t="shared" si="10"/>
        <v/>
      </c>
      <c r="P64" s="9" t="str">
        <f t="shared" si="11"/>
        <v/>
      </c>
      <c r="Q64" s="9" t="str">
        <f t="shared" si="12"/>
        <v/>
      </c>
      <c r="R64" s="9" t="str">
        <f t="shared" si="13"/>
        <v/>
      </c>
    </row>
    <row r="65" spans="2:18" x14ac:dyDescent="0.4">
      <c r="B65" s="8"/>
      <c r="C65" s="8"/>
      <c r="D65" s="8"/>
      <c r="E65" s="8"/>
      <c r="F65" s="8"/>
      <c r="G65" s="19"/>
      <c r="H65" s="8"/>
      <c r="I65" s="10"/>
      <c r="J65" s="9"/>
      <c r="K65" s="9"/>
      <c r="L65" s="9"/>
      <c r="M65" s="9"/>
      <c r="N65" s="10"/>
      <c r="O65" s="10" t="str">
        <f t="shared" si="10"/>
        <v/>
      </c>
      <c r="P65" s="9" t="str">
        <f t="shared" si="11"/>
        <v/>
      </c>
      <c r="Q65" s="9" t="str">
        <f t="shared" si="12"/>
        <v/>
      </c>
      <c r="R65" s="9" t="str">
        <f t="shared" si="13"/>
        <v/>
      </c>
    </row>
    <row r="66" spans="2:18" x14ac:dyDescent="0.4">
      <c r="B66" s="8"/>
      <c r="C66" s="8"/>
      <c r="D66" s="8"/>
      <c r="E66" s="8"/>
      <c r="F66" s="8"/>
      <c r="G66" s="19"/>
      <c r="H66" s="8"/>
      <c r="I66" s="10"/>
      <c r="J66" s="9"/>
      <c r="K66" s="9"/>
      <c r="L66" s="9"/>
      <c r="M66" s="9"/>
      <c r="N66" s="10"/>
      <c r="O66" s="10" t="str">
        <f t="shared" si="10"/>
        <v/>
      </c>
      <c r="P66" s="9" t="str">
        <f t="shared" si="11"/>
        <v/>
      </c>
      <c r="Q66" s="9" t="str">
        <f t="shared" si="12"/>
        <v/>
      </c>
      <c r="R66" s="9" t="str">
        <f t="shared" si="13"/>
        <v/>
      </c>
    </row>
    <row r="67" spans="2:18" x14ac:dyDescent="0.4">
      <c r="B67" s="8"/>
      <c r="C67" s="8"/>
      <c r="D67" s="8"/>
      <c r="E67" s="8"/>
      <c r="F67" s="8"/>
      <c r="G67" s="19"/>
      <c r="H67" s="8"/>
      <c r="I67" s="10"/>
      <c r="J67" s="9"/>
      <c r="K67" s="9"/>
      <c r="L67" s="9"/>
      <c r="M67" s="9"/>
      <c r="N67" s="10"/>
      <c r="O67" s="10" t="str">
        <f t="shared" si="10"/>
        <v/>
      </c>
      <c r="P67" s="9" t="str">
        <f t="shared" si="11"/>
        <v/>
      </c>
      <c r="Q67" s="9" t="str">
        <f t="shared" si="12"/>
        <v/>
      </c>
      <c r="R67" s="9" t="str">
        <f t="shared" si="13"/>
        <v/>
      </c>
    </row>
    <row r="68" spans="2:18" x14ac:dyDescent="0.4">
      <c r="B68" s="8"/>
      <c r="C68" s="8"/>
      <c r="D68" s="8"/>
      <c r="E68" s="8"/>
      <c r="F68" s="8"/>
      <c r="G68" s="19"/>
      <c r="H68" s="8"/>
      <c r="I68" s="10"/>
      <c r="J68" s="9"/>
      <c r="K68" s="9"/>
      <c r="L68" s="9"/>
      <c r="M68" s="9"/>
      <c r="N68" s="10"/>
      <c r="O68" s="10" t="str">
        <f t="shared" si="10"/>
        <v/>
      </c>
      <c r="P68" s="9" t="str">
        <f t="shared" si="11"/>
        <v/>
      </c>
      <c r="Q68" s="9" t="str">
        <f t="shared" si="12"/>
        <v/>
      </c>
      <c r="R68" s="9" t="str">
        <f t="shared" si="13"/>
        <v/>
      </c>
    </row>
    <row r="69" spans="2:18" x14ac:dyDescent="0.4">
      <c r="B69" s="8"/>
      <c r="C69" s="8"/>
      <c r="D69" s="8"/>
      <c r="E69" s="8"/>
      <c r="F69" s="8"/>
      <c r="G69" s="19"/>
      <c r="H69" s="8"/>
      <c r="I69" s="10"/>
      <c r="J69" s="9"/>
      <c r="K69" s="9"/>
      <c r="L69" s="9"/>
      <c r="M69" s="9"/>
      <c r="N69" s="10"/>
      <c r="O69" s="10" t="str">
        <f t="shared" si="10"/>
        <v/>
      </c>
      <c r="P69" s="9" t="str">
        <f t="shared" si="11"/>
        <v/>
      </c>
      <c r="Q69" s="9" t="str">
        <f t="shared" si="12"/>
        <v/>
      </c>
      <c r="R69" s="9" t="str">
        <f t="shared" si="13"/>
        <v/>
      </c>
    </row>
    <row r="70" spans="2:18" x14ac:dyDescent="0.4">
      <c r="B70" s="8"/>
      <c r="C70" s="8"/>
      <c r="D70" s="8"/>
      <c r="E70" s="8"/>
      <c r="F70" s="8"/>
      <c r="G70" s="19"/>
      <c r="H70" s="8"/>
      <c r="I70" s="10"/>
      <c r="J70" s="9"/>
      <c r="K70" s="9"/>
      <c r="L70" s="9"/>
      <c r="M70" s="9"/>
      <c r="N70" s="10"/>
      <c r="O70" s="10" t="str">
        <f t="shared" si="10"/>
        <v/>
      </c>
      <c r="P70" s="9" t="str">
        <f t="shared" si="11"/>
        <v/>
      </c>
      <c r="Q70" s="9" t="str">
        <f t="shared" si="12"/>
        <v/>
      </c>
      <c r="R70" s="9" t="str">
        <f t="shared" si="13"/>
        <v/>
      </c>
    </row>
    <row r="71" spans="2:18" x14ac:dyDescent="0.4">
      <c r="B71" s="8"/>
      <c r="C71" s="8"/>
      <c r="D71" s="8"/>
      <c r="E71" s="8"/>
      <c r="F71" s="8"/>
      <c r="G71" s="19"/>
      <c r="H71" s="8"/>
      <c r="I71" s="10"/>
      <c r="J71" s="9"/>
      <c r="K71" s="9"/>
      <c r="L71" s="9"/>
      <c r="M71" s="9"/>
      <c r="N71" s="10"/>
      <c r="O71" s="10" t="str">
        <f t="shared" si="10"/>
        <v/>
      </c>
      <c r="P71" s="9" t="str">
        <f t="shared" si="11"/>
        <v/>
      </c>
      <c r="Q71" s="9" t="str">
        <f t="shared" si="12"/>
        <v/>
      </c>
      <c r="R71" s="9" t="str">
        <f t="shared" si="13"/>
        <v/>
      </c>
    </row>
    <row r="72" spans="2:18" x14ac:dyDescent="0.4">
      <c r="B72" s="8"/>
      <c r="C72" s="8"/>
      <c r="D72" s="8"/>
      <c r="E72" s="8"/>
      <c r="F72" s="8"/>
      <c r="G72" s="19"/>
      <c r="H72" s="8"/>
      <c r="I72" s="10"/>
      <c r="J72" s="9"/>
      <c r="K72" s="9"/>
      <c r="L72" s="9"/>
      <c r="M72" s="9"/>
      <c r="N72" s="10"/>
      <c r="O72" s="10" t="str">
        <f t="shared" si="10"/>
        <v/>
      </c>
      <c r="P72" s="9" t="str">
        <f t="shared" si="11"/>
        <v/>
      </c>
      <c r="Q72" s="9" t="str">
        <f t="shared" si="12"/>
        <v/>
      </c>
      <c r="R72" s="9" t="str">
        <f t="shared" si="13"/>
        <v/>
      </c>
    </row>
    <row r="73" spans="2:18" x14ac:dyDescent="0.4">
      <c r="B73" s="8"/>
      <c r="C73" s="8"/>
      <c r="D73" s="8"/>
      <c r="E73" s="8"/>
      <c r="F73" s="8"/>
      <c r="G73" s="19"/>
      <c r="H73" s="8"/>
      <c r="I73" s="10"/>
      <c r="J73" s="9"/>
      <c r="K73" s="9"/>
      <c r="L73" s="9"/>
      <c r="M73" s="9"/>
      <c r="N73" s="10"/>
      <c r="O73" s="10" t="str">
        <f t="shared" si="10"/>
        <v/>
      </c>
      <c r="P73" s="9" t="str">
        <f t="shared" si="11"/>
        <v/>
      </c>
      <c r="Q73" s="9" t="str">
        <f t="shared" si="12"/>
        <v/>
      </c>
      <c r="R73" s="9" t="str">
        <f t="shared" si="13"/>
        <v/>
      </c>
    </row>
    <row r="74" spans="2:18" x14ac:dyDescent="0.4">
      <c r="B74" s="8"/>
      <c r="C74" s="8"/>
      <c r="D74" s="8"/>
      <c r="E74" s="8"/>
      <c r="F74" s="8"/>
      <c r="G74" s="19"/>
      <c r="H74" s="8"/>
      <c r="I74" s="10"/>
      <c r="J74" s="9"/>
      <c r="K74" s="9"/>
      <c r="L74" s="9"/>
      <c r="M74" s="9"/>
      <c r="N74" s="10"/>
      <c r="O74" s="10" t="str">
        <f t="shared" si="10"/>
        <v/>
      </c>
      <c r="P74" s="9" t="str">
        <f t="shared" si="11"/>
        <v/>
      </c>
      <c r="Q74" s="9" t="str">
        <f t="shared" si="12"/>
        <v/>
      </c>
      <c r="R74" s="9" t="str">
        <f t="shared" si="13"/>
        <v/>
      </c>
    </row>
    <row r="75" spans="2:18" x14ac:dyDescent="0.4">
      <c r="B75" s="8"/>
      <c r="C75" s="8"/>
      <c r="D75" s="8"/>
      <c r="E75" s="8"/>
      <c r="F75" s="8"/>
      <c r="G75" s="19"/>
      <c r="H75" s="8"/>
      <c r="I75" s="10"/>
      <c r="J75" s="9"/>
      <c r="K75" s="9"/>
      <c r="L75" s="9"/>
      <c r="M75" s="9"/>
      <c r="N75" s="10"/>
      <c r="O75" s="10" t="str">
        <f t="shared" si="10"/>
        <v/>
      </c>
      <c r="P75" s="9" t="str">
        <f t="shared" si="11"/>
        <v/>
      </c>
      <c r="Q75" s="9" t="str">
        <f t="shared" si="12"/>
        <v/>
      </c>
      <c r="R75" s="9" t="str">
        <f t="shared" si="13"/>
        <v/>
      </c>
    </row>
    <row r="76" spans="2:18" x14ac:dyDescent="0.4">
      <c r="B76" s="8"/>
      <c r="C76" s="8"/>
      <c r="D76" s="8"/>
      <c r="E76" s="8"/>
      <c r="F76" s="8"/>
      <c r="G76" s="19"/>
      <c r="H76" s="8"/>
      <c r="I76" s="10"/>
      <c r="J76" s="9"/>
      <c r="K76" s="9"/>
      <c r="L76" s="9"/>
      <c r="M76" s="9"/>
      <c r="N76" s="10"/>
      <c r="O76" s="10" t="str">
        <f t="shared" si="10"/>
        <v/>
      </c>
      <c r="P76" s="9" t="str">
        <f t="shared" si="11"/>
        <v/>
      </c>
      <c r="Q76" s="9" t="str">
        <f t="shared" si="12"/>
        <v/>
      </c>
      <c r="R76" s="9" t="str">
        <f t="shared" si="13"/>
        <v/>
      </c>
    </row>
    <row r="77" spans="2:18" x14ac:dyDescent="0.4">
      <c r="B77" s="8"/>
      <c r="C77" s="8"/>
      <c r="D77" s="8"/>
      <c r="E77" s="8"/>
      <c r="F77" s="8"/>
      <c r="G77" s="19"/>
      <c r="H77" s="8"/>
      <c r="I77" s="10"/>
      <c r="J77" s="9"/>
      <c r="K77" s="9"/>
      <c r="L77" s="9"/>
      <c r="M77" s="9"/>
      <c r="N77" s="10"/>
      <c r="O77" s="10" t="str">
        <f t="shared" si="10"/>
        <v/>
      </c>
      <c r="P77" s="9" t="str">
        <f t="shared" si="11"/>
        <v/>
      </c>
      <c r="Q77" s="9" t="str">
        <f t="shared" si="12"/>
        <v/>
      </c>
      <c r="R77" s="9" t="str">
        <f t="shared" si="13"/>
        <v/>
      </c>
    </row>
    <row r="78" spans="2:18" x14ac:dyDescent="0.4">
      <c r="B78" s="8"/>
      <c r="C78" s="8"/>
      <c r="D78" s="8"/>
      <c r="E78" s="8"/>
      <c r="F78" s="8"/>
      <c r="G78" s="19"/>
      <c r="H78" s="8"/>
      <c r="I78" s="10"/>
      <c r="J78" s="9"/>
      <c r="K78" s="9"/>
      <c r="L78" s="9"/>
      <c r="M78" s="9"/>
      <c r="N78" s="10"/>
      <c r="O78" s="10" t="str">
        <f t="shared" si="10"/>
        <v/>
      </c>
      <c r="P78" s="9" t="str">
        <f t="shared" si="11"/>
        <v/>
      </c>
      <c r="Q78" s="9" t="str">
        <f t="shared" si="12"/>
        <v/>
      </c>
      <c r="R78" s="9" t="str">
        <f t="shared" si="13"/>
        <v/>
      </c>
    </row>
  </sheetData>
  <mergeCells count="1">
    <mergeCell ref="C43:C44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7B4B-5E04-4700-936A-1BFC92E452CC}">
  <dimension ref="B2:R77"/>
  <sheetViews>
    <sheetView topLeftCell="A35" zoomScale="85" zoomScaleNormal="85" workbookViewId="0">
      <selection activeCell="B61" sqref="B61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18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6" si="0">K6*I6</f>
        <v>15840.000000000002</v>
      </c>
      <c r="N6" s="10"/>
      <c r="O6" s="10" t="str">
        <f t="shared" ref="O6:O59" si="1">IF(N6="","",I6-N6)</f>
        <v/>
      </c>
      <c r="P6" s="9" t="str">
        <f t="shared" ref="P6:P59" si="2">IFERROR(O6*J6,"")</f>
        <v/>
      </c>
      <c r="Q6" s="9" t="str">
        <f t="shared" ref="Q6:Q59" si="3">IFERROR(P6*O6,"")</f>
        <v/>
      </c>
      <c r="R6" s="9" t="str">
        <f t="shared" ref="R6:R59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302</v>
      </c>
      <c r="F9" s="17" t="s">
        <v>140</v>
      </c>
      <c r="G9" s="19"/>
      <c r="H9" s="13">
        <v>0.1</v>
      </c>
      <c r="I9" s="10">
        <v>30</v>
      </c>
      <c r="J9" s="9">
        <v>450</v>
      </c>
      <c r="K9" s="9">
        <f>J9*110%</f>
        <v>495.00000000000006</v>
      </c>
      <c r="L9" s="9"/>
      <c r="M9" s="9">
        <f t="shared" si="0"/>
        <v>14850.000000000002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302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302</v>
      </c>
      <c r="F11" s="17" t="s">
        <v>142</v>
      </c>
      <c r="G11" s="19"/>
      <c r="H11" s="13">
        <v>0.1</v>
      </c>
      <c r="I11" s="10">
        <v>30</v>
      </c>
      <c r="J11" s="9">
        <v>450</v>
      </c>
      <c r="K11" s="9">
        <f t="shared" si="5"/>
        <v>495.00000000000006</v>
      </c>
      <c r="L11" s="9"/>
      <c r="M11" s="9">
        <f t="shared" si="0"/>
        <v>14850.000000000002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302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302</v>
      </c>
      <c r="F13" s="17" t="s">
        <v>144</v>
      </c>
      <c r="G13" s="19"/>
      <c r="H13" s="13">
        <v>0.1</v>
      </c>
      <c r="I13" s="10">
        <v>7</v>
      </c>
      <c r="J13" s="9">
        <v>75</v>
      </c>
      <c r="K13" s="9">
        <f t="shared" si="5"/>
        <v>82.5</v>
      </c>
      <c r="L13" s="9"/>
      <c r="M13" s="9">
        <f t="shared" si="0"/>
        <v>577.5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302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302</v>
      </c>
      <c r="F15" s="17" t="s">
        <v>146</v>
      </c>
      <c r="G15" s="19"/>
      <c r="H15" s="13">
        <v>0.1</v>
      </c>
      <c r="I15" s="10">
        <v>7</v>
      </c>
      <c r="J15" s="9">
        <v>75</v>
      </c>
      <c r="K15" s="9">
        <f t="shared" si="5"/>
        <v>82.5</v>
      </c>
      <c r="L15" s="9"/>
      <c r="M15" s="9">
        <f t="shared" si="0"/>
        <v>577.5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302</v>
      </c>
      <c r="F16" s="17" t="s">
        <v>147</v>
      </c>
      <c r="G16" s="19"/>
      <c r="H16" s="13">
        <v>0.1</v>
      </c>
      <c r="I16" s="10">
        <v>7</v>
      </c>
      <c r="J16" s="9">
        <v>75</v>
      </c>
      <c r="K16" s="9">
        <f t="shared" si="5"/>
        <v>82.5</v>
      </c>
      <c r="L16" s="9"/>
      <c r="M16" s="9">
        <f t="shared" si="0"/>
        <v>577.5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302</v>
      </c>
      <c r="F17" s="17" t="s">
        <v>148</v>
      </c>
      <c r="G17" s="19"/>
      <c r="H17" s="13">
        <v>0.1</v>
      </c>
      <c r="I17" s="10">
        <v>7</v>
      </c>
      <c r="J17" s="9">
        <v>85</v>
      </c>
      <c r="K17" s="9">
        <f t="shared" si="5"/>
        <v>93.500000000000014</v>
      </c>
      <c r="L17" s="9"/>
      <c r="M17" s="9">
        <f t="shared" si="0"/>
        <v>654.50000000000011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302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302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302</v>
      </c>
      <c r="F20" s="17" t="s">
        <v>151</v>
      </c>
      <c r="G20" s="19"/>
      <c r="H20" s="13">
        <v>0.1</v>
      </c>
      <c r="I20" s="10">
        <v>7</v>
      </c>
      <c r="J20" s="9">
        <v>120</v>
      </c>
      <c r="K20" s="9">
        <f t="shared" si="5"/>
        <v>132</v>
      </c>
      <c r="L20" s="9"/>
      <c r="M20" s="9">
        <f t="shared" si="0"/>
        <v>924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302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302</v>
      </c>
      <c r="F22" s="17" t="s">
        <v>153</v>
      </c>
      <c r="G22" s="19"/>
      <c r="H22" s="13">
        <v>0.1</v>
      </c>
      <c r="I22" s="10">
        <v>7</v>
      </c>
      <c r="J22" s="9">
        <v>120</v>
      </c>
      <c r="K22" s="9">
        <f t="shared" si="5"/>
        <v>132</v>
      </c>
      <c r="L22" s="9"/>
      <c r="M22" s="9">
        <f t="shared" si="0"/>
        <v>924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302</v>
      </c>
      <c r="F23" s="17" t="s">
        <v>154</v>
      </c>
      <c r="G23" s="19"/>
      <c r="H23" s="13">
        <v>0.1</v>
      </c>
      <c r="I23" s="10">
        <v>30</v>
      </c>
      <c r="J23" s="9">
        <v>450</v>
      </c>
      <c r="K23" s="9">
        <f t="shared" si="5"/>
        <v>495.00000000000006</v>
      </c>
      <c r="L23" s="9"/>
      <c r="M23" s="9">
        <f t="shared" si="0"/>
        <v>14850.000000000002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302</v>
      </c>
      <c r="F24" s="17" t="s">
        <v>155</v>
      </c>
      <c r="G24" s="19"/>
      <c r="H24" s="13">
        <v>0.1</v>
      </c>
      <c r="I24" s="10">
        <v>30</v>
      </c>
      <c r="J24" s="9">
        <v>450</v>
      </c>
      <c r="K24" s="9">
        <f t="shared" si="5"/>
        <v>495.00000000000006</v>
      </c>
      <c r="L24" s="9"/>
      <c r="M24" s="9">
        <f t="shared" si="0"/>
        <v>14850.000000000002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302</v>
      </c>
      <c r="F25" s="17" t="s">
        <v>156</v>
      </c>
      <c r="G25" s="19"/>
      <c r="H25" s="13">
        <v>0.1</v>
      </c>
      <c r="I25" s="10">
        <v>30</v>
      </c>
      <c r="J25" s="9">
        <v>450</v>
      </c>
      <c r="K25" s="9">
        <f t="shared" si="5"/>
        <v>495.00000000000006</v>
      </c>
      <c r="L25" s="9"/>
      <c r="M25" s="9">
        <f t="shared" si="0"/>
        <v>14850.000000000002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302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x14ac:dyDescent="0.4">
      <c r="B27" s="8"/>
      <c r="C27" s="8"/>
      <c r="D27" s="8"/>
      <c r="E27" s="8" t="s">
        <v>163</v>
      </c>
      <c r="F27" s="8" t="s">
        <v>160</v>
      </c>
      <c r="G27" s="19" t="s">
        <v>159</v>
      </c>
      <c r="H27" s="13">
        <v>0.1</v>
      </c>
      <c r="I27" s="10">
        <v>90</v>
      </c>
      <c r="J27" s="9"/>
      <c r="K27" s="9"/>
      <c r="L27" s="9"/>
      <c r="M27" s="9"/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x14ac:dyDescent="0.4">
      <c r="B28" s="8"/>
      <c r="C28" s="8"/>
      <c r="D28" s="8"/>
      <c r="E28" s="8" t="s">
        <v>163</v>
      </c>
      <c r="F28" s="8" t="s">
        <v>161</v>
      </c>
      <c r="G28" s="19" t="s">
        <v>159</v>
      </c>
      <c r="H28" s="13">
        <v>0.1</v>
      </c>
      <c r="I28" s="10">
        <v>90</v>
      </c>
      <c r="J28" s="9"/>
      <c r="K28" s="9"/>
      <c r="L28" s="9"/>
      <c r="M28" s="9"/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300</v>
      </c>
      <c r="D29" s="8"/>
      <c r="E29" s="8" t="s">
        <v>308</v>
      </c>
      <c r="F29" s="27" t="s">
        <v>309</v>
      </c>
      <c r="G29" s="30">
        <v>4977629310376</v>
      </c>
      <c r="H29" s="41">
        <v>0.08</v>
      </c>
      <c r="I29" s="10">
        <v>96</v>
      </c>
      <c r="J29" s="31">
        <v>40</v>
      </c>
      <c r="K29" s="9">
        <f>J29*108%</f>
        <v>43.2</v>
      </c>
      <c r="L29" s="9"/>
      <c r="M29" s="9">
        <f>K29*I29</f>
        <v>4147.2000000000007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303</v>
      </c>
      <c r="D30" s="8"/>
      <c r="E30" s="8" t="s">
        <v>308</v>
      </c>
      <c r="F30" s="28" t="s">
        <v>310</v>
      </c>
      <c r="G30" s="30">
        <v>2000000062716</v>
      </c>
      <c r="H30" s="41">
        <v>0.1</v>
      </c>
      <c r="I30" s="10">
        <v>100</v>
      </c>
      <c r="J30" s="31">
        <v>48</v>
      </c>
      <c r="K30" s="9">
        <f>J30*110%</f>
        <v>52.800000000000004</v>
      </c>
      <c r="L30" s="9"/>
      <c r="M30" s="9">
        <f t="shared" ref="M30:M58" si="6">K30*I30</f>
        <v>5280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311</v>
      </c>
      <c r="G31" s="30">
        <v>2000000064529</v>
      </c>
      <c r="H31" s="41">
        <v>0.1</v>
      </c>
      <c r="I31" s="10">
        <v>60</v>
      </c>
      <c r="J31" s="31">
        <v>80</v>
      </c>
      <c r="K31" s="9">
        <f t="shared" ref="K31:K46" si="7">J31*110%</f>
        <v>88</v>
      </c>
      <c r="L31" s="9"/>
      <c r="M31" s="9">
        <f t="shared" si="6"/>
        <v>5280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304</v>
      </c>
      <c r="D32" s="8"/>
      <c r="E32" s="8" t="s">
        <v>308</v>
      </c>
      <c r="F32" s="28" t="s">
        <v>312</v>
      </c>
      <c r="G32" s="30">
        <v>4973512263651</v>
      </c>
      <c r="H32" s="41">
        <v>0.1</v>
      </c>
      <c r="I32" s="10">
        <v>100</v>
      </c>
      <c r="J32" s="31">
        <v>80</v>
      </c>
      <c r="K32" s="9">
        <f t="shared" si="7"/>
        <v>88</v>
      </c>
      <c r="L32" s="9"/>
      <c r="M32" s="9">
        <f t="shared" si="6"/>
        <v>8800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304</v>
      </c>
      <c r="D33" s="8"/>
      <c r="E33" s="8" t="s">
        <v>308</v>
      </c>
      <c r="F33" s="28" t="s">
        <v>313</v>
      </c>
      <c r="G33" s="30">
        <v>4518516000088</v>
      </c>
      <c r="H33" s="41">
        <v>0.1</v>
      </c>
      <c r="I33" s="10">
        <v>48</v>
      </c>
      <c r="J33" s="31">
        <v>130</v>
      </c>
      <c r="K33" s="9">
        <f t="shared" si="7"/>
        <v>143</v>
      </c>
      <c r="L33" s="9"/>
      <c r="M33" s="9">
        <f t="shared" si="6"/>
        <v>6864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303</v>
      </c>
      <c r="D34" s="8"/>
      <c r="E34" s="8" t="s">
        <v>308</v>
      </c>
      <c r="F34" s="28" t="s">
        <v>314</v>
      </c>
      <c r="G34" s="30">
        <v>4580419310328</v>
      </c>
      <c r="H34" s="41">
        <v>0.1</v>
      </c>
      <c r="I34" s="10">
        <v>50</v>
      </c>
      <c r="J34" s="31">
        <v>280</v>
      </c>
      <c r="K34" s="9">
        <f t="shared" si="7"/>
        <v>308</v>
      </c>
      <c r="L34" s="9"/>
      <c r="M34" s="9">
        <f t="shared" si="6"/>
        <v>15400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315</v>
      </c>
      <c r="G35" s="30">
        <v>4904705163304</v>
      </c>
      <c r="H35" s="41">
        <v>0.1</v>
      </c>
      <c r="I35" s="10">
        <v>240</v>
      </c>
      <c r="J35" s="31">
        <v>19</v>
      </c>
      <c r="K35" s="9">
        <f t="shared" si="7"/>
        <v>20.900000000000002</v>
      </c>
      <c r="L35" s="9"/>
      <c r="M35" s="9">
        <f t="shared" si="6"/>
        <v>5016.0000000000009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304</v>
      </c>
      <c r="D36" s="8"/>
      <c r="E36" s="8" t="s">
        <v>308</v>
      </c>
      <c r="F36" s="28" t="s">
        <v>316</v>
      </c>
      <c r="G36" s="30">
        <v>4966840253630</v>
      </c>
      <c r="H36" s="41">
        <v>0.1</v>
      </c>
      <c r="I36" s="10">
        <v>240</v>
      </c>
      <c r="J36" s="31">
        <v>22</v>
      </c>
      <c r="K36" s="9">
        <f t="shared" si="7"/>
        <v>24.200000000000003</v>
      </c>
      <c r="L36" s="9"/>
      <c r="M36" s="9">
        <f t="shared" si="6"/>
        <v>5808.0000000000009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304</v>
      </c>
      <c r="D37" s="8"/>
      <c r="E37" s="8" t="s">
        <v>308</v>
      </c>
      <c r="F37" s="28" t="s">
        <v>317</v>
      </c>
      <c r="G37" s="30">
        <v>8010630333869</v>
      </c>
      <c r="H37" s="41">
        <v>0.1</v>
      </c>
      <c r="I37" s="10">
        <v>400</v>
      </c>
      <c r="J37" s="31">
        <v>30</v>
      </c>
      <c r="K37" s="9">
        <f t="shared" si="7"/>
        <v>33</v>
      </c>
      <c r="L37" s="9"/>
      <c r="M37" s="9">
        <f t="shared" si="6"/>
        <v>13200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303</v>
      </c>
      <c r="D38" s="8"/>
      <c r="E38" s="8" t="s">
        <v>308</v>
      </c>
      <c r="F38" s="28" t="s">
        <v>318</v>
      </c>
      <c r="G38" s="30">
        <v>4528364820028</v>
      </c>
      <c r="H38" s="41">
        <v>0.1</v>
      </c>
      <c r="I38" s="10">
        <v>100</v>
      </c>
      <c r="J38" s="31">
        <v>35</v>
      </c>
      <c r="K38" s="9">
        <f t="shared" si="7"/>
        <v>38.5</v>
      </c>
      <c r="L38" s="9"/>
      <c r="M38" s="9">
        <f t="shared" si="6"/>
        <v>3850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304</v>
      </c>
      <c r="D39" s="8"/>
      <c r="E39" s="8" t="s">
        <v>308</v>
      </c>
      <c r="F39" s="28" t="s">
        <v>319</v>
      </c>
      <c r="G39" s="30">
        <v>4966840251551</v>
      </c>
      <c r="H39" s="41">
        <v>0.1</v>
      </c>
      <c r="I39" s="10">
        <v>144</v>
      </c>
      <c r="J39" s="31">
        <v>40</v>
      </c>
      <c r="K39" s="9">
        <f t="shared" si="7"/>
        <v>44</v>
      </c>
      <c r="L39" s="9"/>
      <c r="M39" s="9">
        <f t="shared" si="6"/>
        <v>6336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26" t="s">
        <v>305</v>
      </c>
      <c r="D40" s="8"/>
      <c r="E40" s="8" t="s">
        <v>308</v>
      </c>
      <c r="F40" s="28" t="s">
        <v>320</v>
      </c>
      <c r="G40" s="30">
        <v>4970687211159</v>
      </c>
      <c r="H40" s="41">
        <v>0.1</v>
      </c>
      <c r="I40" s="10">
        <v>120</v>
      </c>
      <c r="J40" s="31">
        <v>80</v>
      </c>
      <c r="K40" s="9">
        <f t="shared" si="7"/>
        <v>88</v>
      </c>
      <c r="L40" s="9"/>
      <c r="M40" s="9">
        <f t="shared" si="6"/>
        <v>10560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26" t="s">
        <v>305</v>
      </c>
      <c r="D41" s="8"/>
      <c r="E41" s="8" t="s">
        <v>308</v>
      </c>
      <c r="F41" s="28" t="s">
        <v>321</v>
      </c>
      <c r="G41" s="30">
        <v>4970687211241</v>
      </c>
      <c r="H41" s="41">
        <v>0.1</v>
      </c>
      <c r="I41" s="10">
        <v>120</v>
      </c>
      <c r="J41" s="31">
        <v>80</v>
      </c>
      <c r="K41" s="9">
        <f t="shared" si="7"/>
        <v>88</v>
      </c>
      <c r="L41" s="9"/>
      <c r="M41" s="9">
        <f t="shared" si="6"/>
        <v>10560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121" t="s">
        <v>304</v>
      </c>
      <c r="D42" s="8"/>
      <c r="E42" s="8" t="s">
        <v>308</v>
      </c>
      <c r="F42" s="28" t="s">
        <v>323</v>
      </c>
      <c r="G42" s="30">
        <v>4510482194181</v>
      </c>
      <c r="H42" s="41">
        <v>0.1</v>
      </c>
      <c r="I42" s="10">
        <v>24</v>
      </c>
      <c r="J42" s="31">
        <v>100</v>
      </c>
      <c r="K42" s="9">
        <f t="shared" si="7"/>
        <v>110.00000000000001</v>
      </c>
      <c r="L42" s="9"/>
      <c r="M42" s="9">
        <f t="shared" si="6"/>
        <v>2640.0000000000005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122"/>
      <c r="D43" s="8"/>
      <c r="E43" s="8" t="s">
        <v>308</v>
      </c>
      <c r="F43" s="28" t="s">
        <v>325</v>
      </c>
      <c r="G43" s="30">
        <v>4510482194204</v>
      </c>
      <c r="H43" s="41">
        <v>0.1</v>
      </c>
      <c r="I43" s="10">
        <v>24</v>
      </c>
      <c r="J43" s="31">
        <v>100</v>
      </c>
      <c r="K43" s="9">
        <f t="shared" si="7"/>
        <v>110.00000000000001</v>
      </c>
      <c r="L43" s="9"/>
      <c r="M43" s="9">
        <f t="shared" si="6"/>
        <v>2640.0000000000005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26" t="s">
        <v>304</v>
      </c>
      <c r="D44" s="8"/>
      <c r="E44" s="8" t="s">
        <v>308</v>
      </c>
      <c r="F44" s="28" t="s">
        <v>326</v>
      </c>
      <c r="G44" s="30">
        <v>4972603100585</v>
      </c>
      <c r="H44" s="41">
        <v>0.1</v>
      </c>
      <c r="I44" s="10">
        <v>30</v>
      </c>
      <c r="J44" s="31">
        <v>100</v>
      </c>
      <c r="K44" s="9">
        <f t="shared" si="7"/>
        <v>110.00000000000001</v>
      </c>
      <c r="L44" s="9"/>
      <c r="M44" s="9">
        <f t="shared" si="6"/>
        <v>3300.0000000000005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26" t="s">
        <v>304</v>
      </c>
      <c r="D45" s="8"/>
      <c r="E45" s="8" t="s">
        <v>308</v>
      </c>
      <c r="F45" s="28" t="s">
        <v>327</v>
      </c>
      <c r="G45" s="30">
        <v>4589596691961</v>
      </c>
      <c r="H45" s="41">
        <v>0.1</v>
      </c>
      <c r="I45" s="10">
        <v>36</v>
      </c>
      <c r="J45" s="31">
        <v>140</v>
      </c>
      <c r="K45" s="9">
        <f t="shared" si="7"/>
        <v>154</v>
      </c>
      <c r="L45" s="9"/>
      <c r="M45" s="9">
        <f t="shared" si="6"/>
        <v>5544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18.75" x14ac:dyDescent="0.4">
      <c r="B46" s="8"/>
      <c r="C46" s="26" t="s">
        <v>304</v>
      </c>
      <c r="D46" s="8"/>
      <c r="E46" s="8" t="s">
        <v>308</v>
      </c>
      <c r="F46" s="28" t="s">
        <v>347</v>
      </c>
      <c r="G46" s="30">
        <v>4939560247197</v>
      </c>
      <c r="H46" s="41">
        <v>0.1</v>
      </c>
      <c r="I46" s="10">
        <v>60</v>
      </c>
      <c r="J46" s="31">
        <v>216</v>
      </c>
      <c r="K46" s="9">
        <f t="shared" si="7"/>
        <v>237.60000000000002</v>
      </c>
      <c r="L46" s="9"/>
      <c r="M46" s="9">
        <f t="shared" si="6"/>
        <v>14256.000000000002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37.5" x14ac:dyDescent="0.4">
      <c r="B47" s="8"/>
      <c r="C47" s="26" t="s">
        <v>300</v>
      </c>
      <c r="D47" s="8"/>
      <c r="E47" s="8" t="s">
        <v>308</v>
      </c>
      <c r="F47" s="29" t="s">
        <v>329</v>
      </c>
      <c r="G47" s="30">
        <v>4960867008396</v>
      </c>
      <c r="H47" s="41">
        <v>0.08</v>
      </c>
      <c r="I47" s="10">
        <v>30</v>
      </c>
      <c r="J47" s="31">
        <v>240</v>
      </c>
      <c r="K47" s="9">
        <f t="shared" ref="K47" si="8">J47*108%</f>
        <v>259.20000000000005</v>
      </c>
      <c r="L47" s="9"/>
      <c r="M47" s="9">
        <f t="shared" si="6"/>
        <v>7776.0000000000018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18.75" x14ac:dyDescent="0.4">
      <c r="B48" s="8"/>
      <c r="C48" s="26" t="s">
        <v>304</v>
      </c>
      <c r="D48" s="8"/>
      <c r="E48" s="8" t="s">
        <v>308</v>
      </c>
      <c r="F48" s="28" t="s">
        <v>333</v>
      </c>
      <c r="G48" s="30">
        <v>4939560521617</v>
      </c>
      <c r="H48" s="41">
        <v>0.1</v>
      </c>
      <c r="I48" s="10">
        <v>12</v>
      </c>
      <c r="J48" s="31">
        <v>540</v>
      </c>
      <c r="K48" s="9">
        <f t="shared" ref="K48:K58" si="9">J48*110%</f>
        <v>594</v>
      </c>
      <c r="L48" s="9"/>
      <c r="M48" s="9">
        <f t="shared" si="6"/>
        <v>7128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304</v>
      </c>
      <c r="D49" s="8"/>
      <c r="E49" s="8" t="s">
        <v>308</v>
      </c>
      <c r="F49" s="28" t="s">
        <v>334</v>
      </c>
      <c r="G49" s="30">
        <v>2000000068152</v>
      </c>
      <c r="H49" s="41">
        <v>0.1</v>
      </c>
      <c r="I49" s="10">
        <v>200</v>
      </c>
      <c r="J49" s="31">
        <v>30</v>
      </c>
      <c r="K49" s="9">
        <f t="shared" si="9"/>
        <v>33</v>
      </c>
      <c r="L49" s="9"/>
      <c r="M49" s="9">
        <f t="shared" si="6"/>
        <v>6600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306</v>
      </c>
      <c r="D50" s="8"/>
      <c r="E50" s="8" t="s">
        <v>308</v>
      </c>
      <c r="F50" s="28" t="s">
        <v>335</v>
      </c>
      <c r="G50" s="30">
        <v>4904070062660</v>
      </c>
      <c r="H50" s="41">
        <v>0.1</v>
      </c>
      <c r="I50" s="10">
        <v>0</v>
      </c>
      <c r="J50" s="31">
        <v>295</v>
      </c>
      <c r="K50" s="9">
        <f t="shared" si="9"/>
        <v>324.5</v>
      </c>
      <c r="L50" s="9"/>
      <c r="M50" s="9">
        <f t="shared" si="6"/>
        <v>0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304</v>
      </c>
      <c r="D51" s="8"/>
      <c r="E51" s="8" t="s">
        <v>308</v>
      </c>
      <c r="F51" s="28" t="s">
        <v>338</v>
      </c>
      <c r="G51" s="30">
        <v>4510482229425</v>
      </c>
      <c r="H51" s="41">
        <v>0.1</v>
      </c>
      <c r="I51" s="10">
        <v>24</v>
      </c>
      <c r="J51" s="31">
        <v>80</v>
      </c>
      <c r="K51" s="9">
        <f t="shared" si="9"/>
        <v>88</v>
      </c>
      <c r="L51" s="9"/>
      <c r="M51" s="9">
        <f t="shared" si="6"/>
        <v>2112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26" t="s">
        <v>307</v>
      </c>
      <c r="D52" s="8"/>
      <c r="E52" s="8" t="s">
        <v>308</v>
      </c>
      <c r="F52" s="28" t="s">
        <v>339</v>
      </c>
      <c r="G52" s="30">
        <v>4573135361057</v>
      </c>
      <c r="H52" s="41">
        <v>0.1</v>
      </c>
      <c r="I52" s="10">
        <v>48</v>
      </c>
      <c r="J52" s="31">
        <v>80</v>
      </c>
      <c r="K52" s="9">
        <f t="shared" si="9"/>
        <v>88</v>
      </c>
      <c r="L52" s="9"/>
      <c r="M52" s="9">
        <f t="shared" si="6"/>
        <v>4224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26" t="s">
        <v>304</v>
      </c>
      <c r="D53" s="8"/>
      <c r="E53" s="8" t="s">
        <v>308</v>
      </c>
      <c r="F53" s="28" t="s">
        <v>342</v>
      </c>
      <c r="G53" s="30">
        <v>4580487007922</v>
      </c>
      <c r="H53" s="41">
        <v>0.1</v>
      </c>
      <c r="I53" s="10">
        <v>6</v>
      </c>
      <c r="J53" s="31">
        <v>850</v>
      </c>
      <c r="K53" s="9">
        <f t="shared" si="9"/>
        <v>935.00000000000011</v>
      </c>
      <c r="L53" s="9"/>
      <c r="M53" s="9">
        <f t="shared" si="6"/>
        <v>5610.0000000000009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26" t="s">
        <v>304</v>
      </c>
      <c r="D54" s="8"/>
      <c r="E54" s="8" t="s">
        <v>308</v>
      </c>
      <c r="F54" s="28" t="s">
        <v>343</v>
      </c>
      <c r="G54" s="30"/>
      <c r="H54" s="41">
        <v>0.1</v>
      </c>
      <c r="I54" s="10">
        <v>384</v>
      </c>
      <c r="J54" s="31">
        <v>9</v>
      </c>
      <c r="K54" s="9">
        <f t="shared" si="9"/>
        <v>9.9</v>
      </c>
      <c r="L54" s="9"/>
      <c r="M54" s="9">
        <f t="shared" si="6"/>
        <v>3801.6000000000004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18.75" x14ac:dyDescent="0.4">
      <c r="B55" s="8"/>
      <c r="C55" s="26" t="s">
        <v>307</v>
      </c>
      <c r="D55" s="8"/>
      <c r="E55" s="8" t="s">
        <v>308</v>
      </c>
      <c r="F55" s="28" t="s">
        <v>344</v>
      </c>
      <c r="G55" s="30"/>
      <c r="H55" s="41">
        <v>0.1</v>
      </c>
      <c r="I55" s="10">
        <v>108</v>
      </c>
      <c r="J55" s="31">
        <v>140</v>
      </c>
      <c r="K55" s="9">
        <f t="shared" si="9"/>
        <v>154</v>
      </c>
      <c r="L55" s="9"/>
      <c r="M55" s="9">
        <f t="shared" si="6"/>
        <v>16632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ht="37.5" x14ac:dyDescent="0.4">
      <c r="B56" s="8"/>
      <c r="C56" s="26" t="s">
        <v>303</v>
      </c>
      <c r="D56" s="8"/>
      <c r="E56" s="8" t="s">
        <v>308</v>
      </c>
      <c r="F56" s="29" t="s">
        <v>348</v>
      </c>
      <c r="G56" s="30"/>
      <c r="H56" s="41">
        <v>0.1</v>
      </c>
      <c r="I56" s="10">
        <v>150</v>
      </c>
      <c r="J56" s="31">
        <v>145</v>
      </c>
      <c r="K56" s="9">
        <f t="shared" si="9"/>
        <v>159.5</v>
      </c>
      <c r="L56" s="9"/>
      <c r="M56" s="9">
        <f t="shared" si="6"/>
        <v>23925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ht="18.75" x14ac:dyDescent="0.4">
      <c r="B57" s="8"/>
      <c r="C57" s="26" t="s">
        <v>303</v>
      </c>
      <c r="D57" s="8"/>
      <c r="E57" s="8" t="s">
        <v>308</v>
      </c>
      <c r="F57" s="28" t="s">
        <v>345</v>
      </c>
      <c r="G57" s="30"/>
      <c r="H57" s="41">
        <v>0.1</v>
      </c>
      <c r="I57" s="10">
        <v>60</v>
      </c>
      <c r="J57" s="31">
        <v>145</v>
      </c>
      <c r="K57" s="9">
        <f t="shared" si="9"/>
        <v>159.5</v>
      </c>
      <c r="L57" s="9"/>
      <c r="M57" s="9">
        <f t="shared" si="6"/>
        <v>9570</v>
      </c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ht="18.75" x14ac:dyDescent="0.4">
      <c r="B58" s="8"/>
      <c r="C58" s="26" t="s">
        <v>96</v>
      </c>
      <c r="D58" s="8"/>
      <c r="E58" s="8" t="s">
        <v>308</v>
      </c>
      <c r="F58" s="28" t="s">
        <v>346</v>
      </c>
      <c r="G58" s="30">
        <v>4560437940714</v>
      </c>
      <c r="H58" s="41">
        <v>0.1</v>
      </c>
      <c r="I58" s="10">
        <v>48</v>
      </c>
      <c r="J58" s="31">
        <v>150</v>
      </c>
      <c r="K58" s="9">
        <f t="shared" si="9"/>
        <v>165</v>
      </c>
      <c r="L58" s="9"/>
      <c r="M58" s="9">
        <f t="shared" si="6"/>
        <v>7920</v>
      </c>
      <c r="N58" s="10"/>
      <c r="O58" s="10" t="str">
        <f t="shared" si="1"/>
        <v/>
      </c>
      <c r="P58" s="9" t="str">
        <f t="shared" si="2"/>
        <v/>
      </c>
      <c r="Q58" s="9" t="str">
        <f t="shared" si="3"/>
        <v/>
      </c>
      <c r="R58" s="9" t="str">
        <f t="shared" si="4"/>
        <v/>
      </c>
    </row>
    <row r="59" spans="2:18" x14ac:dyDescent="0.4">
      <c r="B59" s="8"/>
      <c r="C59" s="8"/>
      <c r="D59" s="8"/>
      <c r="E59" s="8"/>
      <c r="F59" s="8"/>
      <c r="G59" s="19"/>
      <c r="H59" s="8"/>
      <c r="I59" s="10"/>
      <c r="J59" s="9"/>
      <c r="K59" s="9"/>
      <c r="L59" s="9"/>
      <c r="M59" s="9"/>
      <c r="N59" s="10"/>
      <c r="O59" s="10" t="str">
        <f t="shared" si="1"/>
        <v/>
      </c>
      <c r="P59" s="9" t="str">
        <f t="shared" si="2"/>
        <v/>
      </c>
      <c r="Q59" s="9" t="str">
        <f t="shared" si="3"/>
        <v/>
      </c>
      <c r="R59" s="9" t="str">
        <f t="shared" si="4"/>
        <v/>
      </c>
    </row>
    <row r="60" spans="2:18" x14ac:dyDescent="0.4">
      <c r="B60" s="8"/>
      <c r="C60" s="8"/>
      <c r="D60" s="8"/>
      <c r="E60" s="8"/>
      <c r="F60" s="8"/>
      <c r="G60" s="19"/>
      <c r="H60" s="8"/>
      <c r="I60" s="10"/>
      <c r="J60" s="9"/>
      <c r="K60" s="9"/>
      <c r="L60" s="9"/>
      <c r="M60" s="9"/>
      <c r="N60" s="10"/>
      <c r="O60" s="10" t="str">
        <f t="shared" ref="O60:O77" si="10">IF(N60="","",I60-N60)</f>
        <v/>
      </c>
      <c r="P60" s="9" t="str">
        <f t="shared" ref="P60:P77" si="11">IFERROR(O60*J60,"")</f>
        <v/>
      </c>
      <c r="Q60" s="9" t="str">
        <f t="shared" ref="Q60:Q77" si="12">IFERROR(P60*O60,"")</f>
        <v/>
      </c>
      <c r="R60" s="9" t="str">
        <f t="shared" ref="R60:R77" si="13">IFERROR(Q60-P60,"")</f>
        <v/>
      </c>
    </row>
    <row r="61" spans="2:18" x14ac:dyDescent="0.4">
      <c r="B61" s="8"/>
      <c r="C61" s="8"/>
      <c r="D61" s="8"/>
      <c r="E61" s="8"/>
      <c r="F61" s="8"/>
      <c r="G61" s="19"/>
      <c r="H61" s="8"/>
      <c r="I61" s="10"/>
      <c r="J61" s="9"/>
      <c r="K61" s="9"/>
      <c r="L61" s="9"/>
      <c r="M61" s="9"/>
      <c r="N61" s="10"/>
      <c r="O61" s="10" t="str">
        <f t="shared" si="10"/>
        <v/>
      </c>
      <c r="P61" s="9" t="str">
        <f t="shared" si="11"/>
        <v/>
      </c>
      <c r="Q61" s="9" t="str">
        <f t="shared" si="12"/>
        <v/>
      </c>
      <c r="R61" s="9" t="str">
        <f t="shared" si="13"/>
        <v/>
      </c>
    </row>
    <row r="62" spans="2:18" x14ac:dyDescent="0.4">
      <c r="B62" s="8"/>
      <c r="C62" s="8"/>
      <c r="D62" s="8"/>
      <c r="E62" s="8"/>
      <c r="F62" s="8"/>
      <c r="G62" s="19"/>
      <c r="H62" s="8"/>
      <c r="I62" s="10"/>
      <c r="J62" s="9"/>
      <c r="K62" s="9"/>
      <c r="L62" s="9"/>
      <c r="M62" s="9"/>
      <c r="N62" s="10"/>
      <c r="O62" s="10" t="str">
        <f t="shared" si="10"/>
        <v/>
      </c>
      <c r="P62" s="9" t="str">
        <f t="shared" si="11"/>
        <v/>
      </c>
      <c r="Q62" s="9" t="str">
        <f t="shared" si="12"/>
        <v/>
      </c>
      <c r="R62" s="9" t="str">
        <f t="shared" si="13"/>
        <v/>
      </c>
    </row>
    <row r="63" spans="2:18" x14ac:dyDescent="0.4">
      <c r="B63" s="8"/>
      <c r="C63" s="8"/>
      <c r="D63" s="8"/>
      <c r="E63" s="8"/>
      <c r="F63" s="8"/>
      <c r="G63" s="19"/>
      <c r="H63" s="8"/>
      <c r="I63" s="10"/>
      <c r="J63" s="9"/>
      <c r="K63" s="9"/>
      <c r="L63" s="9"/>
      <c r="M63" s="9"/>
      <c r="N63" s="10"/>
      <c r="O63" s="10" t="str">
        <f t="shared" si="10"/>
        <v/>
      </c>
      <c r="P63" s="9" t="str">
        <f t="shared" si="11"/>
        <v/>
      </c>
      <c r="Q63" s="9" t="str">
        <f t="shared" si="12"/>
        <v/>
      </c>
      <c r="R63" s="9" t="str">
        <f t="shared" si="13"/>
        <v/>
      </c>
    </row>
    <row r="64" spans="2:18" x14ac:dyDescent="0.4">
      <c r="B64" s="8"/>
      <c r="C64" s="8"/>
      <c r="D64" s="8"/>
      <c r="E64" s="8"/>
      <c r="F64" s="8"/>
      <c r="G64" s="19"/>
      <c r="H64" s="8"/>
      <c r="I64" s="10"/>
      <c r="J64" s="9"/>
      <c r="K64" s="9"/>
      <c r="L64" s="9"/>
      <c r="M64" s="9"/>
      <c r="N64" s="10"/>
      <c r="O64" s="10" t="str">
        <f t="shared" si="10"/>
        <v/>
      </c>
      <c r="P64" s="9" t="str">
        <f t="shared" si="11"/>
        <v/>
      </c>
      <c r="Q64" s="9" t="str">
        <f t="shared" si="12"/>
        <v/>
      </c>
      <c r="R64" s="9" t="str">
        <f t="shared" si="13"/>
        <v/>
      </c>
    </row>
    <row r="65" spans="2:18" x14ac:dyDescent="0.4">
      <c r="B65" s="8"/>
      <c r="C65" s="8"/>
      <c r="D65" s="8"/>
      <c r="E65" s="8"/>
      <c r="F65" s="8"/>
      <c r="G65" s="19"/>
      <c r="H65" s="8"/>
      <c r="I65" s="10"/>
      <c r="J65" s="9"/>
      <c r="K65" s="9"/>
      <c r="L65" s="9"/>
      <c r="M65" s="9"/>
      <c r="N65" s="10"/>
      <c r="O65" s="10" t="str">
        <f t="shared" si="10"/>
        <v/>
      </c>
      <c r="P65" s="9" t="str">
        <f t="shared" si="11"/>
        <v/>
      </c>
      <c r="Q65" s="9" t="str">
        <f t="shared" si="12"/>
        <v/>
      </c>
      <c r="R65" s="9" t="str">
        <f t="shared" si="13"/>
        <v/>
      </c>
    </row>
    <row r="66" spans="2:18" x14ac:dyDescent="0.4">
      <c r="B66" s="8"/>
      <c r="C66" s="8"/>
      <c r="D66" s="8"/>
      <c r="E66" s="8"/>
      <c r="F66" s="8"/>
      <c r="G66" s="19"/>
      <c r="H66" s="8"/>
      <c r="I66" s="10"/>
      <c r="J66" s="9"/>
      <c r="K66" s="9"/>
      <c r="L66" s="9"/>
      <c r="M66" s="9"/>
      <c r="N66" s="10"/>
      <c r="O66" s="10" t="str">
        <f t="shared" si="10"/>
        <v/>
      </c>
      <c r="P66" s="9" t="str">
        <f t="shared" si="11"/>
        <v/>
      </c>
      <c r="Q66" s="9" t="str">
        <f t="shared" si="12"/>
        <v/>
      </c>
      <c r="R66" s="9" t="str">
        <f t="shared" si="13"/>
        <v/>
      </c>
    </row>
    <row r="67" spans="2:18" x14ac:dyDescent="0.4">
      <c r="B67" s="8"/>
      <c r="C67" s="8"/>
      <c r="D67" s="8"/>
      <c r="E67" s="8"/>
      <c r="F67" s="8"/>
      <c r="G67" s="19"/>
      <c r="H67" s="8"/>
      <c r="I67" s="10"/>
      <c r="J67" s="9"/>
      <c r="K67" s="9"/>
      <c r="L67" s="9"/>
      <c r="M67" s="9"/>
      <c r="N67" s="10"/>
      <c r="O67" s="10" t="str">
        <f t="shared" si="10"/>
        <v/>
      </c>
      <c r="P67" s="9" t="str">
        <f t="shared" si="11"/>
        <v/>
      </c>
      <c r="Q67" s="9" t="str">
        <f t="shared" si="12"/>
        <v/>
      </c>
      <c r="R67" s="9" t="str">
        <f t="shared" si="13"/>
        <v/>
      </c>
    </row>
    <row r="68" spans="2:18" x14ac:dyDescent="0.4">
      <c r="B68" s="8"/>
      <c r="C68" s="8"/>
      <c r="D68" s="8"/>
      <c r="E68" s="8"/>
      <c r="F68" s="8"/>
      <c r="G68" s="19"/>
      <c r="H68" s="8"/>
      <c r="I68" s="10"/>
      <c r="J68" s="9"/>
      <c r="K68" s="9"/>
      <c r="L68" s="9"/>
      <c r="M68" s="9"/>
      <c r="N68" s="10"/>
      <c r="O68" s="10" t="str">
        <f t="shared" si="10"/>
        <v/>
      </c>
      <c r="P68" s="9" t="str">
        <f t="shared" si="11"/>
        <v/>
      </c>
      <c r="Q68" s="9" t="str">
        <f t="shared" si="12"/>
        <v/>
      </c>
      <c r="R68" s="9" t="str">
        <f t="shared" si="13"/>
        <v/>
      </c>
    </row>
    <row r="69" spans="2:18" x14ac:dyDescent="0.4">
      <c r="B69" s="8"/>
      <c r="C69" s="8"/>
      <c r="D69" s="8"/>
      <c r="E69" s="8"/>
      <c r="F69" s="8"/>
      <c r="G69" s="19"/>
      <c r="H69" s="8"/>
      <c r="I69" s="10"/>
      <c r="J69" s="9"/>
      <c r="K69" s="9"/>
      <c r="L69" s="9"/>
      <c r="M69" s="9"/>
      <c r="N69" s="10"/>
      <c r="O69" s="10" t="str">
        <f t="shared" si="10"/>
        <v/>
      </c>
      <c r="P69" s="9" t="str">
        <f t="shared" si="11"/>
        <v/>
      </c>
      <c r="Q69" s="9" t="str">
        <f t="shared" si="12"/>
        <v/>
      </c>
      <c r="R69" s="9" t="str">
        <f t="shared" si="13"/>
        <v/>
      </c>
    </row>
    <row r="70" spans="2:18" x14ac:dyDescent="0.4">
      <c r="B70" s="8"/>
      <c r="C70" s="8"/>
      <c r="D70" s="8"/>
      <c r="E70" s="8"/>
      <c r="F70" s="8"/>
      <c r="G70" s="19"/>
      <c r="H70" s="8"/>
      <c r="I70" s="10"/>
      <c r="J70" s="9"/>
      <c r="K70" s="9"/>
      <c r="L70" s="9"/>
      <c r="M70" s="9"/>
      <c r="N70" s="10"/>
      <c r="O70" s="10" t="str">
        <f t="shared" si="10"/>
        <v/>
      </c>
      <c r="P70" s="9" t="str">
        <f t="shared" si="11"/>
        <v/>
      </c>
      <c r="Q70" s="9" t="str">
        <f t="shared" si="12"/>
        <v/>
      </c>
      <c r="R70" s="9" t="str">
        <f t="shared" si="13"/>
        <v/>
      </c>
    </row>
    <row r="71" spans="2:18" x14ac:dyDescent="0.4">
      <c r="B71" s="8"/>
      <c r="C71" s="8"/>
      <c r="D71" s="8"/>
      <c r="E71" s="8"/>
      <c r="F71" s="8"/>
      <c r="G71" s="19"/>
      <c r="H71" s="8"/>
      <c r="I71" s="10"/>
      <c r="J71" s="9"/>
      <c r="K71" s="9"/>
      <c r="L71" s="9"/>
      <c r="M71" s="9"/>
      <c r="N71" s="10"/>
      <c r="O71" s="10" t="str">
        <f t="shared" si="10"/>
        <v/>
      </c>
      <c r="P71" s="9" t="str">
        <f t="shared" si="11"/>
        <v/>
      </c>
      <c r="Q71" s="9" t="str">
        <f t="shared" si="12"/>
        <v/>
      </c>
      <c r="R71" s="9" t="str">
        <f t="shared" si="13"/>
        <v/>
      </c>
    </row>
    <row r="72" spans="2:18" x14ac:dyDescent="0.4">
      <c r="B72" s="8"/>
      <c r="C72" s="8"/>
      <c r="D72" s="8"/>
      <c r="E72" s="8"/>
      <c r="F72" s="8"/>
      <c r="G72" s="19"/>
      <c r="H72" s="8"/>
      <c r="I72" s="10"/>
      <c r="J72" s="9"/>
      <c r="K72" s="9"/>
      <c r="L72" s="9"/>
      <c r="M72" s="9"/>
      <c r="N72" s="10"/>
      <c r="O72" s="10" t="str">
        <f t="shared" si="10"/>
        <v/>
      </c>
      <c r="P72" s="9" t="str">
        <f t="shared" si="11"/>
        <v/>
      </c>
      <c r="Q72" s="9" t="str">
        <f t="shared" si="12"/>
        <v/>
      </c>
      <c r="R72" s="9" t="str">
        <f t="shared" si="13"/>
        <v/>
      </c>
    </row>
    <row r="73" spans="2:18" x14ac:dyDescent="0.4">
      <c r="B73" s="8"/>
      <c r="C73" s="8"/>
      <c r="D73" s="8"/>
      <c r="E73" s="8"/>
      <c r="F73" s="8"/>
      <c r="G73" s="19"/>
      <c r="H73" s="8"/>
      <c r="I73" s="10"/>
      <c r="J73" s="9"/>
      <c r="K73" s="9"/>
      <c r="L73" s="9"/>
      <c r="M73" s="9"/>
      <c r="N73" s="10"/>
      <c r="O73" s="10" t="str">
        <f t="shared" si="10"/>
        <v/>
      </c>
      <c r="P73" s="9" t="str">
        <f t="shared" si="11"/>
        <v/>
      </c>
      <c r="Q73" s="9" t="str">
        <f t="shared" si="12"/>
        <v/>
      </c>
      <c r="R73" s="9" t="str">
        <f t="shared" si="13"/>
        <v/>
      </c>
    </row>
    <row r="74" spans="2:18" x14ac:dyDescent="0.4">
      <c r="B74" s="8"/>
      <c r="C74" s="8"/>
      <c r="D74" s="8"/>
      <c r="E74" s="8"/>
      <c r="F74" s="8"/>
      <c r="G74" s="19"/>
      <c r="H74" s="8"/>
      <c r="I74" s="10"/>
      <c r="J74" s="9"/>
      <c r="K74" s="9"/>
      <c r="L74" s="9"/>
      <c r="M74" s="9"/>
      <c r="N74" s="10"/>
      <c r="O74" s="10" t="str">
        <f t="shared" si="10"/>
        <v/>
      </c>
      <c r="P74" s="9" t="str">
        <f t="shared" si="11"/>
        <v/>
      </c>
      <c r="Q74" s="9" t="str">
        <f t="shared" si="12"/>
        <v/>
      </c>
      <c r="R74" s="9" t="str">
        <f t="shared" si="13"/>
        <v/>
      </c>
    </row>
    <row r="75" spans="2:18" x14ac:dyDescent="0.4">
      <c r="B75" s="8"/>
      <c r="C75" s="8"/>
      <c r="D75" s="8"/>
      <c r="E75" s="8"/>
      <c r="F75" s="8"/>
      <c r="G75" s="19"/>
      <c r="H75" s="8"/>
      <c r="I75" s="10"/>
      <c r="J75" s="9"/>
      <c r="K75" s="9"/>
      <c r="L75" s="9"/>
      <c r="M75" s="9"/>
      <c r="N75" s="10"/>
      <c r="O75" s="10" t="str">
        <f t="shared" si="10"/>
        <v/>
      </c>
      <c r="P75" s="9" t="str">
        <f t="shared" si="11"/>
        <v/>
      </c>
      <c r="Q75" s="9" t="str">
        <f t="shared" si="12"/>
        <v/>
      </c>
      <c r="R75" s="9" t="str">
        <f t="shared" si="13"/>
        <v/>
      </c>
    </row>
    <row r="76" spans="2:18" x14ac:dyDescent="0.4">
      <c r="B76" s="8"/>
      <c r="C76" s="8"/>
      <c r="D76" s="8"/>
      <c r="E76" s="8"/>
      <c r="F76" s="8"/>
      <c r="G76" s="19"/>
      <c r="H76" s="8"/>
      <c r="I76" s="10"/>
      <c r="J76" s="9"/>
      <c r="K76" s="9"/>
      <c r="L76" s="9"/>
      <c r="M76" s="9"/>
      <c r="N76" s="10"/>
      <c r="O76" s="10" t="str">
        <f t="shared" si="10"/>
        <v/>
      </c>
      <c r="P76" s="9" t="str">
        <f t="shared" si="11"/>
        <v/>
      </c>
      <c r="Q76" s="9" t="str">
        <f t="shared" si="12"/>
        <v/>
      </c>
      <c r="R76" s="9" t="str">
        <f t="shared" si="13"/>
        <v/>
      </c>
    </row>
    <row r="77" spans="2:18" x14ac:dyDescent="0.4">
      <c r="B77" s="8"/>
      <c r="C77" s="8"/>
      <c r="D77" s="8"/>
      <c r="E77" s="8"/>
      <c r="F77" s="8"/>
      <c r="G77" s="19"/>
      <c r="H77" s="8"/>
      <c r="I77" s="10"/>
      <c r="J77" s="9"/>
      <c r="K77" s="9"/>
      <c r="L77" s="9"/>
      <c r="M77" s="9"/>
      <c r="N77" s="10"/>
      <c r="O77" s="10" t="str">
        <f t="shared" si="10"/>
        <v/>
      </c>
      <c r="P77" s="9" t="str">
        <f t="shared" si="11"/>
        <v/>
      </c>
      <c r="Q77" s="9" t="str">
        <f t="shared" si="12"/>
        <v/>
      </c>
      <c r="R77" s="9" t="str">
        <f t="shared" si="13"/>
        <v/>
      </c>
    </row>
  </sheetData>
  <mergeCells count="1">
    <mergeCell ref="C42:C4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BE10-5F12-44F6-8A1A-F2B96826B85D}">
  <dimension ref="B2:R81"/>
  <sheetViews>
    <sheetView topLeftCell="A31" zoomScale="85" zoomScaleNormal="85" workbookViewId="0">
      <selection activeCell="C58" sqref="C58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19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6" si="0">K6*I6</f>
        <v>15840.000000000002</v>
      </c>
      <c r="N6" s="10"/>
      <c r="O6" s="10" t="str">
        <f t="shared" ref="O6:O63" si="1">IF(N6="","",I6-N6)</f>
        <v/>
      </c>
      <c r="P6" s="9" t="str">
        <f t="shared" ref="P6:P63" si="2">IFERROR(O6*J6,"")</f>
        <v/>
      </c>
      <c r="Q6" s="9" t="str">
        <f t="shared" ref="Q6:Q63" si="3">IFERROR(P6*O6,"")</f>
        <v/>
      </c>
      <c r="R6" s="9" t="str">
        <f t="shared" ref="R6:R63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302</v>
      </c>
      <c r="F9" s="17" t="s">
        <v>140</v>
      </c>
      <c r="G9" s="19"/>
      <c r="H9" s="13">
        <v>0.1</v>
      </c>
      <c r="I9" s="10">
        <v>30</v>
      </c>
      <c r="J9" s="9">
        <v>450</v>
      </c>
      <c r="K9" s="9">
        <f>J9*110%</f>
        <v>495.00000000000006</v>
      </c>
      <c r="L9" s="9"/>
      <c r="M9" s="9">
        <f t="shared" si="0"/>
        <v>14850.000000000002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302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302</v>
      </c>
      <c r="F11" s="17" t="s">
        <v>142</v>
      </c>
      <c r="G11" s="19"/>
      <c r="H11" s="13">
        <v>0.1</v>
      </c>
      <c r="I11" s="10">
        <v>30</v>
      </c>
      <c r="J11" s="9">
        <v>450</v>
      </c>
      <c r="K11" s="9">
        <f t="shared" si="5"/>
        <v>495.00000000000006</v>
      </c>
      <c r="L11" s="9"/>
      <c r="M11" s="9">
        <f t="shared" si="0"/>
        <v>14850.000000000002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302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302</v>
      </c>
      <c r="F13" s="17" t="s">
        <v>144</v>
      </c>
      <c r="G13" s="19"/>
      <c r="H13" s="13">
        <v>0.1</v>
      </c>
      <c r="I13" s="10">
        <v>7</v>
      </c>
      <c r="J13" s="9">
        <v>75</v>
      </c>
      <c r="K13" s="9">
        <f t="shared" si="5"/>
        <v>82.5</v>
      </c>
      <c r="L13" s="9"/>
      <c r="M13" s="9">
        <f t="shared" si="0"/>
        <v>577.5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302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302</v>
      </c>
      <c r="F15" s="17" t="s">
        <v>146</v>
      </c>
      <c r="G15" s="19"/>
      <c r="H15" s="13">
        <v>0.1</v>
      </c>
      <c r="I15" s="10">
        <v>7</v>
      </c>
      <c r="J15" s="9">
        <v>75</v>
      </c>
      <c r="K15" s="9">
        <f t="shared" si="5"/>
        <v>82.5</v>
      </c>
      <c r="L15" s="9"/>
      <c r="M15" s="9">
        <f t="shared" si="0"/>
        <v>577.5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302</v>
      </c>
      <c r="F16" s="17" t="s">
        <v>147</v>
      </c>
      <c r="G16" s="19"/>
      <c r="H16" s="13">
        <v>0.1</v>
      </c>
      <c r="I16" s="10">
        <v>7</v>
      </c>
      <c r="J16" s="9">
        <v>75</v>
      </c>
      <c r="K16" s="9">
        <f t="shared" si="5"/>
        <v>82.5</v>
      </c>
      <c r="L16" s="9"/>
      <c r="M16" s="9">
        <f t="shared" si="0"/>
        <v>577.5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302</v>
      </c>
      <c r="F17" s="17" t="s">
        <v>148</v>
      </c>
      <c r="G17" s="19"/>
      <c r="H17" s="13">
        <v>0.1</v>
      </c>
      <c r="I17" s="10">
        <v>7</v>
      </c>
      <c r="J17" s="9">
        <v>85</v>
      </c>
      <c r="K17" s="9">
        <f t="shared" si="5"/>
        <v>93.500000000000014</v>
      </c>
      <c r="L17" s="9"/>
      <c r="M17" s="9">
        <f t="shared" si="0"/>
        <v>654.50000000000011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302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302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302</v>
      </c>
      <c r="F20" s="17" t="s">
        <v>151</v>
      </c>
      <c r="G20" s="19"/>
      <c r="H20" s="13">
        <v>0.1</v>
      </c>
      <c r="I20" s="10">
        <v>7</v>
      </c>
      <c r="J20" s="9">
        <v>120</v>
      </c>
      <c r="K20" s="9">
        <f t="shared" si="5"/>
        <v>132</v>
      </c>
      <c r="L20" s="9"/>
      <c r="M20" s="9">
        <f t="shared" si="0"/>
        <v>924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302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302</v>
      </c>
      <c r="F22" s="17" t="s">
        <v>153</v>
      </c>
      <c r="G22" s="19"/>
      <c r="H22" s="13">
        <v>0.1</v>
      </c>
      <c r="I22" s="10">
        <v>7</v>
      </c>
      <c r="J22" s="9">
        <v>120</v>
      </c>
      <c r="K22" s="9">
        <f t="shared" si="5"/>
        <v>132</v>
      </c>
      <c r="L22" s="9"/>
      <c r="M22" s="9">
        <f t="shared" si="0"/>
        <v>924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302</v>
      </c>
      <c r="F23" s="17" t="s">
        <v>154</v>
      </c>
      <c r="G23" s="19"/>
      <c r="H23" s="13">
        <v>0.1</v>
      </c>
      <c r="I23" s="10">
        <v>30</v>
      </c>
      <c r="J23" s="9">
        <v>450</v>
      </c>
      <c r="K23" s="9">
        <f t="shared" si="5"/>
        <v>495.00000000000006</v>
      </c>
      <c r="L23" s="9"/>
      <c r="M23" s="9">
        <f t="shared" si="0"/>
        <v>14850.000000000002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302</v>
      </c>
      <c r="F24" s="17" t="s">
        <v>155</v>
      </c>
      <c r="G24" s="19"/>
      <c r="H24" s="13">
        <v>0.1</v>
      </c>
      <c r="I24" s="10">
        <v>30</v>
      </c>
      <c r="J24" s="9">
        <v>450</v>
      </c>
      <c r="K24" s="9">
        <f t="shared" si="5"/>
        <v>495.00000000000006</v>
      </c>
      <c r="L24" s="9"/>
      <c r="M24" s="9">
        <f t="shared" si="0"/>
        <v>14850.000000000002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302</v>
      </c>
      <c r="F25" s="17" t="s">
        <v>156</v>
      </c>
      <c r="G25" s="19"/>
      <c r="H25" s="13">
        <v>0.1</v>
      </c>
      <c r="I25" s="10">
        <v>30</v>
      </c>
      <c r="J25" s="9">
        <v>450</v>
      </c>
      <c r="K25" s="9">
        <f t="shared" si="5"/>
        <v>495.00000000000006</v>
      </c>
      <c r="L25" s="9"/>
      <c r="M25" s="9">
        <f t="shared" si="0"/>
        <v>14850.000000000002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302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ht="18.75" x14ac:dyDescent="0.4">
      <c r="B27" s="8"/>
      <c r="C27" s="26" t="s">
        <v>300</v>
      </c>
      <c r="D27" s="8"/>
      <c r="E27" s="8" t="s">
        <v>308</v>
      </c>
      <c r="F27" s="27" t="s">
        <v>309</v>
      </c>
      <c r="G27" s="30">
        <v>4977629310376</v>
      </c>
      <c r="H27" s="41">
        <v>0.08</v>
      </c>
      <c r="I27" s="10">
        <v>96</v>
      </c>
      <c r="J27" s="31">
        <v>40</v>
      </c>
      <c r="K27" s="9">
        <f>J27*108%</f>
        <v>43.2</v>
      </c>
      <c r="L27" s="9"/>
      <c r="M27" s="9">
        <f>K27*I27</f>
        <v>4147.2000000000007</v>
      </c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ht="18.75" x14ac:dyDescent="0.4">
      <c r="B28" s="8"/>
      <c r="C28" s="26" t="s">
        <v>303</v>
      </c>
      <c r="D28" s="8"/>
      <c r="E28" s="8" t="s">
        <v>308</v>
      </c>
      <c r="F28" s="28" t="s">
        <v>310</v>
      </c>
      <c r="G28" s="30">
        <v>2000000062716</v>
      </c>
      <c r="H28" s="41">
        <v>0.1</v>
      </c>
      <c r="I28" s="10">
        <v>100</v>
      </c>
      <c r="J28" s="31">
        <v>48</v>
      </c>
      <c r="K28" s="9">
        <f>J28*110%</f>
        <v>52.800000000000004</v>
      </c>
      <c r="L28" s="9"/>
      <c r="M28" s="9">
        <f t="shared" ref="M28:M60" si="6">K28*I28</f>
        <v>5280</v>
      </c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304</v>
      </c>
      <c r="D29" s="8"/>
      <c r="E29" s="8" t="s">
        <v>308</v>
      </c>
      <c r="F29" s="28" t="s">
        <v>311</v>
      </c>
      <c r="G29" s="30">
        <v>2000000064529</v>
      </c>
      <c r="H29" s="41">
        <v>0.1</v>
      </c>
      <c r="I29" s="10">
        <v>60</v>
      </c>
      <c r="J29" s="31">
        <v>80</v>
      </c>
      <c r="K29" s="9">
        <f t="shared" ref="K29:K46" si="7">J29*110%</f>
        <v>88</v>
      </c>
      <c r="L29" s="9"/>
      <c r="M29" s="9">
        <f t="shared" si="6"/>
        <v>5280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304</v>
      </c>
      <c r="D30" s="8"/>
      <c r="E30" s="8" t="s">
        <v>308</v>
      </c>
      <c r="F30" s="28" t="s">
        <v>312</v>
      </c>
      <c r="G30" s="30">
        <v>4973512263651</v>
      </c>
      <c r="H30" s="41">
        <v>0.1</v>
      </c>
      <c r="I30" s="10">
        <v>100</v>
      </c>
      <c r="J30" s="31">
        <v>80</v>
      </c>
      <c r="K30" s="9">
        <f t="shared" si="7"/>
        <v>88</v>
      </c>
      <c r="L30" s="9"/>
      <c r="M30" s="9">
        <f t="shared" si="6"/>
        <v>8800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313</v>
      </c>
      <c r="G31" s="30">
        <v>4518516000088</v>
      </c>
      <c r="H31" s="41">
        <v>0.1</v>
      </c>
      <c r="I31" s="10">
        <v>48</v>
      </c>
      <c r="J31" s="31">
        <v>130</v>
      </c>
      <c r="K31" s="9">
        <f t="shared" si="7"/>
        <v>143</v>
      </c>
      <c r="L31" s="9"/>
      <c r="M31" s="9">
        <f t="shared" si="6"/>
        <v>6864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303</v>
      </c>
      <c r="D32" s="8"/>
      <c r="E32" s="8" t="s">
        <v>308</v>
      </c>
      <c r="F32" s="28" t="s">
        <v>314</v>
      </c>
      <c r="G32" s="30">
        <v>4580419310328</v>
      </c>
      <c r="H32" s="41">
        <v>0.1</v>
      </c>
      <c r="I32" s="10">
        <v>50</v>
      </c>
      <c r="J32" s="31">
        <v>280</v>
      </c>
      <c r="K32" s="9">
        <f t="shared" si="7"/>
        <v>308</v>
      </c>
      <c r="L32" s="9"/>
      <c r="M32" s="9">
        <f t="shared" si="6"/>
        <v>15400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304</v>
      </c>
      <c r="D33" s="8"/>
      <c r="E33" s="8" t="s">
        <v>308</v>
      </c>
      <c r="F33" s="28" t="s">
        <v>315</v>
      </c>
      <c r="G33" s="30">
        <v>4904705163304</v>
      </c>
      <c r="H33" s="41">
        <v>0.1</v>
      </c>
      <c r="I33" s="10">
        <v>240</v>
      </c>
      <c r="J33" s="31">
        <v>19</v>
      </c>
      <c r="K33" s="9">
        <f t="shared" si="7"/>
        <v>20.900000000000002</v>
      </c>
      <c r="L33" s="9"/>
      <c r="M33" s="9">
        <f t="shared" si="6"/>
        <v>5016.0000000000009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304</v>
      </c>
      <c r="D34" s="8"/>
      <c r="E34" s="8" t="s">
        <v>308</v>
      </c>
      <c r="F34" s="28" t="s">
        <v>316</v>
      </c>
      <c r="G34" s="30">
        <v>4966840253630</v>
      </c>
      <c r="H34" s="41">
        <v>0.1</v>
      </c>
      <c r="I34" s="10">
        <v>240</v>
      </c>
      <c r="J34" s="31">
        <v>22</v>
      </c>
      <c r="K34" s="9">
        <f t="shared" si="7"/>
        <v>24.200000000000003</v>
      </c>
      <c r="L34" s="9"/>
      <c r="M34" s="9">
        <f t="shared" si="6"/>
        <v>5808.0000000000009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317</v>
      </c>
      <c r="G35" s="30">
        <v>8010630333869</v>
      </c>
      <c r="H35" s="41">
        <v>0.1</v>
      </c>
      <c r="I35" s="10">
        <v>400</v>
      </c>
      <c r="J35" s="31">
        <v>30</v>
      </c>
      <c r="K35" s="9">
        <f t="shared" si="7"/>
        <v>33</v>
      </c>
      <c r="L35" s="9"/>
      <c r="M35" s="9">
        <f t="shared" si="6"/>
        <v>13200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303</v>
      </c>
      <c r="D36" s="8"/>
      <c r="E36" s="8" t="s">
        <v>308</v>
      </c>
      <c r="F36" s="28" t="s">
        <v>318</v>
      </c>
      <c r="G36" s="30">
        <v>4528364820028</v>
      </c>
      <c r="H36" s="41">
        <v>0.1</v>
      </c>
      <c r="I36" s="10">
        <v>100</v>
      </c>
      <c r="J36" s="31">
        <v>35</v>
      </c>
      <c r="K36" s="9">
        <f t="shared" si="7"/>
        <v>38.5</v>
      </c>
      <c r="L36" s="9"/>
      <c r="M36" s="9">
        <f t="shared" si="6"/>
        <v>3850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304</v>
      </c>
      <c r="D37" s="8"/>
      <c r="E37" s="8" t="s">
        <v>308</v>
      </c>
      <c r="F37" s="28" t="s">
        <v>319</v>
      </c>
      <c r="G37" s="30">
        <v>4966840251551</v>
      </c>
      <c r="H37" s="41">
        <v>0.1</v>
      </c>
      <c r="I37" s="10">
        <v>144</v>
      </c>
      <c r="J37" s="31">
        <v>40</v>
      </c>
      <c r="K37" s="9">
        <f t="shared" si="7"/>
        <v>44</v>
      </c>
      <c r="L37" s="9"/>
      <c r="M37" s="9">
        <f t="shared" si="6"/>
        <v>6336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305</v>
      </c>
      <c r="D38" s="8"/>
      <c r="E38" s="8" t="s">
        <v>308</v>
      </c>
      <c r="F38" s="28" t="s">
        <v>320</v>
      </c>
      <c r="G38" s="30">
        <v>4970687211159</v>
      </c>
      <c r="H38" s="41">
        <v>0.1</v>
      </c>
      <c r="I38" s="10">
        <v>120</v>
      </c>
      <c r="J38" s="31">
        <v>80</v>
      </c>
      <c r="K38" s="9">
        <f t="shared" si="7"/>
        <v>88</v>
      </c>
      <c r="L38" s="9"/>
      <c r="M38" s="9">
        <f t="shared" si="6"/>
        <v>10560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305</v>
      </c>
      <c r="D39" s="8"/>
      <c r="E39" s="8" t="s">
        <v>308</v>
      </c>
      <c r="F39" s="28" t="s">
        <v>321</v>
      </c>
      <c r="G39" s="30">
        <v>4970687211241</v>
      </c>
      <c r="H39" s="41">
        <v>0.1</v>
      </c>
      <c r="I39" s="10">
        <v>120</v>
      </c>
      <c r="J39" s="31">
        <v>80</v>
      </c>
      <c r="K39" s="9">
        <f t="shared" si="7"/>
        <v>88</v>
      </c>
      <c r="L39" s="9"/>
      <c r="M39" s="9">
        <f t="shared" si="6"/>
        <v>10560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26" t="s">
        <v>96</v>
      </c>
      <c r="D40" s="8"/>
      <c r="E40" s="8" t="s">
        <v>308</v>
      </c>
      <c r="F40" s="28" t="s">
        <v>322</v>
      </c>
      <c r="G40" s="30">
        <v>4538291208509</v>
      </c>
      <c r="H40" s="41">
        <v>0.1</v>
      </c>
      <c r="I40" s="10">
        <v>72</v>
      </c>
      <c r="J40" s="31">
        <v>90</v>
      </c>
      <c r="K40" s="9">
        <f t="shared" si="7"/>
        <v>99.000000000000014</v>
      </c>
      <c r="L40" s="9"/>
      <c r="M40" s="9">
        <f t="shared" si="6"/>
        <v>7128.0000000000009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121" t="s">
        <v>304</v>
      </c>
      <c r="D41" s="8"/>
      <c r="E41" s="8" t="s">
        <v>308</v>
      </c>
      <c r="F41" s="28" t="s">
        <v>323</v>
      </c>
      <c r="G41" s="30">
        <v>4510482194181</v>
      </c>
      <c r="H41" s="41">
        <v>0.1</v>
      </c>
      <c r="I41" s="10">
        <v>24</v>
      </c>
      <c r="J41" s="31">
        <v>100</v>
      </c>
      <c r="K41" s="9">
        <f t="shared" si="7"/>
        <v>110.00000000000001</v>
      </c>
      <c r="L41" s="9"/>
      <c r="M41" s="9">
        <f t="shared" si="6"/>
        <v>2640.0000000000005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124"/>
      <c r="D42" s="8"/>
      <c r="E42" s="8" t="s">
        <v>308</v>
      </c>
      <c r="F42" s="28" t="s">
        <v>324</v>
      </c>
      <c r="G42" s="30">
        <v>4510482194198</v>
      </c>
      <c r="H42" s="41">
        <v>0.1</v>
      </c>
      <c r="I42" s="10">
        <v>24</v>
      </c>
      <c r="J42" s="31">
        <v>100</v>
      </c>
      <c r="K42" s="9">
        <f t="shared" si="7"/>
        <v>110.00000000000001</v>
      </c>
      <c r="L42" s="9"/>
      <c r="M42" s="9">
        <f t="shared" si="6"/>
        <v>2640.0000000000005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122"/>
      <c r="D43" s="8"/>
      <c r="E43" s="8" t="s">
        <v>308</v>
      </c>
      <c r="F43" s="28" t="s">
        <v>325</v>
      </c>
      <c r="G43" s="30">
        <v>4510482194204</v>
      </c>
      <c r="H43" s="41">
        <v>0.1</v>
      </c>
      <c r="I43" s="10">
        <v>24</v>
      </c>
      <c r="J43" s="31">
        <v>100</v>
      </c>
      <c r="K43" s="9">
        <f t="shared" si="7"/>
        <v>110.00000000000001</v>
      </c>
      <c r="L43" s="9"/>
      <c r="M43" s="9">
        <f t="shared" si="6"/>
        <v>2640.0000000000005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26" t="s">
        <v>304</v>
      </c>
      <c r="D44" s="8"/>
      <c r="E44" s="8" t="s">
        <v>308</v>
      </c>
      <c r="F44" s="28" t="s">
        <v>326</v>
      </c>
      <c r="G44" s="30">
        <v>4972603100585</v>
      </c>
      <c r="H44" s="41">
        <v>0.1</v>
      </c>
      <c r="I44" s="10">
        <v>30</v>
      </c>
      <c r="J44" s="31">
        <v>100</v>
      </c>
      <c r="K44" s="9">
        <f t="shared" si="7"/>
        <v>110.00000000000001</v>
      </c>
      <c r="L44" s="9"/>
      <c r="M44" s="9">
        <f t="shared" si="6"/>
        <v>3300.0000000000005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26" t="s">
        <v>304</v>
      </c>
      <c r="D45" s="8"/>
      <c r="E45" s="8" t="s">
        <v>308</v>
      </c>
      <c r="F45" s="28" t="s">
        <v>327</v>
      </c>
      <c r="G45" s="30">
        <v>4589596691961</v>
      </c>
      <c r="H45" s="41">
        <v>0.1</v>
      </c>
      <c r="I45" s="10">
        <v>54</v>
      </c>
      <c r="J45" s="31">
        <v>140</v>
      </c>
      <c r="K45" s="9">
        <f t="shared" si="7"/>
        <v>154</v>
      </c>
      <c r="L45" s="9"/>
      <c r="M45" s="9">
        <f t="shared" si="6"/>
        <v>8316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18.75" x14ac:dyDescent="0.4">
      <c r="B46" s="8"/>
      <c r="C46" s="26" t="s">
        <v>304</v>
      </c>
      <c r="D46" s="8"/>
      <c r="E46" s="8" t="s">
        <v>308</v>
      </c>
      <c r="F46" s="28" t="s">
        <v>347</v>
      </c>
      <c r="G46" s="30">
        <v>4939560247197</v>
      </c>
      <c r="H46" s="41">
        <v>0.1</v>
      </c>
      <c r="I46" s="10">
        <v>60</v>
      </c>
      <c r="J46" s="31">
        <v>216</v>
      </c>
      <c r="K46" s="9">
        <f t="shared" si="7"/>
        <v>237.60000000000002</v>
      </c>
      <c r="L46" s="9"/>
      <c r="M46" s="9">
        <f t="shared" si="6"/>
        <v>14256.000000000002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37.5" x14ac:dyDescent="0.4">
      <c r="B47" s="8"/>
      <c r="C47" s="26" t="s">
        <v>300</v>
      </c>
      <c r="D47" s="8"/>
      <c r="E47" s="8" t="s">
        <v>308</v>
      </c>
      <c r="F47" s="29" t="s">
        <v>329</v>
      </c>
      <c r="G47" s="30">
        <v>4960867008396</v>
      </c>
      <c r="H47" s="41">
        <v>0.08</v>
      </c>
      <c r="I47" s="10">
        <v>30</v>
      </c>
      <c r="J47" s="31">
        <v>240</v>
      </c>
      <c r="K47" s="9">
        <f t="shared" ref="K47" si="8">J47*108%</f>
        <v>259.20000000000005</v>
      </c>
      <c r="L47" s="9"/>
      <c r="M47" s="9">
        <f t="shared" si="6"/>
        <v>7776.0000000000018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18.75" x14ac:dyDescent="0.4">
      <c r="B48" s="8"/>
      <c r="C48" s="26" t="s">
        <v>96</v>
      </c>
      <c r="D48" s="8"/>
      <c r="E48" s="8" t="s">
        <v>308</v>
      </c>
      <c r="F48" s="28" t="s">
        <v>331</v>
      </c>
      <c r="G48" s="30">
        <v>4939560521600</v>
      </c>
      <c r="H48" s="41">
        <v>0.1</v>
      </c>
      <c r="I48" s="10">
        <v>24</v>
      </c>
      <c r="J48" s="31">
        <v>360</v>
      </c>
      <c r="K48" s="9">
        <f t="shared" ref="K48:K60" si="9">J48*110%</f>
        <v>396.00000000000006</v>
      </c>
      <c r="L48" s="9"/>
      <c r="M48" s="9">
        <f t="shared" si="6"/>
        <v>9504.0000000000018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304</v>
      </c>
      <c r="D49" s="8"/>
      <c r="E49" s="8" t="s">
        <v>308</v>
      </c>
      <c r="F49" s="28" t="s">
        <v>333</v>
      </c>
      <c r="G49" s="30">
        <v>4939560521617</v>
      </c>
      <c r="H49" s="41">
        <v>0.1</v>
      </c>
      <c r="I49" s="10">
        <v>12</v>
      </c>
      <c r="J49" s="31">
        <v>540</v>
      </c>
      <c r="K49" s="9">
        <f t="shared" si="9"/>
        <v>594</v>
      </c>
      <c r="L49" s="9"/>
      <c r="M49" s="9">
        <f t="shared" si="6"/>
        <v>7128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304</v>
      </c>
      <c r="D50" s="8"/>
      <c r="E50" s="8" t="s">
        <v>308</v>
      </c>
      <c r="F50" s="28" t="s">
        <v>334</v>
      </c>
      <c r="G50" s="30">
        <v>2000000068152</v>
      </c>
      <c r="H50" s="41">
        <v>0.1</v>
      </c>
      <c r="I50" s="10">
        <v>200</v>
      </c>
      <c r="J50" s="31">
        <v>30</v>
      </c>
      <c r="K50" s="9">
        <f t="shared" si="9"/>
        <v>33</v>
      </c>
      <c r="L50" s="9"/>
      <c r="M50" s="9">
        <f t="shared" si="6"/>
        <v>6600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303</v>
      </c>
      <c r="D51" s="8"/>
      <c r="E51" s="8" t="s">
        <v>308</v>
      </c>
      <c r="F51" s="28" t="s">
        <v>336</v>
      </c>
      <c r="G51" s="30">
        <v>4580419310397</v>
      </c>
      <c r="H51" s="41">
        <v>0.1</v>
      </c>
      <c r="I51" s="10">
        <v>24</v>
      </c>
      <c r="J51" s="31">
        <v>330</v>
      </c>
      <c r="K51" s="9">
        <f t="shared" si="9"/>
        <v>363.00000000000006</v>
      </c>
      <c r="L51" s="9"/>
      <c r="M51" s="9">
        <f t="shared" si="6"/>
        <v>8712.0000000000018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26" t="s">
        <v>96</v>
      </c>
      <c r="D52" s="8"/>
      <c r="E52" s="8" t="s">
        <v>308</v>
      </c>
      <c r="F52" s="28" t="s">
        <v>337</v>
      </c>
      <c r="G52" s="30">
        <v>4904705164646</v>
      </c>
      <c r="H52" s="41">
        <v>0.1</v>
      </c>
      <c r="I52" s="10">
        <v>240</v>
      </c>
      <c r="J52" s="31">
        <v>12</v>
      </c>
      <c r="K52" s="9">
        <f t="shared" si="9"/>
        <v>13.200000000000001</v>
      </c>
      <c r="L52" s="9"/>
      <c r="M52" s="9">
        <f t="shared" si="6"/>
        <v>3168.0000000000005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26" t="s">
        <v>304</v>
      </c>
      <c r="D53" s="8"/>
      <c r="E53" s="8" t="s">
        <v>308</v>
      </c>
      <c r="F53" s="28" t="s">
        <v>338</v>
      </c>
      <c r="G53" s="30">
        <v>4510482229425</v>
      </c>
      <c r="H53" s="41">
        <v>0.1</v>
      </c>
      <c r="I53" s="10">
        <v>24</v>
      </c>
      <c r="J53" s="31">
        <v>80</v>
      </c>
      <c r="K53" s="9">
        <f t="shared" si="9"/>
        <v>88</v>
      </c>
      <c r="L53" s="9"/>
      <c r="M53" s="9">
        <f t="shared" si="6"/>
        <v>2112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26" t="s">
        <v>307</v>
      </c>
      <c r="D54" s="8"/>
      <c r="E54" s="8" t="s">
        <v>308</v>
      </c>
      <c r="F54" s="28" t="s">
        <v>339</v>
      </c>
      <c r="G54" s="30">
        <v>4573135361057</v>
      </c>
      <c r="H54" s="41">
        <v>0.1</v>
      </c>
      <c r="I54" s="10">
        <v>48</v>
      </c>
      <c r="J54" s="31">
        <v>80</v>
      </c>
      <c r="K54" s="9">
        <f t="shared" si="9"/>
        <v>88</v>
      </c>
      <c r="L54" s="9"/>
      <c r="M54" s="9">
        <f t="shared" si="6"/>
        <v>4224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18.75" x14ac:dyDescent="0.4">
      <c r="B55" s="8"/>
      <c r="C55" s="26" t="s">
        <v>304</v>
      </c>
      <c r="D55" s="8"/>
      <c r="E55" s="8" t="s">
        <v>308</v>
      </c>
      <c r="F55" s="28" t="s">
        <v>342</v>
      </c>
      <c r="G55" s="30">
        <v>4580487007922</v>
      </c>
      <c r="H55" s="41">
        <v>0.1</v>
      </c>
      <c r="I55" s="10">
        <v>6</v>
      </c>
      <c r="J55" s="31">
        <v>850</v>
      </c>
      <c r="K55" s="9">
        <f t="shared" si="9"/>
        <v>935.00000000000011</v>
      </c>
      <c r="L55" s="9"/>
      <c r="M55" s="9">
        <f t="shared" si="6"/>
        <v>5610.0000000000009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ht="18.75" x14ac:dyDescent="0.4">
      <c r="B56" s="8"/>
      <c r="C56" s="26" t="s">
        <v>304</v>
      </c>
      <c r="D56" s="8"/>
      <c r="E56" s="8" t="s">
        <v>308</v>
      </c>
      <c r="F56" s="28" t="s">
        <v>343</v>
      </c>
      <c r="G56" s="30"/>
      <c r="H56" s="41">
        <v>0.1</v>
      </c>
      <c r="I56" s="10">
        <v>384</v>
      </c>
      <c r="J56" s="31">
        <v>9</v>
      </c>
      <c r="K56" s="9">
        <f t="shared" si="9"/>
        <v>9.9</v>
      </c>
      <c r="L56" s="9"/>
      <c r="M56" s="9">
        <f t="shared" si="6"/>
        <v>3801.6000000000004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ht="18.75" x14ac:dyDescent="0.4">
      <c r="B57" s="8"/>
      <c r="C57" s="26" t="s">
        <v>307</v>
      </c>
      <c r="D57" s="8"/>
      <c r="E57" s="8" t="s">
        <v>308</v>
      </c>
      <c r="F57" s="28" t="s">
        <v>344</v>
      </c>
      <c r="G57" s="30"/>
      <c r="H57" s="41">
        <v>0.1</v>
      </c>
      <c r="I57" s="10">
        <v>108</v>
      </c>
      <c r="J57" s="31">
        <v>140</v>
      </c>
      <c r="K57" s="9">
        <f t="shared" si="9"/>
        <v>154</v>
      </c>
      <c r="L57" s="9"/>
      <c r="M57" s="9">
        <f t="shared" si="6"/>
        <v>16632</v>
      </c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ht="37.5" x14ac:dyDescent="0.4">
      <c r="B58" s="8"/>
      <c r="C58" s="26" t="s">
        <v>303</v>
      </c>
      <c r="D58" s="8"/>
      <c r="E58" s="8" t="s">
        <v>308</v>
      </c>
      <c r="F58" s="29" t="s">
        <v>348</v>
      </c>
      <c r="G58" s="30"/>
      <c r="H58" s="41">
        <v>0.1</v>
      </c>
      <c r="I58" s="10">
        <v>150</v>
      </c>
      <c r="J58" s="31">
        <v>145</v>
      </c>
      <c r="K58" s="9">
        <f t="shared" si="9"/>
        <v>159.5</v>
      </c>
      <c r="L58" s="9"/>
      <c r="M58" s="9">
        <f t="shared" si="6"/>
        <v>23925</v>
      </c>
      <c r="N58" s="10"/>
      <c r="O58" s="10" t="str">
        <f t="shared" si="1"/>
        <v/>
      </c>
      <c r="P58" s="9" t="str">
        <f t="shared" si="2"/>
        <v/>
      </c>
      <c r="Q58" s="9" t="str">
        <f t="shared" si="3"/>
        <v/>
      </c>
      <c r="R58" s="9" t="str">
        <f t="shared" si="4"/>
        <v/>
      </c>
    </row>
    <row r="59" spans="2:18" ht="18.75" x14ac:dyDescent="0.4">
      <c r="B59" s="8"/>
      <c r="C59" s="26" t="s">
        <v>303</v>
      </c>
      <c r="D59" s="8"/>
      <c r="E59" s="8" t="s">
        <v>308</v>
      </c>
      <c r="F59" s="28" t="s">
        <v>345</v>
      </c>
      <c r="G59" s="30"/>
      <c r="H59" s="41">
        <v>0.1</v>
      </c>
      <c r="I59" s="10">
        <v>60</v>
      </c>
      <c r="J59" s="31">
        <v>145</v>
      </c>
      <c r="K59" s="9">
        <f t="shared" si="9"/>
        <v>159.5</v>
      </c>
      <c r="L59" s="9"/>
      <c r="M59" s="9">
        <f t="shared" si="6"/>
        <v>9570</v>
      </c>
      <c r="N59" s="10"/>
      <c r="O59" s="10" t="str">
        <f t="shared" si="1"/>
        <v/>
      </c>
      <c r="P59" s="9" t="str">
        <f t="shared" si="2"/>
        <v/>
      </c>
      <c r="Q59" s="9" t="str">
        <f t="shared" si="3"/>
        <v/>
      </c>
      <c r="R59" s="9" t="str">
        <f t="shared" si="4"/>
        <v/>
      </c>
    </row>
    <row r="60" spans="2:18" ht="18.75" x14ac:dyDescent="0.4">
      <c r="B60" s="8"/>
      <c r="C60" s="26" t="s">
        <v>96</v>
      </c>
      <c r="D60" s="8"/>
      <c r="E60" s="8" t="s">
        <v>308</v>
      </c>
      <c r="F60" s="28" t="s">
        <v>346</v>
      </c>
      <c r="G60" s="30">
        <v>4560437940714</v>
      </c>
      <c r="H60" s="41">
        <v>0.1</v>
      </c>
      <c r="I60" s="10">
        <v>48</v>
      </c>
      <c r="J60" s="31">
        <v>150</v>
      </c>
      <c r="K60" s="9">
        <f t="shared" si="9"/>
        <v>165</v>
      </c>
      <c r="L60" s="9"/>
      <c r="M60" s="9">
        <f t="shared" si="6"/>
        <v>7920</v>
      </c>
      <c r="N60" s="10"/>
      <c r="O60" s="10" t="str">
        <f t="shared" si="1"/>
        <v/>
      </c>
      <c r="P60" s="9" t="str">
        <f t="shared" si="2"/>
        <v/>
      </c>
      <c r="Q60" s="9" t="str">
        <f t="shared" si="3"/>
        <v/>
      </c>
      <c r="R60" s="9" t="str">
        <f t="shared" si="4"/>
        <v/>
      </c>
    </row>
    <row r="61" spans="2:18" x14ac:dyDescent="0.4">
      <c r="B61" s="8"/>
      <c r="C61" s="8"/>
      <c r="D61" s="8"/>
      <c r="E61" s="8"/>
      <c r="F61" s="8"/>
      <c r="G61" s="19"/>
      <c r="H61" s="8"/>
      <c r="I61" s="10"/>
      <c r="J61" s="9"/>
      <c r="K61" s="9"/>
      <c r="L61" s="9"/>
      <c r="M61" s="9"/>
      <c r="N61" s="10"/>
      <c r="O61" s="10" t="str">
        <f t="shared" si="1"/>
        <v/>
      </c>
      <c r="P61" s="9" t="str">
        <f t="shared" si="2"/>
        <v/>
      </c>
      <c r="Q61" s="9" t="str">
        <f t="shared" si="3"/>
        <v/>
      </c>
      <c r="R61" s="9" t="str">
        <f t="shared" si="4"/>
        <v/>
      </c>
    </row>
    <row r="62" spans="2:18" x14ac:dyDescent="0.4">
      <c r="B62" s="8"/>
      <c r="C62" s="8"/>
      <c r="D62" s="8"/>
      <c r="E62" s="8"/>
      <c r="F62" s="8"/>
      <c r="G62" s="19"/>
      <c r="H62" s="8"/>
      <c r="I62" s="10"/>
      <c r="J62" s="9"/>
      <c r="K62" s="9"/>
      <c r="L62" s="9"/>
      <c r="M62" s="9"/>
      <c r="N62" s="10"/>
      <c r="O62" s="10" t="str">
        <f t="shared" si="1"/>
        <v/>
      </c>
      <c r="P62" s="9" t="str">
        <f t="shared" si="2"/>
        <v/>
      </c>
      <c r="Q62" s="9" t="str">
        <f t="shared" si="3"/>
        <v/>
      </c>
      <c r="R62" s="9" t="str">
        <f t="shared" si="4"/>
        <v/>
      </c>
    </row>
    <row r="63" spans="2:18" x14ac:dyDescent="0.4">
      <c r="B63" s="8"/>
      <c r="C63" s="8"/>
      <c r="D63" s="8"/>
      <c r="E63" s="8"/>
      <c r="F63" s="8"/>
      <c r="G63" s="19"/>
      <c r="H63" s="8"/>
      <c r="I63" s="10"/>
      <c r="J63" s="9"/>
      <c r="K63" s="9"/>
      <c r="L63" s="9"/>
      <c r="M63" s="9"/>
      <c r="N63" s="10"/>
      <c r="O63" s="10" t="str">
        <f t="shared" si="1"/>
        <v/>
      </c>
      <c r="P63" s="9" t="str">
        <f t="shared" si="2"/>
        <v/>
      </c>
      <c r="Q63" s="9" t="str">
        <f t="shared" si="3"/>
        <v/>
      </c>
      <c r="R63" s="9" t="str">
        <f t="shared" si="4"/>
        <v/>
      </c>
    </row>
    <row r="64" spans="2:18" x14ac:dyDescent="0.4">
      <c r="B64" s="8"/>
      <c r="C64" s="8"/>
      <c r="D64" s="8"/>
      <c r="E64" s="8"/>
      <c r="F64" s="8"/>
      <c r="G64" s="19"/>
      <c r="H64" s="8"/>
      <c r="I64" s="10"/>
      <c r="J64" s="9"/>
      <c r="K64" s="9"/>
      <c r="L64" s="9"/>
      <c r="M64" s="9"/>
      <c r="N64" s="10"/>
      <c r="O64" s="10" t="str">
        <f t="shared" ref="O64:O81" si="10">IF(N64="","",I64-N64)</f>
        <v/>
      </c>
      <c r="P64" s="9" t="str">
        <f t="shared" ref="P64:P81" si="11">IFERROR(O64*J64,"")</f>
        <v/>
      </c>
      <c r="Q64" s="9" t="str">
        <f t="shared" ref="Q64:Q81" si="12">IFERROR(P64*O64,"")</f>
        <v/>
      </c>
      <c r="R64" s="9" t="str">
        <f t="shared" ref="R64:R81" si="13">IFERROR(Q64-P64,"")</f>
        <v/>
      </c>
    </row>
    <row r="65" spans="2:18" x14ac:dyDescent="0.4">
      <c r="B65" s="8"/>
      <c r="C65" s="8"/>
      <c r="D65" s="8"/>
      <c r="E65" s="8"/>
      <c r="F65" s="8"/>
      <c r="G65" s="19"/>
      <c r="H65" s="8"/>
      <c r="I65" s="10"/>
      <c r="J65" s="9"/>
      <c r="K65" s="9"/>
      <c r="L65" s="9"/>
      <c r="M65" s="9"/>
      <c r="N65" s="10"/>
      <c r="O65" s="10" t="str">
        <f t="shared" si="10"/>
        <v/>
      </c>
      <c r="P65" s="9" t="str">
        <f t="shared" si="11"/>
        <v/>
      </c>
      <c r="Q65" s="9" t="str">
        <f t="shared" si="12"/>
        <v/>
      </c>
      <c r="R65" s="9" t="str">
        <f t="shared" si="13"/>
        <v/>
      </c>
    </row>
    <row r="66" spans="2:18" x14ac:dyDescent="0.4">
      <c r="B66" s="8"/>
      <c r="C66" s="8"/>
      <c r="D66" s="8"/>
      <c r="E66" s="8"/>
      <c r="F66" s="8"/>
      <c r="G66" s="19"/>
      <c r="H66" s="8"/>
      <c r="I66" s="10"/>
      <c r="J66" s="9"/>
      <c r="K66" s="9"/>
      <c r="L66" s="9"/>
      <c r="M66" s="9"/>
      <c r="N66" s="10"/>
      <c r="O66" s="10" t="str">
        <f t="shared" si="10"/>
        <v/>
      </c>
      <c r="P66" s="9" t="str">
        <f t="shared" si="11"/>
        <v/>
      </c>
      <c r="Q66" s="9" t="str">
        <f t="shared" si="12"/>
        <v/>
      </c>
      <c r="R66" s="9" t="str">
        <f t="shared" si="13"/>
        <v/>
      </c>
    </row>
    <row r="67" spans="2:18" x14ac:dyDescent="0.4">
      <c r="B67" s="8"/>
      <c r="C67" s="8"/>
      <c r="D67" s="8"/>
      <c r="E67" s="8"/>
      <c r="F67" s="8"/>
      <c r="G67" s="19"/>
      <c r="H67" s="8"/>
      <c r="I67" s="10"/>
      <c r="J67" s="9"/>
      <c r="K67" s="9"/>
      <c r="L67" s="9"/>
      <c r="M67" s="9"/>
      <c r="N67" s="10"/>
      <c r="O67" s="10" t="str">
        <f t="shared" si="10"/>
        <v/>
      </c>
      <c r="P67" s="9" t="str">
        <f t="shared" si="11"/>
        <v/>
      </c>
      <c r="Q67" s="9" t="str">
        <f t="shared" si="12"/>
        <v/>
      </c>
      <c r="R67" s="9" t="str">
        <f t="shared" si="13"/>
        <v/>
      </c>
    </row>
    <row r="68" spans="2:18" x14ac:dyDescent="0.4">
      <c r="B68" s="8"/>
      <c r="C68" s="8"/>
      <c r="D68" s="8"/>
      <c r="E68" s="8"/>
      <c r="F68" s="8"/>
      <c r="G68" s="19"/>
      <c r="H68" s="8"/>
      <c r="I68" s="10"/>
      <c r="J68" s="9"/>
      <c r="K68" s="9"/>
      <c r="L68" s="9"/>
      <c r="M68" s="9"/>
      <c r="N68" s="10"/>
      <c r="O68" s="10" t="str">
        <f t="shared" si="10"/>
        <v/>
      </c>
      <c r="P68" s="9" t="str">
        <f t="shared" si="11"/>
        <v/>
      </c>
      <c r="Q68" s="9" t="str">
        <f t="shared" si="12"/>
        <v/>
      </c>
      <c r="R68" s="9" t="str">
        <f t="shared" si="13"/>
        <v/>
      </c>
    </row>
    <row r="69" spans="2:18" x14ac:dyDescent="0.4">
      <c r="B69" s="8"/>
      <c r="C69" s="8"/>
      <c r="D69" s="8"/>
      <c r="E69" s="8"/>
      <c r="F69" s="8"/>
      <c r="G69" s="19"/>
      <c r="H69" s="8"/>
      <c r="I69" s="10"/>
      <c r="J69" s="9"/>
      <c r="K69" s="9"/>
      <c r="L69" s="9"/>
      <c r="M69" s="9"/>
      <c r="N69" s="10"/>
      <c r="O69" s="10" t="str">
        <f t="shared" si="10"/>
        <v/>
      </c>
      <c r="P69" s="9" t="str">
        <f t="shared" si="11"/>
        <v/>
      </c>
      <c r="Q69" s="9" t="str">
        <f t="shared" si="12"/>
        <v/>
      </c>
      <c r="R69" s="9" t="str">
        <f t="shared" si="13"/>
        <v/>
      </c>
    </row>
    <row r="70" spans="2:18" x14ac:dyDescent="0.4">
      <c r="B70" s="8"/>
      <c r="C70" s="8"/>
      <c r="D70" s="8"/>
      <c r="E70" s="8"/>
      <c r="F70" s="8"/>
      <c r="G70" s="19"/>
      <c r="H70" s="8"/>
      <c r="I70" s="10"/>
      <c r="J70" s="9"/>
      <c r="K70" s="9"/>
      <c r="L70" s="9"/>
      <c r="M70" s="9"/>
      <c r="N70" s="10"/>
      <c r="O70" s="10" t="str">
        <f t="shared" si="10"/>
        <v/>
      </c>
      <c r="P70" s="9" t="str">
        <f t="shared" si="11"/>
        <v/>
      </c>
      <c r="Q70" s="9" t="str">
        <f t="shared" si="12"/>
        <v/>
      </c>
      <c r="R70" s="9" t="str">
        <f t="shared" si="13"/>
        <v/>
      </c>
    </row>
    <row r="71" spans="2:18" x14ac:dyDescent="0.4">
      <c r="B71" s="8"/>
      <c r="C71" s="8"/>
      <c r="D71" s="8"/>
      <c r="E71" s="8"/>
      <c r="F71" s="8"/>
      <c r="G71" s="19"/>
      <c r="H71" s="8"/>
      <c r="I71" s="10"/>
      <c r="J71" s="9"/>
      <c r="K71" s="9"/>
      <c r="L71" s="9"/>
      <c r="M71" s="9"/>
      <c r="N71" s="10"/>
      <c r="O71" s="10" t="str">
        <f t="shared" si="10"/>
        <v/>
      </c>
      <c r="P71" s="9" t="str">
        <f t="shared" si="11"/>
        <v/>
      </c>
      <c r="Q71" s="9" t="str">
        <f t="shared" si="12"/>
        <v/>
      </c>
      <c r="R71" s="9" t="str">
        <f t="shared" si="13"/>
        <v/>
      </c>
    </row>
    <row r="72" spans="2:18" x14ac:dyDescent="0.4">
      <c r="B72" s="8"/>
      <c r="C72" s="8"/>
      <c r="D72" s="8"/>
      <c r="E72" s="8"/>
      <c r="F72" s="8"/>
      <c r="G72" s="19"/>
      <c r="H72" s="8"/>
      <c r="I72" s="10"/>
      <c r="J72" s="9"/>
      <c r="K72" s="9"/>
      <c r="L72" s="9"/>
      <c r="M72" s="9"/>
      <c r="N72" s="10"/>
      <c r="O72" s="10" t="str">
        <f t="shared" si="10"/>
        <v/>
      </c>
      <c r="P72" s="9" t="str">
        <f t="shared" si="11"/>
        <v/>
      </c>
      <c r="Q72" s="9" t="str">
        <f t="shared" si="12"/>
        <v/>
      </c>
      <c r="R72" s="9" t="str">
        <f t="shared" si="13"/>
        <v/>
      </c>
    </row>
    <row r="73" spans="2:18" x14ac:dyDescent="0.4">
      <c r="B73" s="8"/>
      <c r="C73" s="8"/>
      <c r="D73" s="8"/>
      <c r="E73" s="8"/>
      <c r="F73" s="8"/>
      <c r="G73" s="19"/>
      <c r="H73" s="8"/>
      <c r="I73" s="10"/>
      <c r="J73" s="9"/>
      <c r="K73" s="9"/>
      <c r="L73" s="9"/>
      <c r="M73" s="9"/>
      <c r="N73" s="10"/>
      <c r="O73" s="10" t="str">
        <f t="shared" si="10"/>
        <v/>
      </c>
      <c r="P73" s="9" t="str">
        <f t="shared" si="11"/>
        <v/>
      </c>
      <c r="Q73" s="9" t="str">
        <f t="shared" si="12"/>
        <v/>
      </c>
      <c r="R73" s="9" t="str">
        <f t="shared" si="13"/>
        <v/>
      </c>
    </row>
    <row r="74" spans="2:18" x14ac:dyDescent="0.4">
      <c r="B74" s="8"/>
      <c r="C74" s="8"/>
      <c r="D74" s="8"/>
      <c r="E74" s="8"/>
      <c r="F74" s="8"/>
      <c r="G74" s="19"/>
      <c r="H74" s="8"/>
      <c r="I74" s="10"/>
      <c r="J74" s="9"/>
      <c r="K74" s="9"/>
      <c r="L74" s="9"/>
      <c r="M74" s="9"/>
      <c r="N74" s="10"/>
      <c r="O74" s="10" t="str">
        <f t="shared" si="10"/>
        <v/>
      </c>
      <c r="P74" s="9" t="str">
        <f t="shared" si="11"/>
        <v/>
      </c>
      <c r="Q74" s="9" t="str">
        <f t="shared" si="12"/>
        <v/>
      </c>
      <c r="R74" s="9" t="str">
        <f t="shared" si="13"/>
        <v/>
      </c>
    </row>
    <row r="75" spans="2:18" x14ac:dyDescent="0.4">
      <c r="B75" s="8"/>
      <c r="C75" s="8"/>
      <c r="D75" s="8"/>
      <c r="E75" s="8"/>
      <c r="F75" s="8"/>
      <c r="G75" s="19"/>
      <c r="H75" s="8"/>
      <c r="I75" s="10"/>
      <c r="J75" s="9"/>
      <c r="K75" s="9"/>
      <c r="L75" s="9"/>
      <c r="M75" s="9"/>
      <c r="N75" s="10"/>
      <c r="O75" s="10" t="str">
        <f t="shared" si="10"/>
        <v/>
      </c>
      <c r="P75" s="9" t="str">
        <f t="shared" si="11"/>
        <v/>
      </c>
      <c r="Q75" s="9" t="str">
        <f t="shared" si="12"/>
        <v/>
      </c>
      <c r="R75" s="9" t="str">
        <f t="shared" si="13"/>
        <v/>
      </c>
    </row>
    <row r="76" spans="2:18" x14ac:dyDescent="0.4">
      <c r="B76" s="8"/>
      <c r="C76" s="8"/>
      <c r="D76" s="8"/>
      <c r="E76" s="8"/>
      <c r="F76" s="8"/>
      <c r="G76" s="19"/>
      <c r="H76" s="8"/>
      <c r="I76" s="10"/>
      <c r="J76" s="9"/>
      <c r="K76" s="9"/>
      <c r="L76" s="9"/>
      <c r="M76" s="9"/>
      <c r="N76" s="10"/>
      <c r="O76" s="10" t="str">
        <f t="shared" si="10"/>
        <v/>
      </c>
      <c r="P76" s="9" t="str">
        <f t="shared" si="11"/>
        <v/>
      </c>
      <c r="Q76" s="9" t="str">
        <f t="shared" si="12"/>
        <v/>
      </c>
      <c r="R76" s="9" t="str">
        <f t="shared" si="13"/>
        <v/>
      </c>
    </row>
    <row r="77" spans="2:18" x14ac:dyDescent="0.4">
      <c r="B77" s="8"/>
      <c r="C77" s="8"/>
      <c r="D77" s="8"/>
      <c r="E77" s="8"/>
      <c r="F77" s="8"/>
      <c r="G77" s="19"/>
      <c r="H77" s="8"/>
      <c r="I77" s="10"/>
      <c r="J77" s="9"/>
      <c r="K77" s="9"/>
      <c r="L77" s="9"/>
      <c r="M77" s="9"/>
      <c r="N77" s="10"/>
      <c r="O77" s="10" t="str">
        <f t="shared" si="10"/>
        <v/>
      </c>
      <c r="P77" s="9" t="str">
        <f t="shared" si="11"/>
        <v/>
      </c>
      <c r="Q77" s="9" t="str">
        <f t="shared" si="12"/>
        <v/>
      </c>
      <c r="R77" s="9" t="str">
        <f t="shared" si="13"/>
        <v/>
      </c>
    </row>
    <row r="78" spans="2:18" x14ac:dyDescent="0.4">
      <c r="B78" s="8"/>
      <c r="C78" s="8"/>
      <c r="D78" s="8"/>
      <c r="E78" s="8"/>
      <c r="F78" s="8"/>
      <c r="G78" s="19"/>
      <c r="H78" s="8"/>
      <c r="I78" s="10"/>
      <c r="J78" s="9"/>
      <c r="K78" s="9"/>
      <c r="L78" s="9"/>
      <c r="M78" s="9"/>
      <c r="N78" s="10"/>
      <c r="O78" s="10" t="str">
        <f t="shared" si="10"/>
        <v/>
      </c>
      <c r="P78" s="9" t="str">
        <f t="shared" si="11"/>
        <v/>
      </c>
      <c r="Q78" s="9" t="str">
        <f t="shared" si="12"/>
        <v/>
      </c>
      <c r="R78" s="9" t="str">
        <f t="shared" si="13"/>
        <v/>
      </c>
    </row>
    <row r="79" spans="2:18" x14ac:dyDescent="0.4">
      <c r="B79" s="8"/>
      <c r="C79" s="8"/>
      <c r="D79" s="8"/>
      <c r="E79" s="8"/>
      <c r="F79" s="8"/>
      <c r="G79" s="19"/>
      <c r="H79" s="8"/>
      <c r="I79" s="10"/>
      <c r="J79" s="9"/>
      <c r="K79" s="9"/>
      <c r="L79" s="9"/>
      <c r="M79" s="9"/>
      <c r="N79" s="10"/>
      <c r="O79" s="10" t="str">
        <f t="shared" si="10"/>
        <v/>
      </c>
      <c r="P79" s="9" t="str">
        <f t="shared" si="11"/>
        <v/>
      </c>
      <c r="Q79" s="9" t="str">
        <f t="shared" si="12"/>
        <v/>
      </c>
      <c r="R79" s="9" t="str">
        <f t="shared" si="13"/>
        <v/>
      </c>
    </row>
    <row r="80" spans="2:18" x14ac:dyDescent="0.4">
      <c r="B80" s="8"/>
      <c r="C80" s="8"/>
      <c r="D80" s="8"/>
      <c r="E80" s="8"/>
      <c r="F80" s="8"/>
      <c r="G80" s="19"/>
      <c r="H80" s="8"/>
      <c r="I80" s="10"/>
      <c r="J80" s="9"/>
      <c r="K80" s="9"/>
      <c r="L80" s="9"/>
      <c r="M80" s="9"/>
      <c r="N80" s="10"/>
      <c r="O80" s="10" t="str">
        <f t="shared" si="10"/>
        <v/>
      </c>
      <c r="P80" s="9" t="str">
        <f t="shared" si="11"/>
        <v/>
      </c>
      <c r="Q80" s="9" t="str">
        <f t="shared" si="12"/>
        <v/>
      </c>
      <c r="R80" s="9" t="str">
        <f t="shared" si="13"/>
        <v/>
      </c>
    </row>
    <row r="81" spans="2:18" x14ac:dyDescent="0.4">
      <c r="B81" s="8"/>
      <c r="C81" s="8"/>
      <c r="D81" s="8"/>
      <c r="E81" s="8"/>
      <c r="F81" s="8"/>
      <c r="G81" s="19"/>
      <c r="H81" s="8"/>
      <c r="I81" s="10"/>
      <c r="J81" s="9"/>
      <c r="K81" s="9"/>
      <c r="L81" s="9"/>
      <c r="M81" s="9"/>
      <c r="N81" s="10"/>
      <c r="O81" s="10" t="str">
        <f t="shared" si="10"/>
        <v/>
      </c>
      <c r="P81" s="9" t="str">
        <f t="shared" si="11"/>
        <v/>
      </c>
      <c r="Q81" s="9" t="str">
        <f t="shared" si="12"/>
        <v/>
      </c>
      <c r="R81" s="9" t="str">
        <f t="shared" si="13"/>
        <v/>
      </c>
    </row>
  </sheetData>
  <mergeCells count="1">
    <mergeCell ref="C41:C43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FF46-DA62-4D86-8838-44CE0AFA83DA}">
  <dimension ref="B2:R78"/>
  <sheetViews>
    <sheetView topLeftCell="B7" zoomScale="85" zoomScaleNormal="85" workbookViewId="0">
      <selection activeCell="D52" sqref="D52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20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6" si="0">K6*I6</f>
        <v>15840.000000000002</v>
      </c>
      <c r="N6" s="10"/>
      <c r="O6" s="10" t="str">
        <f t="shared" ref="O6:O60" si="1">IF(N6="","",I6-N6)</f>
        <v/>
      </c>
      <c r="P6" s="9" t="str">
        <f t="shared" ref="P6:P60" si="2">IFERROR(O6*J6,"")</f>
        <v/>
      </c>
      <c r="Q6" s="9" t="str">
        <f t="shared" ref="Q6:Q60" si="3">IFERROR(P6*O6,"")</f>
        <v/>
      </c>
      <c r="R6" s="9" t="str">
        <f t="shared" ref="R6:R60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302</v>
      </c>
      <c r="F9" s="17" t="s">
        <v>140</v>
      </c>
      <c r="G9" s="19"/>
      <c r="H9" s="13">
        <v>0.1</v>
      </c>
      <c r="I9" s="10">
        <v>60</v>
      </c>
      <c r="J9" s="9">
        <v>450</v>
      </c>
      <c r="K9" s="9">
        <f>J9*110%</f>
        <v>495.00000000000006</v>
      </c>
      <c r="L9" s="9"/>
      <c r="M9" s="9">
        <f t="shared" si="0"/>
        <v>29700.000000000004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302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302</v>
      </c>
      <c r="F11" s="17" t="s">
        <v>142</v>
      </c>
      <c r="G11" s="19"/>
      <c r="H11" s="13">
        <v>0.1</v>
      </c>
      <c r="I11" s="10">
        <v>60</v>
      </c>
      <c r="J11" s="9">
        <v>450</v>
      </c>
      <c r="K11" s="9">
        <f t="shared" si="5"/>
        <v>495.00000000000006</v>
      </c>
      <c r="L11" s="9"/>
      <c r="M11" s="9">
        <f t="shared" si="0"/>
        <v>29700.000000000004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302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302</v>
      </c>
      <c r="F13" s="17" t="s">
        <v>144</v>
      </c>
      <c r="G13" s="19"/>
      <c r="H13" s="13">
        <v>0.1</v>
      </c>
      <c r="I13" s="10">
        <v>14</v>
      </c>
      <c r="J13" s="9">
        <v>75</v>
      </c>
      <c r="K13" s="9">
        <f t="shared" si="5"/>
        <v>82.5</v>
      </c>
      <c r="L13" s="9"/>
      <c r="M13" s="9">
        <f t="shared" si="0"/>
        <v>1155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302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302</v>
      </c>
      <c r="F15" s="17" t="s">
        <v>146</v>
      </c>
      <c r="G15" s="19"/>
      <c r="H15" s="13">
        <v>0.1</v>
      </c>
      <c r="I15" s="10">
        <v>14</v>
      </c>
      <c r="J15" s="9">
        <v>75</v>
      </c>
      <c r="K15" s="9">
        <f t="shared" si="5"/>
        <v>82.5</v>
      </c>
      <c r="L15" s="9"/>
      <c r="M15" s="9">
        <f t="shared" si="0"/>
        <v>1155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302</v>
      </c>
      <c r="F16" s="17" t="s">
        <v>147</v>
      </c>
      <c r="G16" s="19"/>
      <c r="H16" s="13">
        <v>0.1</v>
      </c>
      <c r="I16" s="10">
        <v>14</v>
      </c>
      <c r="J16" s="9">
        <v>75</v>
      </c>
      <c r="K16" s="9">
        <f t="shared" si="5"/>
        <v>82.5</v>
      </c>
      <c r="L16" s="9"/>
      <c r="M16" s="9">
        <f t="shared" si="0"/>
        <v>1155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302</v>
      </c>
      <c r="F17" s="17" t="s">
        <v>148</v>
      </c>
      <c r="G17" s="19"/>
      <c r="H17" s="13">
        <v>0.1</v>
      </c>
      <c r="I17" s="10">
        <v>14</v>
      </c>
      <c r="J17" s="9">
        <v>85</v>
      </c>
      <c r="K17" s="9">
        <f t="shared" si="5"/>
        <v>93.500000000000014</v>
      </c>
      <c r="L17" s="9"/>
      <c r="M17" s="9">
        <f t="shared" si="0"/>
        <v>1309.0000000000002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302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302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302</v>
      </c>
      <c r="F20" s="17" t="s">
        <v>151</v>
      </c>
      <c r="G20" s="19"/>
      <c r="H20" s="13">
        <v>0.1</v>
      </c>
      <c r="I20" s="10">
        <v>14</v>
      </c>
      <c r="J20" s="9">
        <v>120</v>
      </c>
      <c r="K20" s="9">
        <f t="shared" si="5"/>
        <v>132</v>
      </c>
      <c r="L20" s="9"/>
      <c r="M20" s="9">
        <f t="shared" si="0"/>
        <v>1848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302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302</v>
      </c>
      <c r="F22" s="17" t="s">
        <v>153</v>
      </c>
      <c r="G22" s="19"/>
      <c r="H22" s="13">
        <v>0.1</v>
      </c>
      <c r="I22" s="10">
        <v>14</v>
      </c>
      <c r="J22" s="9">
        <v>120</v>
      </c>
      <c r="K22" s="9">
        <f t="shared" si="5"/>
        <v>132</v>
      </c>
      <c r="L22" s="9"/>
      <c r="M22" s="9">
        <f t="shared" si="0"/>
        <v>1848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302</v>
      </c>
      <c r="F23" s="17" t="s">
        <v>154</v>
      </c>
      <c r="G23" s="19"/>
      <c r="H23" s="13">
        <v>0.1</v>
      </c>
      <c r="I23" s="10">
        <v>60</v>
      </c>
      <c r="J23" s="9">
        <v>450</v>
      </c>
      <c r="K23" s="9">
        <f t="shared" si="5"/>
        <v>495.00000000000006</v>
      </c>
      <c r="L23" s="9"/>
      <c r="M23" s="9">
        <f t="shared" si="0"/>
        <v>29700.000000000004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302</v>
      </c>
      <c r="F24" s="17" t="s">
        <v>155</v>
      </c>
      <c r="G24" s="19"/>
      <c r="H24" s="13">
        <v>0.1</v>
      </c>
      <c r="I24" s="10">
        <v>60</v>
      </c>
      <c r="J24" s="9">
        <v>450</v>
      </c>
      <c r="K24" s="9">
        <f t="shared" si="5"/>
        <v>495.00000000000006</v>
      </c>
      <c r="L24" s="9"/>
      <c r="M24" s="9">
        <f t="shared" si="0"/>
        <v>29700.000000000004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302</v>
      </c>
      <c r="F25" s="17" t="s">
        <v>156</v>
      </c>
      <c r="G25" s="19"/>
      <c r="H25" s="13">
        <v>0.1</v>
      </c>
      <c r="I25" s="10">
        <v>60</v>
      </c>
      <c r="J25" s="9">
        <v>450</v>
      </c>
      <c r="K25" s="9">
        <f t="shared" si="5"/>
        <v>495.00000000000006</v>
      </c>
      <c r="L25" s="9"/>
      <c r="M25" s="9">
        <f t="shared" si="0"/>
        <v>29700.000000000004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302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x14ac:dyDescent="0.4">
      <c r="B27" s="8"/>
      <c r="C27" s="8"/>
      <c r="D27" s="8"/>
      <c r="E27" s="8" t="s">
        <v>163</v>
      </c>
      <c r="F27" s="8" t="s">
        <v>160</v>
      </c>
      <c r="G27" s="19"/>
      <c r="H27" s="13">
        <v>0.1</v>
      </c>
      <c r="I27" s="10">
        <v>90</v>
      </c>
      <c r="J27" s="9"/>
      <c r="K27" s="9"/>
      <c r="L27" s="9"/>
      <c r="M27" s="9"/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ht="18.75" x14ac:dyDescent="0.4">
      <c r="B28" s="8"/>
      <c r="C28" s="26" t="s">
        <v>300</v>
      </c>
      <c r="D28" s="8"/>
      <c r="E28" s="8" t="s">
        <v>308</v>
      </c>
      <c r="F28" s="27" t="s">
        <v>309</v>
      </c>
      <c r="G28" s="30">
        <v>4977629310376</v>
      </c>
      <c r="H28" s="41">
        <v>0.08</v>
      </c>
      <c r="I28" s="10">
        <v>96</v>
      </c>
      <c r="J28" s="31">
        <v>40</v>
      </c>
      <c r="K28" s="9">
        <f>J28*108%</f>
        <v>43.2</v>
      </c>
      <c r="L28" s="9"/>
      <c r="M28" s="9">
        <f>K28*I28</f>
        <v>4147.2000000000007</v>
      </c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303</v>
      </c>
      <c r="D29" s="8"/>
      <c r="E29" s="8" t="s">
        <v>308</v>
      </c>
      <c r="F29" s="28" t="s">
        <v>310</v>
      </c>
      <c r="G29" s="30">
        <v>2000000062716</v>
      </c>
      <c r="H29" s="41">
        <v>0.1</v>
      </c>
      <c r="I29" s="10">
        <v>100</v>
      </c>
      <c r="J29" s="31">
        <v>48</v>
      </c>
      <c r="K29" s="9">
        <f>J29*110%</f>
        <v>52.800000000000004</v>
      </c>
      <c r="L29" s="9"/>
      <c r="M29" s="9">
        <f t="shared" ref="M29:M58" si="6">K29*I29</f>
        <v>5280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304</v>
      </c>
      <c r="D30" s="8"/>
      <c r="E30" s="8" t="s">
        <v>308</v>
      </c>
      <c r="F30" s="28" t="s">
        <v>311</v>
      </c>
      <c r="G30" s="30">
        <v>2000000064529</v>
      </c>
      <c r="H30" s="41">
        <v>0.1</v>
      </c>
      <c r="I30" s="10">
        <v>60</v>
      </c>
      <c r="J30" s="31">
        <v>80</v>
      </c>
      <c r="K30" s="9">
        <f t="shared" ref="K30:K45" si="7">J30*110%</f>
        <v>88</v>
      </c>
      <c r="L30" s="9"/>
      <c r="M30" s="9">
        <f t="shared" si="6"/>
        <v>5280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312</v>
      </c>
      <c r="G31" s="30">
        <v>4973512263651</v>
      </c>
      <c r="H31" s="41">
        <v>0.1</v>
      </c>
      <c r="I31" s="10">
        <v>100</v>
      </c>
      <c r="J31" s="31">
        <v>80</v>
      </c>
      <c r="K31" s="9">
        <f t="shared" si="7"/>
        <v>88</v>
      </c>
      <c r="L31" s="9"/>
      <c r="M31" s="9">
        <f t="shared" si="6"/>
        <v>8800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304</v>
      </c>
      <c r="D32" s="8"/>
      <c r="E32" s="8" t="s">
        <v>308</v>
      </c>
      <c r="F32" s="28" t="s">
        <v>313</v>
      </c>
      <c r="G32" s="30">
        <v>4518516000088</v>
      </c>
      <c r="H32" s="41">
        <v>0.1</v>
      </c>
      <c r="I32" s="10">
        <v>48</v>
      </c>
      <c r="J32" s="31">
        <v>130</v>
      </c>
      <c r="K32" s="9">
        <f t="shared" si="7"/>
        <v>143</v>
      </c>
      <c r="L32" s="9"/>
      <c r="M32" s="9">
        <f t="shared" si="6"/>
        <v>6864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303</v>
      </c>
      <c r="D33" s="8"/>
      <c r="E33" s="8" t="s">
        <v>308</v>
      </c>
      <c r="F33" s="28" t="s">
        <v>314</v>
      </c>
      <c r="G33" s="30">
        <v>4580419310328</v>
      </c>
      <c r="H33" s="41">
        <v>0.1</v>
      </c>
      <c r="I33" s="10">
        <v>50</v>
      </c>
      <c r="J33" s="31">
        <v>280</v>
      </c>
      <c r="K33" s="9">
        <f t="shared" si="7"/>
        <v>308</v>
      </c>
      <c r="L33" s="9"/>
      <c r="M33" s="9">
        <f t="shared" si="6"/>
        <v>15400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304</v>
      </c>
      <c r="D34" s="8"/>
      <c r="E34" s="8" t="s">
        <v>308</v>
      </c>
      <c r="F34" s="28" t="s">
        <v>315</v>
      </c>
      <c r="G34" s="30">
        <v>4904705163304</v>
      </c>
      <c r="H34" s="41">
        <v>0.1</v>
      </c>
      <c r="I34" s="10">
        <v>240</v>
      </c>
      <c r="J34" s="31">
        <v>19</v>
      </c>
      <c r="K34" s="9">
        <f t="shared" si="7"/>
        <v>20.900000000000002</v>
      </c>
      <c r="L34" s="9"/>
      <c r="M34" s="9">
        <f t="shared" si="6"/>
        <v>5016.0000000000009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316</v>
      </c>
      <c r="G35" s="30">
        <v>4966840253630</v>
      </c>
      <c r="H35" s="41">
        <v>0.1</v>
      </c>
      <c r="I35" s="10">
        <v>240</v>
      </c>
      <c r="J35" s="31">
        <v>22</v>
      </c>
      <c r="K35" s="9">
        <f t="shared" si="7"/>
        <v>24.200000000000003</v>
      </c>
      <c r="L35" s="9"/>
      <c r="M35" s="9">
        <f t="shared" si="6"/>
        <v>5808.0000000000009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304</v>
      </c>
      <c r="D36" s="8"/>
      <c r="E36" s="8" t="s">
        <v>308</v>
      </c>
      <c r="F36" s="28" t="s">
        <v>317</v>
      </c>
      <c r="G36" s="30">
        <v>8010630333869</v>
      </c>
      <c r="H36" s="41">
        <v>0.1</v>
      </c>
      <c r="I36" s="10">
        <v>400</v>
      </c>
      <c r="J36" s="31">
        <v>30</v>
      </c>
      <c r="K36" s="9">
        <f t="shared" si="7"/>
        <v>33</v>
      </c>
      <c r="L36" s="9"/>
      <c r="M36" s="9">
        <f t="shared" si="6"/>
        <v>13200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303</v>
      </c>
      <c r="D37" s="8"/>
      <c r="E37" s="8" t="s">
        <v>308</v>
      </c>
      <c r="F37" s="28" t="s">
        <v>318</v>
      </c>
      <c r="G37" s="30">
        <v>4528364820028</v>
      </c>
      <c r="H37" s="41">
        <v>0.1</v>
      </c>
      <c r="I37" s="10">
        <v>100</v>
      </c>
      <c r="J37" s="31">
        <v>35</v>
      </c>
      <c r="K37" s="9">
        <f t="shared" si="7"/>
        <v>38.5</v>
      </c>
      <c r="L37" s="9"/>
      <c r="M37" s="9">
        <f t="shared" si="6"/>
        <v>3850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304</v>
      </c>
      <c r="D38" s="8"/>
      <c r="E38" s="8" t="s">
        <v>308</v>
      </c>
      <c r="F38" s="28" t="s">
        <v>319</v>
      </c>
      <c r="G38" s="30">
        <v>4966840251551</v>
      </c>
      <c r="H38" s="41">
        <v>0.1</v>
      </c>
      <c r="I38" s="10">
        <v>144</v>
      </c>
      <c r="J38" s="31">
        <v>40</v>
      </c>
      <c r="K38" s="9">
        <f t="shared" si="7"/>
        <v>44</v>
      </c>
      <c r="L38" s="9"/>
      <c r="M38" s="9">
        <f t="shared" si="6"/>
        <v>6336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305</v>
      </c>
      <c r="D39" s="8"/>
      <c r="E39" s="8" t="s">
        <v>308</v>
      </c>
      <c r="F39" s="28" t="s">
        <v>320</v>
      </c>
      <c r="G39" s="30">
        <v>4970687211159</v>
      </c>
      <c r="H39" s="41">
        <v>0.1</v>
      </c>
      <c r="I39" s="10">
        <v>120</v>
      </c>
      <c r="J39" s="31">
        <v>80</v>
      </c>
      <c r="K39" s="9">
        <f t="shared" si="7"/>
        <v>88</v>
      </c>
      <c r="L39" s="9"/>
      <c r="M39" s="9">
        <f t="shared" si="6"/>
        <v>10560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26" t="s">
        <v>305</v>
      </c>
      <c r="D40" s="8"/>
      <c r="E40" s="8" t="s">
        <v>308</v>
      </c>
      <c r="F40" s="28" t="s">
        <v>321</v>
      </c>
      <c r="G40" s="30">
        <v>4970687211241</v>
      </c>
      <c r="H40" s="41">
        <v>0.1</v>
      </c>
      <c r="I40" s="10">
        <v>120</v>
      </c>
      <c r="J40" s="31">
        <v>80</v>
      </c>
      <c r="K40" s="9">
        <f t="shared" si="7"/>
        <v>88</v>
      </c>
      <c r="L40" s="9"/>
      <c r="M40" s="9">
        <f t="shared" si="6"/>
        <v>10560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121" t="s">
        <v>304</v>
      </c>
      <c r="D41" s="8"/>
      <c r="E41" s="8" t="s">
        <v>308</v>
      </c>
      <c r="F41" s="28" t="s">
        <v>323</v>
      </c>
      <c r="G41" s="30">
        <v>4510482194181</v>
      </c>
      <c r="H41" s="41">
        <v>0.1</v>
      </c>
      <c r="I41" s="10">
        <v>24</v>
      </c>
      <c r="J41" s="31">
        <v>100</v>
      </c>
      <c r="K41" s="9">
        <f t="shared" si="7"/>
        <v>110.00000000000001</v>
      </c>
      <c r="L41" s="9"/>
      <c r="M41" s="9">
        <f t="shared" si="6"/>
        <v>2640.0000000000005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124"/>
      <c r="D42" s="8"/>
      <c r="E42" s="8" t="s">
        <v>308</v>
      </c>
      <c r="F42" s="28" t="s">
        <v>324</v>
      </c>
      <c r="G42" s="30">
        <v>4510482194198</v>
      </c>
      <c r="H42" s="41">
        <v>0.1</v>
      </c>
      <c r="I42" s="10">
        <v>24</v>
      </c>
      <c r="J42" s="31">
        <v>100</v>
      </c>
      <c r="K42" s="9">
        <f t="shared" si="7"/>
        <v>110.00000000000001</v>
      </c>
      <c r="L42" s="9"/>
      <c r="M42" s="9">
        <f t="shared" si="6"/>
        <v>2640.0000000000005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122"/>
      <c r="D43" s="8"/>
      <c r="E43" s="8" t="s">
        <v>308</v>
      </c>
      <c r="F43" s="28" t="s">
        <v>325</v>
      </c>
      <c r="G43" s="30">
        <v>4510482194204</v>
      </c>
      <c r="H43" s="41">
        <v>0.1</v>
      </c>
      <c r="I43" s="10">
        <v>24</v>
      </c>
      <c r="J43" s="31">
        <v>100</v>
      </c>
      <c r="K43" s="9">
        <f t="shared" si="7"/>
        <v>110.00000000000001</v>
      </c>
      <c r="L43" s="9"/>
      <c r="M43" s="9">
        <f t="shared" si="6"/>
        <v>2640.0000000000005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26" t="s">
        <v>304</v>
      </c>
      <c r="D44" s="8"/>
      <c r="E44" s="8" t="s">
        <v>308</v>
      </c>
      <c r="F44" s="28" t="s">
        <v>326</v>
      </c>
      <c r="G44" s="30">
        <v>4972603100585</v>
      </c>
      <c r="H44" s="41">
        <v>0.1</v>
      </c>
      <c r="I44" s="10">
        <v>30</v>
      </c>
      <c r="J44" s="31">
        <v>100</v>
      </c>
      <c r="K44" s="9">
        <f t="shared" si="7"/>
        <v>110.00000000000001</v>
      </c>
      <c r="L44" s="9"/>
      <c r="M44" s="9">
        <f t="shared" si="6"/>
        <v>3300.0000000000005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26" t="s">
        <v>304</v>
      </c>
      <c r="D45" s="8"/>
      <c r="E45" s="8" t="s">
        <v>308</v>
      </c>
      <c r="F45" s="28" t="s">
        <v>327</v>
      </c>
      <c r="G45" s="30">
        <v>4589596691961</v>
      </c>
      <c r="H45" s="41">
        <v>0.1</v>
      </c>
      <c r="I45" s="10">
        <v>36</v>
      </c>
      <c r="J45" s="31">
        <v>140</v>
      </c>
      <c r="K45" s="9">
        <f t="shared" si="7"/>
        <v>154</v>
      </c>
      <c r="L45" s="9"/>
      <c r="M45" s="9">
        <f t="shared" si="6"/>
        <v>5544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37.5" x14ac:dyDescent="0.4">
      <c r="B46" s="8"/>
      <c r="C46" s="26" t="s">
        <v>300</v>
      </c>
      <c r="D46" s="8"/>
      <c r="E46" s="8" t="s">
        <v>308</v>
      </c>
      <c r="F46" s="29" t="s">
        <v>329</v>
      </c>
      <c r="G46" s="30">
        <v>4960867008396</v>
      </c>
      <c r="H46" s="41">
        <v>0.08</v>
      </c>
      <c r="I46" s="10">
        <v>30</v>
      </c>
      <c r="J46" s="31">
        <v>240</v>
      </c>
      <c r="K46" s="9">
        <f t="shared" ref="K46" si="8">J46*108%</f>
        <v>259.20000000000005</v>
      </c>
      <c r="L46" s="9"/>
      <c r="M46" s="9">
        <f t="shared" si="6"/>
        <v>7776.0000000000018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18.75" x14ac:dyDescent="0.4">
      <c r="B47" s="8"/>
      <c r="C47" s="26" t="s">
        <v>304</v>
      </c>
      <c r="D47" s="8"/>
      <c r="E47" s="8" t="s">
        <v>308</v>
      </c>
      <c r="F47" s="28" t="s">
        <v>333</v>
      </c>
      <c r="G47" s="30">
        <v>4939560521617</v>
      </c>
      <c r="H47" s="41">
        <v>0.1</v>
      </c>
      <c r="I47" s="10">
        <v>12</v>
      </c>
      <c r="J47" s="31">
        <v>540</v>
      </c>
      <c r="K47" s="9">
        <f t="shared" ref="K47:K58" si="9">J47*110%</f>
        <v>594</v>
      </c>
      <c r="L47" s="9"/>
      <c r="M47" s="9">
        <f t="shared" si="6"/>
        <v>7128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18.75" x14ac:dyDescent="0.4">
      <c r="B48" s="8"/>
      <c r="C48" s="26" t="s">
        <v>304</v>
      </c>
      <c r="D48" s="8"/>
      <c r="E48" s="8" t="s">
        <v>308</v>
      </c>
      <c r="F48" s="28" t="s">
        <v>334</v>
      </c>
      <c r="G48" s="30">
        <v>2000000068152</v>
      </c>
      <c r="H48" s="41">
        <v>0.1</v>
      </c>
      <c r="I48" s="10">
        <v>200</v>
      </c>
      <c r="J48" s="31">
        <v>30</v>
      </c>
      <c r="K48" s="9">
        <f t="shared" si="9"/>
        <v>33</v>
      </c>
      <c r="L48" s="9"/>
      <c r="M48" s="9">
        <f t="shared" si="6"/>
        <v>6600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303</v>
      </c>
      <c r="D49" s="8"/>
      <c r="E49" s="8" t="s">
        <v>308</v>
      </c>
      <c r="F49" s="28" t="s">
        <v>336</v>
      </c>
      <c r="G49" s="30">
        <v>4580419310397</v>
      </c>
      <c r="H49" s="41">
        <v>0.1</v>
      </c>
      <c r="I49" s="10">
        <v>24</v>
      </c>
      <c r="J49" s="31">
        <v>330</v>
      </c>
      <c r="K49" s="9">
        <f t="shared" si="9"/>
        <v>363.00000000000006</v>
      </c>
      <c r="L49" s="9"/>
      <c r="M49" s="9">
        <f t="shared" si="6"/>
        <v>8712.0000000000018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96</v>
      </c>
      <c r="D50" s="8"/>
      <c r="E50" s="8" t="s">
        <v>308</v>
      </c>
      <c r="F50" s="28" t="s">
        <v>337</v>
      </c>
      <c r="G50" s="30">
        <v>4904705164646</v>
      </c>
      <c r="H50" s="41">
        <v>0.1</v>
      </c>
      <c r="I50" s="10">
        <v>240</v>
      </c>
      <c r="J50" s="31">
        <v>12</v>
      </c>
      <c r="K50" s="9">
        <f t="shared" si="9"/>
        <v>13.200000000000001</v>
      </c>
      <c r="L50" s="9"/>
      <c r="M50" s="9">
        <f t="shared" si="6"/>
        <v>3168.0000000000005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304</v>
      </c>
      <c r="D51" s="8"/>
      <c r="E51" s="8" t="s">
        <v>308</v>
      </c>
      <c r="F51" s="28" t="s">
        <v>338</v>
      </c>
      <c r="G51" s="30">
        <v>4510482229425</v>
      </c>
      <c r="H51" s="41">
        <v>0.1</v>
      </c>
      <c r="I51" s="10">
        <v>24</v>
      </c>
      <c r="J51" s="31">
        <v>80</v>
      </c>
      <c r="K51" s="9">
        <f t="shared" si="9"/>
        <v>88</v>
      </c>
      <c r="L51" s="9"/>
      <c r="M51" s="9">
        <f t="shared" si="6"/>
        <v>2112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26" t="s">
        <v>307</v>
      </c>
      <c r="D52" s="8"/>
      <c r="E52" s="8" t="s">
        <v>308</v>
      </c>
      <c r="F52" s="28" t="s">
        <v>339</v>
      </c>
      <c r="G52" s="30">
        <v>4573135361057</v>
      </c>
      <c r="H52" s="41">
        <v>0.1</v>
      </c>
      <c r="I52" s="10">
        <v>48</v>
      </c>
      <c r="J52" s="31">
        <v>80</v>
      </c>
      <c r="K52" s="9">
        <f t="shared" si="9"/>
        <v>88</v>
      </c>
      <c r="L52" s="9"/>
      <c r="M52" s="9">
        <f t="shared" si="6"/>
        <v>4224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26" t="s">
        <v>304</v>
      </c>
      <c r="D53" s="8"/>
      <c r="E53" s="8" t="s">
        <v>308</v>
      </c>
      <c r="F53" s="28" t="s">
        <v>342</v>
      </c>
      <c r="G53" s="30">
        <v>4580487007922</v>
      </c>
      <c r="H53" s="41">
        <v>0.1</v>
      </c>
      <c r="I53" s="10">
        <v>6</v>
      </c>
      <c r="J53" s="31">
        <v>850</v>
      </c>
      <c r="K53" s="9">
        <f t="shared" si="9"/>
        <v>935.00000000000011</v>
      </c>
      <c r="L53" s="9"/>
      <c r="M53" s="9">
        <f t="shared" si="6"/>
        <v>5610.0000000000009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26" t="s">
        <v>304</v>
      </c>
      <c r="D54" s="8"/>
      <c r="E54" s="8" t="s">
        <v>308</v>
      </c>
      <c r="F54" s="28" t="s">
        <v>343</v>
      </c>
      <c r="G54" s="30"/>
      <c r="H54" s="41">
        <v>0.1</v>
      </c>
      <c r="I54" s="10">
        <v>384</v>
      </c>
      <c r="J54" s="31">
        <v>9</v>
      </c>
      <c r="K54" s="9">
        <f t="shared" si="9"/>
        <v>9.9</v>
      </c>
      <c r="L54" s="9"/>
      <c r="M54" s="9">
        <f t="shared" si="6"/>
        <v>3801.6000000000004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18.75" x14ac:dyDescent="0.4">
      <c r="B55" s="8"/>
      <c r="C55" s="26" t="s">
        <v>307</v>
      </c>
      <c r="D55" s="8"/>
      <c r="E55" s="8" t="s">
        <v>308</v>
      </c>
      <c r="F55" s="28" t="s">
        <v>344</v>
      </c>
      <c r="G55" s="30"/>
      <c r="H55" s="41">
        <v>0.1</v>
      </c>
      <c r="I55" s="10">
        <v>108</v>
      </c>
      <c r="J55" s="31">
        <v>140</v>
      </c>
      <c r="K55" s="9">
        <f t="shared" si="9"/>
        <v>154</v>
      </c>
      <c r="L55" s="9"/>
      <c r="M55" s="9">
        <f t="shared" si="6"/>
        <v>16632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ht="37.5" x14ac:dyDescent="0.4">
      <c r="B56" s="8"/>
      <c r="C56" s="26" t="s">
        <v>303</v>
      </c>
      <c r="D56" s="8"/>
      <c r="E56" s="8" t="s">
        <v>308</v>
      </c>
      <c r="F56" s="29" t="s">
        <v>348</v>
      </c>
      <c r="G56" s="30"/>
      <c r="H56" s="41">
        <v>0.1</v>
      </c>
      <c r="I56" s="10">
        <v>150</v>
      </c>
      <c r="J56" s="31">
        <v>145</v>
      </c>
      <c r="K56" s="9">
        <f t="shared" si="9"/>
        <v>159.5</v>
      </c>
      <c r="L56" s="9"/>
      <c r="M56" s="9">
        <f t="shared" si="6"/>
        <v>23925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ht="18.75" x14ac:dyDescent="0.4">
      <c r="B57" s="8"/>
      <c r="C57" s="26" t="s">
        <v>303</v>
      </c>
      <c r="D57" s="8"/>
      <c r="E57" s="8" t="s">
        <v>308</v>
      </c>
      <c r="F57" s="28" t="s">
        <v>345</v>
      </c>
      <c r="G57" s="30"/>
      <c r="H57" s="41">
        <v>0.1</v>
      </c>
      <c r="I57" s="10">
        <v>60</v>
      </c>
      <c r="J57" s="31">
        <v>145</v>
      </c>
      <c r="K57" s="9">
        <f t="shared" si="9"/>
        <v>159.5</v>
      </c>
      <c r="L57" s="9"/>
      <c r="M57" s="9">
        <f t="shared" si="6"/>
        <v>9570</v>
      </c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ht="18.75" x14ac:dyDescent="0.4">
      <c r="B58" s="8"/>
      <c r="C58" s="26" t="s">
        <v>96</v>
      </c>
      <c r="D58" s="8"/>
      <c r="E58" s="8" t="s">
        <v>308</v>
      </c>
      <c r="F58" s="28" t="s">
        <v>346</v>
      </c>
      <c r="G58" s="30">
        <v>4560437940714</v>
      </c>
      <c r="H58" s="41">
        <v>0.1</v>
      </c>
      <c r="I58" s="10">
        <v>48</v>
      </c>
      <c r="J58" s="31">
        <v>150</v>
      </c>
      <c r="K58" s="9">
        <f t="shared" si="9"/>
        <v>165</v>
      </c>
      <c r="L58" s="9"/>
      <c r="M58" s="9">
        <f t="shared" si="6"/>
        <v>7920</v>
      </c>
      <c r="N58" s="10"/>
      <c r="O58" s="10" t="str">
        <f t="shared" si="1"/>
        <v/>
      </c>
      <c r="P58" s="9" t="str">
        <f t="shared" si="2"/>
        <v/>
      </c>
      <c r="Q58" s="9" t="str">
        <f t="shared" si="3"/>
        <v/>
      </c>
      <c r="R58" s="9" t="str">
        <f t="shared" si="4"/>
        <v/>
      </c>
    </row>
    <row r="59" spans="2:18" x14ac:dyDescent="0.4">
      <c r="B59" s="8"/>
      <c r="C59" s="8"/>
      <c r="D59" s="8"/>
      <c r="E59" s="8"/>
      <c r="F59" s="8"/>
      <c r="G59" s="19"/>
      <c r="H59" s="8"/>
      <c r="I59" s="10"/>
      <c r="J59" s="9"/>
      <c r="K59" s="9"/>
      <c r="L59" s="9"/>
      <c r="M59" s="9"/>
      <c r="N59" s="10"/>
      <c r="O59" s="10" t="str">
        <f t="shared" si="1"/>
        <v/>
      </c>
      <c r="P59" s="9" t="str">
        <f t="shared" si="2"/>
        <v/>
      </c>
      <c r="Q59" s="9" t="str">
        <f t="shared" si="3"/>
        <v/>
      </c>
      <c r="R59" s="9" t="str">
        <f t="shared" si="4"/>
        <v/>
      </c>
    </row>
    <row r="60" spans="2:18" x14ac:dyDescent="0.4">
      <c r="B60" s="8"/>
      <c r="C60" s="8"/>
      <c r="D60" s="8"/>
      <c r="E60" s="8"/>
      <c r="F60" s="8"/>
      <c r="G60" s="19"/>
      <c r="H60" s="8"/>
      <c r="I60" s="10"/>
      <c r="J60" s="9"/>
      <c r="K60" s="9"/>
      <c r="L60" s="9"/>
      <c r="M60" s="9"/>
      <c r="N60" s="10"/>
      <c r="O60" s="10" t="str">
        <f t="shared" si="1"/>
        <v/>
      </c>
      <c r="P60" s="9" t="str">
        <f t="shared" si="2"/>
        <v/>
      </c>
      <c r="Q60" s="9" t="str">
        <f t="shared" si="3"/>
        <v/>
      </c>
      <c r="R60" s="9" t="str">
        <f t="shared" si="4"/>
        <v/>
      </c>
    </row>
    <row r="61" spans="2:18" x14ac:dyDescent="0.4">
      <c r="B61" s="8"/>
      <c r="C61" s="8"/>
      <c r="D61" s="8"/>
      <c r="E61" s="8"/>
      <c r="F61" s="8"/>
      <c r="G61" s="19"/>
      <c r="H61" s="8"/>
      <c r="I61" s="10"/>
      <c r="J61" s="9"/>
      <c r="K61" s="9"/>
      <c r="L61" s="9"/>
      <c r="M61" s="9"/>
      <c r="N61" s="10"/>
      <c r="O61" s="10" t="str">
        <f t="shared" ref="O61:O78" si="10">IF(N61="","",I61-N61)</f>
        <v/>
      </c>
      <c r="P61" s="9" t="str">
        <f t="shared" ref="P61:P78" si="11">IFERROR(O61*J61,"")</f>
        <v/>
      </c>
      <c r="Q61" s="9" t="str">
        <f t="shared" ref="Q61:Q78" si="12">IFERROR(P61*O61,"")</f>
        <v/>
      </c>
      <c r="R61" s="9" t="str">
        <f t="shared" ref="R61:R78" si="13">IFERROR(Q61-P61,"")</f>
        <v/>
      </c>
    </row>
    <row r="62" spans="2:18" x14ac:dyDescent="0.4">
      <c r="B62" s="8"/>
      <c r="C62" s="8"/>
      <c r="D62" s="8"/>
      <c r="E62" s="8"/>
      <c r="F62" s="8"/>
      <c r="G62" s="19"/>
      <c r="H62" s="8"/>
      <c r="I62" s="10"/>
      <c r="J62" s="9"/>
      <c r="K62" s="9"/>
      <c r="L62" s="9"/>
      <c r="M62" s="9"/>
      <c r="N62" s="10"/>
      <c r="O62" s="10" t="str">
        <f t="shared" si="10"/>
        <v/>
      </c>
      <c r="P62" s="9" t="str">
        <f t="shared" si="11"/>
        <v/>
      </c>
      <c r="Q62" s="9" t="str">
        <f t="shared" si="12"/>
        <v/>
      </c>
      <c r="R62" s="9" t="str">
        <f t="shared" si="13"/>
        <v/>
      </c>
    </row>
    <row r="63" spans="2:18" x14ac:dyDescent="0.4">
      <c r="B63" s="8"/>
      <c r="C63" s="8"/>
      <c r="D63" s="8"/>
      <c r="E63" s="8"/>
      <c r="F63" s="8"/>
      <c r="G63" s="19"/>
      <c r="H63" s="8"/>
      <c r="I63" s="10"/>
      <c r="J63" s="9"/>
      <c r="K63" s="9"/>
      <c r="L63" s="9"/>
      <c r="M63" s="9"/>
      <c r="N63" s="10"/>
      <c r="O63" s="10" t="str">
        <f t="shared" si="10"/>
        <v/>
      </c>
      <c r="P63" s="9" t="str">
        <f t="shared" si="11"/>
        <v/>
      </c>
      <c r="Q63" s="9" t="str">
        <f t="shared" si="12"/>
        <v/>
      </c>
      <c r="R63" s="9" t="str">
        <f t="shared" si="13"/>
        <v/>
      </c>
    </row>
    <row r="64" spans="2:18" x14ac:dyDescent="0.4">
      <c r="B64" s="8"/>
      <c r="C64" s="8"/>
      <c r="D64" s="8"/>
      <c r="E64" s="8"/>
      <c r="F64" s="8"/>
      <c r="G64" s="19"/>
      <c r="H64" s="8"/>
      <c r="I64" s="10"/>
      <c r="J64" s="9"/>
      <c r="K64" s="9"/>
      <c r="L64" s="9"/>
      <c r="M64" s="9"/>
      <c r="N64" s="10"/>
      <c r="O64" s="10" t="str">
        <f t="shared" si="10"/>
        <v/>
      </c>
      <c r="P64" s="9" t="str">
        <f t="shared" si="11"/>
        <v/>
      </c>
      <c r="Q64" s="9" t="str">
        <f t="shared" si="12"/>
        <v/>
      </c>
      <c r="R64" s="9" t="str">
        <f t="shared" si="13"/>
        <v/>
      </c>
    </row>
    <row r="65" spans="2:18" x14ac:dyDescent="0.4">
      <c r="B65" s="8"/>
      <c r="C65" s="8"/>
      <c r="D65" s="8"/>
      <c r="E65" s="8"/>
      <c r="F65" s="8"/>
      <c r="G65" s="19"/>
      <c r="H65" s="8"/>
      <c r="I65" s="10"/>
      <c r="J65" s="9"/>
      <c r="K65" s="9"/>
      <c r="L65" s="9"/>
      <c r="M65" s="9"/>
      <c r="N65" s="10"/>
      <c r="O65" s="10" t="str">
        <f t="shared" si="10"/>
        <v/>
      </c>
      <c r="P65" s="9" t="str">
        <f t="shared" si="11"/>
        <v/>
      </c>
      <c r="Q65" s="9" t="str">
        <f t="shared" si="12"/>
        <v/>
      </c>
      <c r="R65" s="9" t="str">
        <f t="shared" si="13"/>
        <v/>
      </c>
    </row>
    <row r="66" spans="2:18" x14ac:dyDescent="0.4">
      <c r="B66" s="8"/>
      <c r="C66" s="8"/>
      <c r="D66" s="8"/>
      <c r="E66" s="8"/>
      <c r="F66" s="8"/>
      <c r="G66" s="19"/>
      <c r="H66" s="8"/>
      <c r="I66" s="10"/>
      <c r="J66" s="9"/>
      <c r="K66" s="9"/>
      <c r="L66" s="9"/>
      <c r="M66" s="9"/>
      <c r="N66" s="10"/>
      <c r="O66" s="10" t="str">
        <f t="shared" si="10"/>
        <v/>
      </c>
      <c r="P66" s="9" t="str">
        <f t="shared" si="11"/>
        <v/>
      </c>
      <c r="Q66" s="9" t="str">
        <f t="shared" si="12"/>
        <v/>
      </c>
      <c r="R66" s="9" t="str">
        <f t="shared" si="13"/>
        <v/>
      </c>
    </row>
    <row r="67" spans="2:18" x14ac:dyDescent="0.4">
      <c r="B67" s="8"/>
      <c r="C67" s="8"/>
      <c r="D67" s="8"/>
      <c r="E67" s="8"/>
      <c r="F67" s="8"/>
      <c r="G67" s="19"/>
      <c r="H67" s="8"/>
      <c r="I67" s="10"/>
      <c r="J67" s="9"/>
      <c r="K67" s="9"/>
      <c r="L67" s="9"/>
      <c r="M67" s="9"/>
      <c r="N67" s="10"/>
      <c r="O67" s="10" t="str">
        <f t="shared" si="10"/>
        <v/>
      </c>
      <c r="P67" s="9" t="str">
        <f t="shared" si="11"/>
        <v/>
      </c>
      <c r="Q67" s="9" t="str">
        <f t="shared" si="12"/>
        <v/>
      </c>
      <c r="R67" s="9" t="str">
        <f t="shared" si="13"/>
        <v/>
      </c>
    </row>
    <row r="68" spans="2:18" x14ac:dyDescent="0.4">
      <c r="B68" s="8"/>
      <c r="C68" s="8"/>
      <c r="D68" s="8"/>
      <c r="E68" s="8"/>
      <c r="F68" s="8"/>
      <c r="G68" s="19"/>
      <c r="H68" s="8"/>
      <c r="I68" s="10"/>
      <c r="J68" s="9"/>
      <c r="K68" s="9"/>
      <c r="L68" s="9"/>
      <c r="M68" s="9"/>
      <c r="N68" s="10"/>
      <c r="O68" s="10" t="str">
        <f t="shared" si="10"/>
        <v/>
      </c>
      <c r="P68" s="9" t="str">
        <f t="shared" si="11"/>
        <v/>
      </c>
      <c r="Q68" s="9" t="str">
        <f t="shared" si="12"/>
        <v/>
      </c>
      <c r="R68" s="9" t="str">
        <f t="shared" si="13"/>
        <v/>
      </c>
    </row>
    <row r="69" spans="2:18" x14ac:dyDescent="0.4">
      <c r="B69" s="8"/>
      <c r="C69" s="8"/>
      <c r="D69" s="8"/>
      <c r="E69" s="8"/>
      <c r="F69" s="8"/>
      <c r="G69" s="19"/>
      <c r="H69" s="8"/>
      <c r="I69" s="10"/>
      <c r="J69" s="9"/>
      <c r="K69" s="9"/>
      <c r="L69" s="9"/>
      <c r="M69" s="9"/>
      <c r="N69" s="10"/>
      <c r="O69" s="10" t="str">
        <f t="shared" si="10"/>
        <v/>
      </c>
      <c r="P69" s="9" t="str">
        <f t="shared" si="11"/>
        <v/>
      </c>
      <c r="Q69" s="9" t="str">
        <f t="shared" si="12"/>
        <v/>
      </c>
      <c r="R69" s="9" t="str">
        <f t="shared" si="13"/>
        <v/>
      </c>
    </row>
    <row r="70" spans="2:18" x14ac:dyDescent="0.4">
      <c r="B70" s="8"/>
      <c r="C70" s="8"/>
      <c r="D70" s="8"/>
      <c r="E70" s="8"/>
      <c r="F70" s="8"/>
      <c r="G70" s="19"/>
      <c r="H70" s="8"/>
      <c r="I70" s="10"/>
      <c r="J70" s="9"/>
      <c r="K70" s="9"/>
      <c r="L70" s="9"/>
      <c r="M70" s="9"/>
      <c r="N70" s="10"/>
      <c r="O70" s="10" t="str">
        <f t="shared" si="10"/>
        <v/>
      </c>
      <c r="P70" s="9" t="str">
        <f t="shared" si="11"/>
        <v/>
      </c>
      <c r="Q70" s="9" t="str">
        <f t="shared" si="12"/>
        <v/>
      </c>
      <c r="R70" s="9" t="str">
        <f t="shared" si="13"/>
        <v/>
      </c>
    </row>
    <row r="71" spans="2:18" x14ac:dyDescent="0.4">
      <c r="B71" s="8"/>
      <c r="C71" s="8"/>
      <c r="D71" s="8"/>
      <c r="E71" s="8"/>
      <c r="F71" s="8"/>
      <c r="G71" s="19"/>
      <c r="H71" s="8"/>
      <c r="I71" s="10"/>
      <c r="J71" s="9"/>
      <c r="K71" s="9"/>
      <c r="L71" s="9"/>
      <c r="M71" s="9"/>
      <c r="N71" s="10"/>
      <c r="O71" s="10" t="str">
        <f t="shared" si="10"/>
        <v/>
      </c>
      <c r="P71" s="9" t="str">
        <f t="shared" si="11"/>
        <v/>
      </c>
      <c r="Q71" s="9" t="str">
        <f t="shared" si="12"/>
        <v/>
      </c>
      <c r="R71" s="9" t="str">
        <f t="shared" si="13"/>
        <v/>
      </c>
    </row>
    <row r="72" spans="2:18" x14ac:dyDescent="0.4">
      <c r="B72" s="8"/>
      <c r="C72" s="8"/>
      <c r="D72" s="8"/>
      <c r="E72" s="8"/>
      <c r="F72" s="8"/>
      <c r="G72" s="19"/>
      <c r="H72" s="8"/>
      <c r="I72" s="10"/>
      <c r="J72" s="9"/>
      <c r="K72" s="9"/>
      <c r="L72" s="9"/>
      <c r="M72" s="9"/>
      <c r="N72" s="10"/>
      <c r="O72" s="10" t="str">
        <f t="shared" si="10"/>
        <v/>
      </c>
      <c r="P72" s="9" t="str">
        <f t="shared" si="11"/>
        <v/>
      </c>
      <c r="Q72" s="9" t="str">
        <f t="shared" si="12"/>
        <v/>
      </c>
      <c r="R72" s="9" t="str">
        <f t="shared" si="13"/>
        <v/>
      </c>
    </row>
    <row r="73" spans="2:18" x14ac:dyDescent="0.4">
      <c r="B73" s="8"/>
      <c r="C73" s="8"/>
      <c r="D73" s="8"/>
      <c r="E73" s="8"/>
      <c r="F73" s="8"/>
      <c r="G73" s="19"/>
      <c r="H73" s="8"/>
      <c r="I73" s="10"/>
      <c r="J73" s="9"/>
      <c r="K73" s="9"/>
      <c r="L73" s="9"/>
      <c r="M73" s="9"/>
      <c r="N73" s="10"/>
      <c r="O73" s="10" t="str">
        <f t="shared" si="10"/>
        <v/>
      </c>
      <c r="P73" s="9" t="str">
        <f t="shared" si="11"/>
        <v/>
      </c>
      <c r="Q73" s="9" t="str">
        <f t="shared" si="12"/>
        <v/>
      </c>
      <c r="R73" s="9" t="str">
        <f t="shared" si="13"/>
        <v/>
      </c>
    </row>
    <row r="74" spans="2:18" x14ac:dyDescent="0.4">
      <c r="B74" s="8"/>
      <c r="C74" s="8"/>
      <c r="D74" s="8"/>
      <c r="E74" s="8"/>
      <c r="F74" s="8"/>
      <c r="G74" s="19"/>
      <c r="H74" s="8"/>
      <c r="I74" s="10"/>
      <c r="J74" s="9"/>
      <c r="K74" s="9"/>
      <c r="L74" s="9"/>
      <c r="M74" s="9"/>
      <c r="N74" s="10"/>
      <c r="O74" s="10" t="str">
        <f t="shared" si="10"/>
        <v/>
      </c>
      <c r="P74" s="9" t="str">
        <f t="shared" si="11"/>
        <v/>
      </c>
      <c r="Q74" s="9" t="str">
        <f t="shared" si="12"/>
        <v/>
      </c>
      <c r="R74" s="9" t="str">
        <f t="shared" si="13"/>
        <v/>
      </c>
    </row>
    <row r="75" spans="2:18" x14ac:dyDescent="0.4">
      <c r="B75" s="8"/>
      <c r="C75" s="8"/>
      <c r="D75" s="8"/>
      <c r="E75" s="8"/>
      <c r="F75" s="8"/>
      <c r="G75" s="19"/>
      <c r="H75" s="8"/>
      <c r="I75" s="10"/>
      <c r="J75" s="9"/>
      <c r="K75" s="9"/>
      <c r="L75" s="9"/>
      <c r="M75" s="9"/>
      <c r="N75" s="10"/>
      <c r="O75" s="10" t="str">
        <f t="shared" si="10"/>
        <v/>
      </c>
      <c r="P75" s="9" t="str">
        <f t="shared" si="11"/>
        <v/>
      </c>
      <c r="Q75" s="9" t="str">
        <f t="shared" si="12"/>
        <v/>
      </c>
      <c r="R75" s="9" t="str">
        <f t="shared" si="13"/>
        <v/>
      </c>
    </row>
    <row r="76" spans="2:18" x14ac:dyDescent="0.4">
      <c r="B76" s="8"/>
      <c r="C76" s="8"/>
      <c r="D76" s="8"/>
      <c r="E76" s="8"/>
      <c r="F76" s="8"/>
      <c r="G76" s="19"/>
      <c r="H76" s="8"/>
      <c r="I76" s="10"/>
      <c r="J76" s="9"/>
      <c r="K76" s="9"/>
      <c r="L76" s="9"/>
      <c r="M76" s="9"/>
      <c r="N76" s="10"/>
      <c r="O76" s="10" t="str">
        <f t="shared" si="10"/>
        <v/>
      </c>
      <c r="P76" s="9" t="str">
        <f t="shared" si="11"/>
        <v/>
      </c>
      <c r="Q76" s="9" t="str">
        <f t="shared" si="12"/>
        <v/>
      </c>
      <c r="R76" s="9" t="str">
        <f t="shared" si="13"/>
        <v/>
      </c>
    </row>
    <row r="77" spans="2:18" x14ac:dyDescent="0.4">
      <c r="B77" s="8"/>
      <c r="C77" s="8"/>
      <c r="D77" s="8"/>
      <c r="E77" s="8"/>
      <c r="F77" s="8"/>
      <c r="G77" s="19"/>
      <c r="H77" s="8"/>
      <c r="I77" s="10"/>
      <c r="J77" s="9"/>
      <c r="K77" s="9"/>
      <c r="L77" s="9"/>
      <c r="M77" s="9"/>
      <c r="N77" s="10"/>
      <c r="O77" s="10" t="str">
        <f t="shared" si="10"/>
        <v/>
      </c>
      <c r="P77" s="9" t="str">
        <f t="shared" si="11"/>
        <v/>
      </c>
      <c r="Q77" s="9" t="str">
        <f t="shared" si="12"/>
        <v/>
      </c>
      <c r="R77" s="9" t="str">
        <f t="shared" si="13"/>
        <v/>
      </c>
    </row>
    <row r="78" spans="2:18" x14ac:dyDescent="0.4">
      <c r="B78" s="8"/>
      <c r="C78" s="8"/>
      <c r="D78" s="8"/>
      <c r="E78" s="8"/>
      <c r="F78" s="8"/>
      <c r="G78" s="19"/>
      <c r="H78" s="8"/>
      <c r="I78" s="10"/>
      <c r="J78" s="9"/>
      <c r="K78" s="9"/>
      <c r="L78" s="9"/>
      <c r="M78" s="9"/>
      <c r="N78" s="10"/>
      <c r="O78" s="10" t="str">
        <f t="shared" si="10"/>
        <v/>
      </c>
      <c r="P78" s="9" t="str">
        <f t="shared" si="11"/>
        <v/>
      </c>
      <c r="Q78" s="9" t="str">
        <f t="shared" si="12"/>
        <v/>
      </c>
      <c r="R78" s="9" t="str">
        <f t="shared" si="13"/>
        <v/>
      </c>
    </row>
  </sheetData>
  <mergeCells count="1">
    <mergeCell ref="C41:C43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BCAF-D9BA-4C11-8A56-FC9E547676AC}">
  <dimension ref="B2:R93"/>
  <sheetViews>
    <sheetView zoomScale="85" zoomScaleNormal="85" workbookViewId="0">
      <selection activeCell="M77" sqref="M77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21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6" si="0">K6*I6</f>
        <v>15840.000000000002</v>
      </c>
      <c r="N6" s="10"/>
      <c r="O6" s="10" t="str">
        <f t="shared" ref="O6:O68" si="1">IF(N6="","",I6-N6)</f>
        <v/>
      </c>
      <c r="P6" s="9" t="str">
        <f t="shared" ref="P6:P68" si="2">IFERROR(O6*J6,"")</f>
        <v/>
      </c>
      <c r="Q6" s="9" t="str">
        <f t="shared" ref="Q6:Q68" si="3">IFERROR(P6*O6,"")</f>
        <v/>
      </c>
      <c r="R6" s="9" t="str">
        <f t="shared" ref="R6:R68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301</v>
      </c>
      <c r="F9" s="17" t="s">
        <v>140</v>
      </c>
      <c r="G9" s="19"/>
      <c r="H9" s="13">
        <v>0.1</v>
      </c>
      <c r="I9" s="10">
        <v>120</v>
      </c>
      <c r="J9" s="9">
        <v>450</v>
      </c>
      <c r="K9" s="9">
        <f>J9*110%</f>
        <v>495.00000000000006</v>
      </c>
      <c r="L9" s="9"/>
      <c r="M9" s="9">
        <f t="shared" si="0"/>
        <v>59400.000000000007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301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301</v>
      </c>
      <c r="F11" s="17" t="s">
        <v>142</v>
      </c>
      <c r="G11" s="19"/>
      <c r="H11" s="13">
        <v>0.1</v>
      </c>
      <c r="I11" s="10">
        <v>120</v>
      </c>
      <c r="J11" s="9">
        <v>450</v>
      </c>
      <c r="K11" s="9">
        <f t="shared" si="5"/>
        <v>495.00000000000006</v>
      </c>
      <c r="L11" s="9"/>
      <c r="M11" s="9">
        <f t="shared" si="0"/>
        <v>59400.000000000007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301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301</v>
      </c>
      <c r="F13" s="17" t="s">
        <v>144</v>
      </c>
      <c r="G13" s="19"/>
      <c r="H13" s="13">
        <v>0.1</v>
      </c>
      <c r="I13" s="10">
        <v>28</v>
      </c>
      <c r="J13" s="9">
        <v>75</v>
      </c>
      <c r="K13" s="9">
        <f t="shared" si="5"/>
        <v>82.5</v>
      </c>
      <c r="L13" s="9"/>
      <c r="M13" s="9">
        <f t="shared" si="0"/>
        <v>2310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301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301</v>
      </c>
      <c r="F15" s="17" t="s">
        <v>146</v>
      </c>
      <c r="G15" s="19"/>
      <c r="H15" s="13">
        <v>0.1</v>
      </c>
      <c r="I15" s="10">
        <v>28</v>
      </c>
      <c r="J15" s="9">
        <v>75</v>
      </c>
      <c r="K15" s="9">
        <f t="shared" si="5"/>
        <v>82.5</v>
      </c>
      <c r="L15" s="9"/>
      <c r="M15" s="9">
        <f t="shared" si="0"/>
        <v>2310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301</v>
      </c>
      <c r="F16" s="17" t="s">
        <v>147</v>
      </c>
      <c r="G16" s="19"/>
      <c r="H16" s="13">
        <v>0.1</v>
      </c>
      <c r="I16" s="10">
        <v>28</v>
      </c>
      <c r="J16" s="9">
        <v>75</v>
      </c>
      <c r="K16" s="9">
        <f t="shared" si="5"/>
        <v>82.5</v>
      </c>
      <c r="L16" s="9"/>
      <c r="M16" s="9">
        <f t="shared" si="0"/>
        <v>2310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301</v>
      </c>
      <c r="F17" s="17" t="s">
        <v>148</v>
      </c>
      <c r="G17" s="19"/>
      <c r="H17" s="13">
        <v>0.1</v>
      </c>
      <c r="I17" s="10">
        <v>28</v>
      </c>
      <c r="J17" s="9">
        <v>85</v>
      </c>
      <c r="K17" s="9">
        <f t="shared" si="5"/>
        <v>93.500000000000014</v>
      </c>
      <c r="L17" s="9"/>
      <c r="M17" s="9">
        <f t="shared" si="0"/>
        <v>2618.0000000000005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301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301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301</v>
      </c>
      <c r="F20" s="17" t="s">
        <v>151</v>
      </c>
      <c r="G20" s="19"/>
      <c r="H20" s="13">
        <v>0.1</v>
      </c>
      <c r="I20" s="10">
        <v>28</v>
      </c>
      <c r="J20" s="9">
        <v>120</v>
      </c>
      <c r="K20" s="9">
        <f t="shared" si="5"/>
        <v>132</v>
      </c>
      <c r="L20" s="9"/>
      <c r="M20" s="9">
        <f t="shared" si="0"/>
        <v>3696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301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301</v>
      </c>
      <c r="F22" s="17" t="s">
        <v>153</v>
      </c>
      <c r="G22" s="19"/>
      <c r="H22" s="13">
        <v>0.1</v>
      </c>
      <c r="I22" s="10">
        <v>28</v>
      </c>
      <c r="J22" s="9">
        <v>120</v>
      </c>
      <c r="K22" s="9">
        <f t="shared" si="5"/>
        <v>132</v>
      </c>
      <c r="L22" s="9"/>
      <c r="M22" s="9">
        <f t="shared" si="0"/>
        <v>3696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301</v>
      </c>
      <c r="F23" s="17" t="s">
        <v>154</v>
      </c>
      <c r="G23" s="19"/>
      <c r="H23" s="13">
        <v>0.1</v>
      </c>
      <c r="I23" s="10">
        <v>120</v>
      </c>
      <c r="J23" s="9">
        <v>450</v>
      </c>
      <c r="K23" s="9">
        <f t="shared" si="5"/>
        <v>495.00000000000006</v>
      </c>
      <c r="L23" s="9"/>
      <c r="M23" s="9">
        <f t="shared" si="0"/>
        <v>59400.000000000007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301</v>
      </c>
      <c r="F24" s="17" t="s">
        <v>155</v>
      </c>
      <c r="G24" s="19"/>
      <c r="H24" s="13">
        <v>0.1</v>
      </c>
      <c r="I24" s="10">
        <v>120</v>
      </c>
      <c r="J24" s="9">
        <v>450</v>
      </c>
      <c r="K24" s="9">
        <f t="shared" si="5"/>
        <v>495.00000000000006</v>
      </c>
      <c r="L24" s="9"/>
      <c r="M24" s="9">
        <f t="shared" si="0"/>
        <v>59400.000000000007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301</v>
      </c>
      <c r="F25" s="17" t="s">
        <v>156</v>
      </c>
      <c r="G25" s="19"/>
      <c r="H25" s="13">
        <v>0.1</v>
      </c>
      <c r="I25" s="10">
        <v>120</v>
      </c>
      <c r="J25" s="9">
        <v>450</v>
      </c>
      <c r="K25" s="9">
        <f t="shared" si="5"/>
        <v>495.00000000000006</v>
      </c>
      <c r="L25" s="9"/>
      <c r="M25" s="9">
        <f t="shared" si="0"/>
        <v>59400.000000000007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301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ht="18.75" x14ac:dyDescent="0.4">
      <c r="B27" s="8"/>
      <c r="C27" s="26" t="s">
        <v>300</v>
      </c>
      <c r="D27" s="8"/>
      <c r="E27" s="8" t="s">
        <v>308</v>
      </c>
      <c r="F27" s="27" t="s">
        <v>309</v>
      </c>
      <c r="G27" s="30">
        <v>4977629310376</v>
      </c>
      <c r="H27" s="41">
        <v>0.08</v>
      </c>
      <c r="I27" s="10">
        <v>96</v>
      </c>
      <c r="J27" s="31">
        <v>40</v>
      </c>
      <c r="K27" s="9">
        <f>J27*108%</f>
        <v>43.2</v>
      </c>
      <c r="L27" s="9"/>
      <c r="M27" s="9">
        <f>K27*I27</f>
        <v>4147.2000000000007</v>
      </c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ht="18.75" x14ac:dyDescent="0.4">
      <c r="B28" s="8"/>
      <c r="C28" s="26" t="s">
        <v>303</v>
      </c>
      <c r="D28" s="8"/>
      <c r="E28" s="8" t="s">
        <v>308</v>
      </c>
      <c r="F28" s="28" t="s">
        <v>310</v>
      </c>
      <c r="G28" s="30">
        <v>2000000062716</v>
      </c>
      <c r="H28" s="41">
        <v>0.1</v>
      </c>
      <c r="I28" s="10">
        <v>100</v>
      </c>
      <c r="J28" s="31">
        <v>48</v>
      </c>
      <c r="K28" s="9">
        <f>J28*110%</f>
        <v>52.800000000000004</v>
      </c>
      <c r="L28" s="9"/>
      <c r="M28" s="9">
        <f t="shared" ref="M28:M64" si="6">K28*I28</f>
        <v>5280</v>
      </c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304</v>
      </c>
      <c r="D29" s="8"/>
      <c r="E29" s="8" t="s">
        <v>308</v>
      </c>
      <c r="F29" s="28" t="s">
        <v>311</v>
      </c>
      <c r="G29" s="30">
        <v>2000000064529</v>
      </c>
      <c r="H29" s="41">
        <v>0.1</v>
      </c>
      <c r="I29" s="10">
        <v>60</v>
      </c>
      <c r="J29" s="31">
        <v>80</v>
      </c>
      <c r="K29" s="9">
        <f t="shared" ref="K29:K46" si="7">J29*110%</f>
        <v>88</v>
      </c>
      <c r="L29" s="9"/>
      <c r="M29" s="9">
        <f t="shared" si="6"/>
        <v>5280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304</v>
      </c>
      <c r="D30" s="8"/>
      <c r="E30" s="8" t="s">
        <v>308</v>
      </c>
      <c r="F30" s="28" t="s">
        <v>312</v>
      </c>
      <c r="G30" s="30">
        <v>4973512263651</v>
      </c>
      <c r="H30" s="41">
        <v>0.1</v>
      </c>
      <c r="I30" s="10">
        <v>100</v>
      </c>
      <c r="J30" s="31">
        <v>80</v>
      </c>
      <c r="K30" s="9">
        <f t="shared" si="7"/>
        <v>88</v>
      </c>
      <c r="L30" s="9"/>
      <c r="M30" s="9">
        <f t="shared" si="6"/>
        <v>8800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313</v>
      </c>
      <c r="G31" s="30">
        <v>4518516000088</v>
      </c>
      <c r="H31" s="41">
        <v>0.1</v>
      </c>
      <c r="I31" s="10">
        <v>96</v>
      </c>
      <c r="J31" s="31">
        <v>130</v>
      </c>
      <c r="K31" s="9">
        <f t="shared" si="7"/>
        <v>143</v>
      </c>
      <c r="L31" s="9"/>
      <c r="M31" s="9">
        <f t="shared" si="6"/>
        <v>13728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303</v>
      </c>
      <c r="D32" s="8"/>
      <c r="E32" s="8" t="s">
        <v>308</v>
      </c>
      <c r="F32" s="28" t="s">
        <v>314</v>
      </c>
      <c r="G32" s="30">
        <v>4580419310328</v>
      </c>
      <c r="H32" s="41">
        <v>0.1</v>
      </c>
      <c r="I32" s="10">
        <v>100</v>
      </c>
      <c r="J32" s="31">
        <v>280</v>
      </c>
      <c r="K32" s="9">
        <f t="shared" si="7"/>
        <v>308</v>
      </c>
      <c r="L32" s="9"/>
      <c r="M32" s="9">
        <f t="shared" si="6"/>
        <v>30800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304</v>
      </c>
      <c r="D33" s="8"/>
      <c r="E33" s="8" t="s">
        <v>308</v>
      </c>
      <c r="F33" s="28" t="s">
        <v>315</v>
      </c>
      <c r="G33" s="30">
        <v>4904705163304</v>
      </c>
      <c r="H33" s="41">
        <v>0.1</v>
      </c>
      <c r="I33" s="10">
        <v>240</v>
      </c>
      <c r="J33" s="31">
        <v>19</v>
      </c>
      <c r="K33" s="9">
        <f t="shared" si="7"/>
        <v>20.900000000000002</v>
      </c>
      <c r="L33" s="9"/>
      <c r="M33" s="9">
        <f t="shared" si="6"/>
        <v>5016.0000000000009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304</v>
      </c>
      <c r="D34" s="8"/>
      <c r="E34" s="8" t="s">
        <v>308</v>
      </c>
      <c r="F34" s="28" t="s">
        <v>316</v>
      </c>
      <c r="G34" s="30">
        <v>4966840253630</v>
      </c>
      <c r="H34" s="41">
        <v>0.1</v>
      </c>
      <c r="I34" s="10">
        <v>240</v>
      </c>
      <c r="J34" s="31">
        <v>22</v>
      </c>
      <c r="K34" s="9">
        <f t="shared" si="7"/>
        <v>24.200000000000003</v>
      </c>
      <c r="L34" s="9"/>
      <c r="M34" s="9">
        <f t="shared" si="6"/>
        <v>5808.0000000000009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317</v>
      </c>
      <c r="G35" s="30">
        <v>8010630333869</v>
      </c>
      <c r="H35" s="41">
        <v>0.1</v>
      </c>
      <c r="I35" s="10">
        <v>400</v>
      </c>
      <c r="J35" s="31">
        <v>30</v>
      </c>
      <c r="K35" s="9">
        <f t="shared" si="7"/>
        <v>33</v>
      </c>
      <c r="L35" s="9"/>
      <c r="M35" s="9">
        <f t="shared" si="6"/>
        <v>13200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303</v>
      </c>
      <c r="D36" s="8"/>
      <c r="E36" s="8" t="s">
        <v>308</v>
      </c>
      <c r="F36" s="28" t="s">
        <v>318</v>
      </c>
      <c r="G36" s="30">
        <v>4528364820028</v>
      </c>
      <c r="H36" s="41">
        <v>0.1</v>
      </c>
      <c r="I36" s="10">
        <v>100</v>
      </c>
      <c r="J36" s="31">
        <v>35</v>
      </c>
      <c r="K36" s="9">
        <f t="shared" si="7"/>
        <v>38.5</v>
      </c>
      <c r="L36" s="9"/>
      <c r="M36" s="9">
        <f t="shared" si="6"/>
        <v>3850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304</v>
      </c>
      <c r="D37" s="8"/>
      <c r="E37" s="8" t="s">
        <v>308</v>
      </c>
      <c r="F37" s="28" t="s">
        <v>319</v>
      </c>
      <c r="G37" s="30">
        <v>4966840251551</v>
      </c>
      <c r="H37" s="41">
        <v>0.1</v>
      </c>
      <c r="I37" s="10">
        <v>144</v>
      </c>
      <c r="J37" s="31">
        <v>40</v>
      </c>
      <c r="K37" s="9">
        <f t="shared" si="7"/>
        <v>44</v>
      </c>
      <c r="L37" s="9"/>
      <c r="M37" s="9">
        <f t="shared" si="6"/>
        <v>6336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305</v>
      </c>
      <c r="D38" s="8"/>
      <c r="E38" s="8" t="s">
        <v>308</v>
      </c>
      <c r="F38" s="28" t="s">
        <v>320</v>
      </c>
      <c r="G38" s="30">
        <v>4970687211159</v>
      </c>
      <c r="H38" s="41">
        <v>0.1</v>
      </c>
      <c r="I38" s="10">
        <v>120</v>
      </c>
      <c r="J38" s="31">
        <v>80</v>
      </c>
      <c r="K38" s="9">
        <f t="shared" si="7"/>
        <v>88</v>
      </c>
      <c r="L38" s="9"/>
      <c r="M38" s="9">
        <f t="shared" si="6"/>
        <v>10560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305</v>
      </c>
      <c r="D39" s="8"/>
      <c r="E39" s="8" t="s">
        <v>308</v>
      </c>
      <c r="F39" s="28" t="s">
        <v>321</v>
      </c>
      <c r="G39" s="30">
        <v>4970687211241</v>
      </c>
      <c r="H39" s="41">
        <v>0.1</v>
      </c>
      <c r="I39" s="10">
        <v>120</v>
      </c>
      <c r="J39" s="31">
        <v>80</v>
      </c>
      <c r="K39" s="9">
        <f t="shared" si="7"/>
        <v>88</v>
      </c>
      <c r="L39" s="9"/>
      <c r="M39" s="9">
        <f t="shared" si="6"/>
        <v>10560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26" t="s">
        <v>96</v>
      </c>
      <c r="D40" s="8"/>
      <c r="E40" s="8" t="s">
        <v>308</v>
      </c>
      <c r="F40" s="28" t="s">
        <v>322</v>
      </c>
      <c r="G40" s="30">
        <v>4538291208509</v>
      </c>
      <c r="H40" s="41">
        <v>0.1</v>
      </c>
      <c r="I40" s="10">
        <v>72</v>
      </c>
      <c r="J40" s="31">
        <v>90</v>
      </c>
      <c r="K40" s="9">
        <f t="shared" si="7"/>
        <v>99.000000000000014</v>
      </c>
      <c r="L40" s="9"/>
      <c r="M40" s="9">
        <f t="shared" si="6"/>
        <v>7128.0000000000009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121" t="s">
        <v>304</v>
      </c>
      <c r="D41" s="8"/>
      <c r="E41" s="8" t="s">
        <v>308</v>
      </c>
      <c r="F41" s="28" t="s">
        <v>323</v>
      </c>
      <c r="G41" s="30">
        <v>4510482194181</v>
      </c>
      <c r="H41" s="41">
        <v>0.1</v>
      </c>
      <c r="I41" s="10">
        <v>24</v>
      </c>
      <c r="J41" s="31">
        <v>100</v>
      </c>
      <c r="K41" s="9">
        <f t="shared" si="7"/>
        <v>110.00000000000001</v>
      </c>
      <c r="L41" s="9"/>
      <c r="M41" s="9">
        <f t="shared" si="6"/>
        <v>2640.0000000000005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124"/>
      <c r="D42" s="8"/>
      <c r="E42" s="8" t="s">
        <v>308</v>
      </c>
      <c r="F42" s="28" t="s">
        <v>324</v>
      </c>
      <c r="G42" s="30">
        <v>4510482194198</v>
      </c>
      <c r="H42" s="41">
        <v>0.1</v>
      </c>
      <c r="I42" s="10">
        <v>24</v>
      </c>
      <c r="J42" s="31">
        <v>100</v>
      </c>
      <c r="K42" s="9">
        <f t="shared" si="7"/>
        <v>110.00000000000001</v>
      </c>
      <c r="L42" s="9"/>
      <c r="M42" s="9">
        <f t="shared" si="6"/>
        <v>2640.0000000000005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122"/>
      <c r="D43" s="8"/>
      <c r="E43" s="8" t="s">
        <v>308</v>
      </c>
      <c r="F43" s="28" t="s">
        <v>325</v>
      </c>
      <c r="G43" s="30">
        <v>4510482194204</v>
      </c>
      <c r="H43" s="41">
        <v>0.1</v>
      </c>
      <c r="I43" s="10">
        <v>24</v>
      </c>
      <c r="J43" s="31">
        <v>100</v>
      </c>
      <c r="K43" s="9">
        <f t="shared" si="7"/>
        <v>110.00000000000001</v>
      </c>
      <c r="L43" s="9"/>
      <c r="M43" s="9">
        <f t="shared" si="6"/>
        <v>2640.0000000000005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18.75" x14ac:dyDescent="0.4">
      <c r="B44" s="8"/>
      <c r="C44" s="26" t="s">
        <v>304</v>
      </c>
      <c r="D44" s="8"/>
      <c r="E44" s="8" t="s">
        <v>308</v>
      </c>
      <c r="F44" s="28" t="s">
        <v>326</v>
      </c>
      <c r="G44" s="30">
        <v>4972603100585</v>
      </c>
      <c r="H44" s="41">
        <v>0.1</v>
      </c>
      <c r="I44" s="10">
        <v>30</v>
      </c>
      <c r="J44" s="31">
        <v>100</v>
      </c>
      <c r="K44" s="9">
        <f t="shared" si="7"/>
        <v>110.00000000000001</v>
      </c>
      <c r="L44" s="9"/>
      <c r="M44" s="9">
        <f t="shared" si="6"/>
        <v>3300.0000000000005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26" t="s">
        <v>304</v>
      </c>
      <c r="D45" s="8"/>
      <c r="E45" s="8" t="s">
        <v>308</v>
      </c>
      <c r="F45" s="28" t="s">
        <v>327</v>
      </c>
      <c r="G45" s="30">
        <v>4589596691961</v>
      </c>
      <c r="H45" s="41">
        <v>0.1</v>
      </c>
      <c r="I45" s="10">
        <v>72</v>
      </c>
      <c r="J45" s="31">
        <v>140</v>
      </c>
      <c r="K45" s="9">
        <f t="shared" si="7"/>
        <v>154</v>
      </c>
      <c r="L45" s="9"/>
      <c r="M45" s="9">
        <f t="shared" si="6"/>
        <v>11088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18.75" x14ac:dyDescent="0.4">
      <c r="B46" s="8"/>
      <c r="C46" s="26" t="s">
        <v>304</v>
      </c>
      <c r="D46" s="8"/>
      <c r="E46" s="8" t="s">
        <v>308</v>
      </c>
      <c r="F46" s="28" t="s">
        <v>347</v>
      </c>
      <c r="G46" s="30">
        <v>4939560247197</v>
      </c>
      <c r="H46" s="41">
        <v>0.1</v>
      </c>
      <c r="I46" s="10">
        <v>60</v>
      </c>
      <c r="J46" s="31">
        <v>216</v>
      </c>
      <c r="K46" s="9">
        <f t="shared" si="7"/>
        <v>237.60000000000002</v>
      </c>
      <c r="L46" s="9"/>
      <c r="M46" s="9">
        <f t="shared" si="6"/>
        <v>14256.000000000002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37.5" x14ac:dyDescent="0.4">
      <c r="B47" s="8"/>
      <c r="C47" s="26" t="s">
        <v>300</v>
      </c>
      <c r="D47" s="8"/>
      <c r="E47" s="8" t="s">
        <v>308</v>
      </c>
      <c r="F47" s="29" t="s">
        <v>328</v>
      </c>
      <c r="G47" s="30">
        <v>4960867007641</v>
      </c>
      <c r="H47" s="41">
        <v>0.08</v>
      </c>
      <c r="I47" s="10">
        <v>30</v>
      </c>
      <c r="J47" s="31">
        <v>240</v>
      </c>
      <c r="K47" s="9">
        <f t="shared" ref="K47:K48" si="8">J47*108%</f>
        <v>259.20000000000005</v>
      </c>
      <c r="L47" s="9"/>
      <c r="M47" s="9">
        <f t="shared" si="6"/>
        <v>7776.0000000000018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37.5" x14ac:dyDescent="0.4">
      <c r="B48" s="8"/>
      <c r="C48" s="26" t="s">
        <v>300</v>
      </c>
      <c r="D48" s="8"/>
      <c r="E48" s="8" t="s">
        <v>308</v>
      </c>
      <c r="F48" s="29" t="s">
        <v>329</v>
      </c>
      <c r="G48" s="30">
        <v>4960867008396</v>
      </c>
      <c r="H48" s="41">
        <v>0.08</v>
      </c>
      <c r="I48" s="10">
        <v>30</v>
      </c>
      <c r="J48" s="31">
        <v>240</v>
      </c>
      <c r="K48" s="9">
        <f t="shared" si="8"/>
        <v>259.20000000000005</v>
      </c>
      <c r="L48" s="9"/>
      <c r="M48" s="9">
        <f t="shared" si="6"/>
        <v>7776.0000000000018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96</v>
      </c>
      <c r="D49" s="8"/>
      <c r="E49" s="8" t="s">
        <v>308</v>
      </c>
      <c r="F49" s="28" t="s">
        <v>331</v>
      </c>
      <c r="G49" s="30">
        <v>4939560521600</v>
      </c>
      <c r="H49" s="41">
        <v>0.1</v>
      </c>
      <c r="I49" s="10">
        <v>24</v>
      </c>
      <c r="J49" s="31">
        <v>360</v>
      </c>
      <c r="K49" s="9">
        <f t="shared" ref="K49:K64" si="9">J49*110%</f>
        <v>396.00000000000006</v>
      </c>
      <c r="L49" s="9"/>
      <c r="M49" s="9">
        <f t="shared" si="6"/>
        <v>9504.0000000000018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304</v>
      </c>
      <c r="D50" s="8"/>
      <c r="E50" s="8" t="s">
        <v>308</v>
      </c>
      <c r="F50" s="28" t="s">
        <v>332</v>
      </c>
      <c r="G50" s="30">
        <v>4939560521648</v>
      </c>
      <c r="H50" s="41">
        <v>0.1</v>
      </c>
      <c r="I50" s="10">
        <v>16</v>
      </c>
      <c r="J50" s="31">
        <v>450</v>
      </c>
      <c r="K50" s="9">
        <f t="shared" si="9"/>
        <v>495.00000000000006</v>
      </c>
      <c r="L50" s="9"/>
      <c r="M50" s="9">
        <f t="shared" si="6"/>
        <v>7920.0000000000009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304</v>
      </c>
      <c r="D51" s="8"/>
      <c r="E51" s="8" t="s">
        <v>308</v>
      </c>
      <c r="F51" s="28" t="s">
        <v>333</v>
      </c>
      <c r="G51" s="30">
        <v>4939560521617</v>
      </c>
      <c r="H51" s="41">
        <v>0.1</v>
      </c>
      <c r="I51" s="10">
        <v>12</v>
      </c>
      <c r="J51" s="31">
        <v>540</v>
      </c>
      <c r="K51" s="9">
        <f t="shared" si="9"/>
        <v>594</v>
      </c>
      <c r="L51" s="9"/>
      <c r="M51" s="9">
        <f t="shared" si="6"/>
        <v>7128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18.75" x14ac:dyDescent="0.4">
      <c r="B52" s="8"/>
      <c r="C52" s="26" t="s">
        <v>304</v>
      </c>
      <c r="D52" s="8"/>
      <c r="E52" s="8" t="s">
        <v>308</v>
      </c>
      <c r="F52" s="28" t="s">
        <v>334</v>
      </c>
      <c r="G52" s="30">
        <v>2000000068152</v>
      </c>
      <c r="H52" s="41">
        <v>0.1</v>
      </c>
      <c r="I52" s="10">
        <v>200</v>
      </c>
      <c r="J52" s="31">
        <v>30</v>
      </c>
      <c r="K52" s="9">
        <f t="shared" si="9"/>
        <v>33</v>
      </c>
      <c r="L52" s="9"/>
      <c r="M52" s="9">
        <f t="shared" si="6"/>
        <v>6600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26" t="s">
        <v>306</v>
      </c>
      <c r="D53" s="8"/>
      <c r="E53" s="8" t="s">
        <v>308</v>
      </c>
      <c r="F53" s="28" t="s">
        <v>335</v>
      </c>
      <c r="G53" s="30">
        <v>4904070062660</v>
      </c>
      <c r="H53" s="41">
        <v>0.1</v>
      </c>
      <c r="I53" s="10">
        <v>20</v>
      </c>
      <c r="J53" s="31">
        <v>295</v>
      </c>
      <c r="K53" s="9">
        <f t="shared" si="9"/>
        <v>324.5</v>
      </c>
      <c r="L53" s="9"/>
      <c r="M53" s="9">
        <f t="shared" si="6"/>
        <v>6490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26" t="s">
        <v>303</v>
      </c>
      <c r="D54" s="8"/>
      <c r="E54" s="8" t="s">
        <v>308</v>
      </c>
      <c r="F54" s="28" t="s">
        <v>336</v>
      </c>
      <c r="G54" s="30">
        <v>4580419310397</v>
      </c>
      <c r="H54" s="41">
        <v>0.1</v>
      </c>
      <c r="I54" s="10">
        <v>24</v>
      </c>
      <c r="J54" s="31">
        <v>330</v>
      </c>
      <c r="K54" s="9">
        <f t="shared" si="9"/>
        <v>363.00000000000006</v>
      </c>
      <c r="L54" s="9"/>
      <c r="M54" s="9">
        <f t="shared" si="6"/>
        <v>8712.0000000000018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ht="18.75" x14ac:dyDescent="0.4">
      <c r="B55" s="8"/>
      <c r="C55" s="26" t="s">
        <v>96</v>
      </c>
      <c r="D55" s="8"/>
      <c r="E55" s="8" t="s">
        <v>308</v>
      </c>
      <c r="F55" s="28" t="s">
        <v>337</v>
      </c>
      <c r="G55" s="30">
        <v>4904705164646</v>
      </c>
      <c r="H55" s="41">
        <v>0.1</v>
      </c>
      <c r="I55" s="10">
        <v>240</v>
      </c>
      <c r="J55" s="31">
        <v>12</v>
      </c>
      <c r="K55" s="9">
        <f t="shared" si="9"/>
        <v>13.200000000000001</v>
      </c>
      <c r="L55" s="9"/>
      <c r="M55" s="9">
        <f t="shared" si="6"/>
        <v>3168.0000000000005</v>
      </c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ht="18.75" x14ac:dyDescent="0.4">
      <c r="B56" s="8"/>
      <c r="C56" s="26" t="s">
        <v>304</v>
      </c>
      <c r="D56" s="8"/>
      <c r="E56" s="8" t="s">
        <v>308</v>
      </c>
      <c r="F56" s="28" t="s">
        <v>338</v>
      </c>
      <c r="G56" s="30">
        <v>4510482229425</v>
      </c>
      <c r="H56" s="41">
        <v>0.1</v>
      </c>
      <c r="I56" s="10">
        <v>24</v>
      </c>
      <c r="J56" s="31">
        <v>80</v>
      </c>
      <c r="K56" s="9">
        <f t="shared" si="9"/>
        <v>88</v>
      </c>
      <c r="L56" s="9"/>
      <c r="M56" s="9">
        <f t="shared" si="6"/>
        <v>2112</v>
      </c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ht="18.75" x14ac:dyDescent="0.4">
      <c r="B57" s="8"/>
      <c r="C57" s="26" t="s">
        <v>307</v>
      </c>
      <c r="D57" s="8"/>
      <c r="E57" s="8" t="s">
        <v>308</v>
      </c>
      <c r="F57" s="28" t="s">
        <v>339</v>
      </c>
      <c r="G57" s="30">
        <v>4573135361057</v>
      </c>
      <c r="H57" s="41">
        <v>0.1</v>
      </c>
      <c r="I57" s="10">
        <v>48</v>
      </c>
      <c r="J57" s="31">
        <v>80</v>
      </c>
      <c r="K57" s="9">
        <f t="shared" si="9"/>
        <v>88</v>
      </c>
      <c r="L57" s="9"/>
      <c r="M57" s="9">
        <f t="shared" si="6"/>
        <v>4224</v>
      </c>
      <c r="N57" s="10"/>
      <c r="O57" s="10" t="str">
        <f t="shared" si="1"/>
        <v/>
      </c>
      <c r="P57" s="9" t="str">
        <f t="shared" si="2"/>
        <v/>
      </c>
      <c r="Q57" s="9" t="str">
        <f t="shared" si="3"/>
        <v/>
      </c>
      <c r="R57" s="9" t="str">
        <f t="shared" si="4"/>
        <v/>
      </c>
    </row>
    <row r="58" spans="2:18" ht="18.75" x14ac:dyDescent="0.4">
      <c r="B58" s="8"/>
      <c r="C58" s="26" t="s">
        <v>307</v>
      </c>
      <c r="D58" s="8"/>
      <c r="E58" s="8" t="s">
        <v>308</v>
      </c>
      <c r="F58" s="28" t="s">
        <v>340</v>
      </c>
      <c r="G58" s="30">
        <v>4580081300023</v>
      </c>
      <c r="H58" s="41">
        <v>0.1</v>
      </c>
      <c r="I58" s="10">
        <v>48</v>
      </c>
      <c r="J58" s="31">
        <v>130</v>
      </c>
      <c r="K58" s="9">
        <f t="shared" si="9"/>
        <v>143</v>
      </c>
      <c r="L58" s="9"/>
      <c r="M58" s="9">
        <f t="shared" si="6"/>
        <v>6864</v>
      </c>
      <c r="N58" s="10"/>
      <c r="O58" s="10" t="str">
        <f t="shared" si="1"/>
        <v/>
      </c>
      <c r="P58" s="9" t="str">
        <f t="shared" si="2"/>
        <v/>
      </c>
      <c r="Q58" s="9" t="str">
        <f t="shared" si="3"/>
        <v/>
      </c>
      <c r="R58" s="9" t="str">
        <f t="shared" si="4"/>
        <v/>
      </c>
    </row>
    <row r="59" spans="2:18" ht="18.75" x14ac:dyDescent="0.4">
      <c r="B59" s="8"/>
      <c r="C59" s="26" t="s">
        <v>307</v>
      </c>
      <c r="D59" s="8"/>
      <c r="E59" s="8" t="s">
        <v>308</v>
      </c>
      <c r="F59" s="28" t="s">
        <v>341</v>
      </c>
      <c r="G59" s="30">
        <v>4580081300016</v>
      </c>
      <c r="H59" s="41">
        <v>0.1</v>
      </c>
      <c r="I59" s="10">
        <v>48</v>
      </c>
      <c r="J59" s="31">
        <v>130</v>
      </c>
      <c r="K59" s="9">
        <f t="shared" si="9"/>
        <v>143</v>
      </c>
      <c r="L59" s="9"/>
      <c r="M59" s="9">
        <f t="shared" si="6"/>
        <v>6864</v>
      </c>
      <c r="N59" s="10"/>
      <c r="O59" s="10" t="str">
        <f t="shared" si="1"/>
        <v/>
      </c>
      <c r="P59" s="9" t="str">
        <f t="shared" si="2"/>
        <v/>
      </c>
      <c r="Q59" s="9" t="str">
        <f t="shared" si="3"/>
        <v/>
      </c>
      <c r="R59" s="9" t="str">
        <f t="shared" si="4"/>
        <v/>
      </c>
    </row>
    <row r="60" spans="2:18" ht="18.75" x14ac:dyDescent="0.4">
      <c r="B60" s="8"/>
      <c r="C60" s="26" t="s">
        <v>304</v>
      </c>
      <c r="D60" s="8"/>
      <c r="E60" s="8" t="s">
        <v>308</v>
      </c>
      <c r="F60" s="28" t="s">
        <v>342</v>
      </c>
      <c r="G60" s="30">
        <v>4580487007922</v>
      </c>
      <c r="H60" s="41">
        <v>0.1</v>
      </c>
      <c r="I60" s="10">
        <v>6</v>
      </c>
      <c r="J60" s="31">
        <v>850</v>
      </c>
      <c r="K60" s="9">
        <f t="shared" si="9"/>
        <v>935.00000000000011</v>
      </c>
      <c r="L60" s="9"/>
      <c r="M60" s="9">
        <f t="shared" si="6"/>
        <v>5610.0000000000009</v>
      </c>
      <c r="N60" s="10"/>
      <c r="O60" s="10" t="str">
        <f t="shared" si="1"/>
        <v/>
      </c>
      <c r="P60" s="9" t="str">
        <f t="shared" si="2"/>
        <v/>
      </c>
      <c r="Q60" s="9" t="str">
        <f t="shared" si="3"/>
        <v/>
      </c>
      <c r="R60" s="9" t="str">
        <f t="shared" si="4"/>
        <v/>
      </c>
    </row>
    <row r="61" spans="2:18" ht="18.75" x14ac:dyDescent="0.4">
      <c r="B61" s="8"/>
      <c r="C61" s="26" t="s">
        <v>304</v>
      </c>
      <c r="D61" s="8"/>
      <c r="E61" s="8" t="s">
        <v>308</v>
      </c>
      <c r="F61" s="28" t="s">
        <v>343</v>
      </c>
      <c r="G61" s="30"/>
      <c r="H61" s="41">
        <v>0.1</v>
      </c>
      <c r="I61" s="10">
        <v>384</v>
      </c>
      <c r="J61" s="31">
        <v>9</v>
      </c>
      <c r="K61" s="9">
        <f t="shared" si="9"/>
        <v>9.9</v>
      </c>
      <c r="L61" s="9"/>
      <c r="M61" s="9">
        <f t="shared" si="6"/>
        <v>3801.6000000000004</v>
      </c>
      <c r="N61" s="10"/>
      <c r="O61" s="10" t="str">
        <f t="shared" si="1"/>
        <v/>
      </c>
      <c r="P61" s="9" t="str">
        <f t="shared" si="2"/>
        <v/>
      </c>
      <c r="Q61" s="9" t="str">
        <f t="shared" si="3"/>
        <v/>
      </c>
      <c r="R61" s="9" t="str">
        <f t="shared" si="4"/>
        <v/>
      </c>
    </row>
    <row r="62" spans="2:18" ht="18.75" x14ac:dyDescent="0.4">
      <c r="B62" s="8"/>
      <c r="C62" s="26" t="s">
        <v>307</v>
      </c>
      <c r="D62" s="8"/>
      <c r="E62" s="8" t="s">
        <v>308</v>
      </c>
      <c r="F62" s="28" t="s">
        <v>344</v>
      </c>
      <c r="G62" s="30"/>
      <c r="H62" s="41">
        <v>0.1</v>
      </c>
      <c r="I62" s="10">
        <v>108</v>
      </c>
      <c r="J62" s="31">
        <v>140</v>
      </c>
      <c r="K62" s="9">
        <f t="shared" si="9"/>
        <v>154</v>
      </c>
      <c r="L62" s="9"/>
      <c r="M62" s="9">
        <f t="shared" si="6"/>
        <v>16632</v>
      </c>
      <c r="N62" s="10"/>
      <c r="O62" s="10" t="str">
        <f t="shared" si="1"/>
        <v/>
      </c>
      <c r="P62" s="9" t="str">
        <f t="shared" si="2"/>
        <v/>
      </c>
      <c r="Q62" s="9" t="str">
        <f t="shared" si="3"/>
        <v/>
      </c>
      <c r="R62" s="9" t="str">
        <f t="shared" si="4"/>
        <v/>
      </c>
    </row>
    <row r="63" spans="2:18" ht="37.5" x14ac:dyDescent="0.4">
      <c r="B63" s="8"/>
      <c r="C63" s="26" t="s">
        <v>303</v>
      </c>
      <c r="D63" s="8"/>
      <c r="E63" s="8" t="s">
        <v>308</v>
      </c>
      <c r="F63" s="29" t="s">
        <v>348</v>
      </c>
      <c r="G63" s="30"/>
      <c r="H63" s="41">
        <v>0.1</v>
      </c>
      <c r="I63" s="10">
        <v>150</v>
      </c>
      <c r="J63" s="31">
        <v>145</v>
      </c>
      <c r="K63" s="9">
        <f t="shared" si="9"/>
        <v>159.5</v>
      </c>
      <c r="L63" s="9"/>
      <c r="M63" s="9">
        <f t="shared" si="6"/>
        <v>23925</v>
      </c>
      <c r="N63" s="10"/>
      <c r="O63" s="10" t="str">
        <f t="shared" si="1"/>
        <v/>
      </c>
      <c r="P63" s="9" t="str">
        <f t="shared" si="2"/>
        <v/>
      </c>
      <c r="Q63" s="9" t="str">
        <f t="shared" si="3"/>
        <v/>
      </c>
      <c r="R63" s="9" t="str">
        <f t="shared" si="4"/>
        <v/>
      </c>
    </row>
    <row r="64" spans="2:18" ht="18.75" x14ac:dyDescent="0.4">
      <c r="B64" s="8"/>
      <c r="C64" s="26" t="s">
        <v>303</v>
      </c>
      <c r="D64" s="8"/>
      <c r="E64" s="8" t="s">
        <v>308</v>
      </c>
      <c r="F64" s="28" t="s">
        <v>345</v>
      </c>
      <c r="G64" s="30"/>
      <c r="H64" s="41">
        <v>0.1</v>
      </c>
      <c r="I64" s="10">
        <v>60</v>
      </c>
      <c r="J64" s="31">
        <v>145</v>
      </c>
      <c r="K64" s="9">
        <f t="shared" si="9"/>
        <v>159.5</v>
      </c>
      <c r="L64" s="9"/>
      <c r="M64" s="9">
        <f t="shared" si="6"/>
        <v>9570</v>
      </c>
      <c r="N64" s="10"/>
      <c r="O64" s="10" t="str">
        <f t="shared" si="1"/>
        <v/>
      </c>
      <c r="P64" s="9" t="str">
        <f t="shared" si="2"/>
        <v/>
      </c>
      <c r="Q64" s="9" t="str">
        <f t="shared" si="3"/>
        <v/>
      </c>
      <c r="R64" s="9" t="str">
        <f t="shared" si="4"/>
        <v/>
      </c>
    </row>
    <row r="65" spans="2:18" ht="18.75" x14ac:dyDescent="0.4">
      <c r="B65" s="46"/>
      <c r="C65" s="44" t="s">
        <v>96</v>
      </c>
      <c r="D65" s="46"/>
      <c r="E65" s="46" t="s">
        <v>308</v>
      </c>
      <c r="F65" s="47" t="s">
        <v>346</v>
      </c>
      <c r="G65" s="48">
        <v>4560437940714</v>
      </c>
      <c r="H65" s="49">
        <v>0.1</v>
      </c>
      <c r="I65" s="37">
        <v>96</v>
      </c>
      <c r="J65" s="50">
        <v>150</v>
      </c>
      <c r="K65" s="38">
        <f>J65*110%</f>
        <v>165</v>
      </c>
      <c r="L65" s="38"/>
      <c r="M65" s="38">
        <f>K65*I65</f>
        <v>15840</v>
      </c>
      <c r="N65" s="10"/>
      <c r="O65" s="10" t="str">
        <f t="shared" si="1"/>
        <v/>
      </c>
      <c r="P65" s="9" t="str">
        <f t="shared" si="2"/>
        <v/>
      </c>
      <c r="Q65" s="9" t="str">
        <f t="shared" si="3"/>
        <v/>
      </c>
      <c r="R65" s="9" t="str">
        <f t="shared" si="4"/>
        <v/>
      </c>
    </row>
    <row r="66" spans="2:18" x14ac:dyDescent="0.4">
      <c r="B66" s="40"/>
      <c r="C66" s="39" t="s">
        <v>184</v>
      </c>
      <c r="D66" s="40"/>
      <c r="E66" s="40" t="s">
        <v>377</v>
      </c>
      <c r="F66" s="51" t="s">
        <v>349</v>
      </c>
      <c r="G66" s="52">
        <v>4582399416151</v>
      </c>
      <c r="H66" s="41">
        <v>0.1</v>
      </c>
      <c r="I66" s="53">
        <v>360</v>
      </c>
      <c r="J66" s="53">
        <v>850</v>
      </c>
      <c r="K66" s="43">
        <f t="shared" ref="K66:K93" si="10">J66*110%</f>
        <v>935.00000000000011</v>
      </c>
      <c r="L66" s="43"/>
      <c r="M66" s="43">
        <f t="shared" ref="M66:M93" si="11">K66*I66</f>
        <v>336600.00000000006</v>
      </c>
      <c r="N66" s="45"/>
      <c r="O66" s="10" t="str">
        <f t="shared" si="1"/>
        <v/>
      </c>
      <c r="P66" s="9" t="str">
        <f t="shared" si="2"/>
        <v/>
      </c>
      <c r="Q66" s="9" t="str">
        <f t="shared" si="3"/>
        <v/>
      </c>
      <c r="R66" s="9" t="str">
        <f t="shared" si="4"/>
        <v/>
      </c>
    </row>
    <row r="67" spans="2:18" x14ac:dyDescent="0.4">
      <c r="B67" s="40"/>
      <c r="C67" s="39" t="s">
        <v>184</v>
      </c>
      <c r="D67" s="40"/>
      <c r="E67" s="40" t="s">
        <v>377</v>
      </c>
      <c r="F67" s="51" t="s">
        <v>350</v>
      </c>
      <c r="G67" s="52">
        <v>4582399416144</v>
      </c>
      <c r="H67" s="41">
        <v>0.1</v>
      </c>
      <c r="I67" s="53">
        <v>130</v>
      </c>
      <c r="J67" s="53">
        <v>660</v>
      </c>
      <c r="K67" s="43">
        <f t="shared" si="10"/>
        <v>726.00000000000011</v>
      </c>
      <c r="L67" s="43"/>
      <c r="M67" s="43">
        <f t="shared" si="11"/>
        <v>94380.000000000015</v>
      </c>
      <c r="N67" s="45"/>
      <c r="O67" s="10" t="str">
        <f t="shared" si="1"/>
        <v/>
      </c>
      <c r="P67" s="9" t="str">
        <f t="shared" si="2"/>
        <v/>
      </c>
      <c r="Q67" s="9" t="str">
        <f t="shared" si="3"/>
        <v/>
      </c>
      <c r="R67" s="9" t="str">
        <f t="shared" si="4"/>
        <v/>
      </c>
    </row>
    <row r="68" spans="2:18" x14ac:dyDescent="0.4">
      <c r="B68" s="40"/>
      <c r="C68" s="39" t="s">
        <v>184</v>
      </c>
      <c r="D68" s="40"/>
      <c r="E68" s="40" t="s">
        <v>377</v>
      </c>
      <c r="F68" s="51" t="s">
        <v>351</v>
      </c>
      <c r="G68" s="52">
        <v>4582399415789</v>
      </c>
      <c r="H68" s="41">
        <v>0.1</v>
      </c>
      <c r="I68" s="53">
        <v>600</v>
      </c>
      <c r="J68" s="53">
        <v>330</v>
      </c>
      <c r="K68" s="43">
        <f t="shared" si="10"/>
        <v>363.00000000000006</v>
      </c>
      <c r="L68" s="43"/>
      <c r="M68" s="43">
        <f t="shared" si="11"/>
        <v>217800.00000000003</v>
      </c>
      <c r="N68" s="45"/>
      <c r="O68" s="10" t="str">
        <f t="shared" si="1"/>
        <v/>
      </c>
      <c r="P68" s="9" t="str">
        <f t="shared" si="2"/>
        <v/>
      </c>
      <c r="Q68" s="9" t="str">
        <f t="shared" si="3"/>
        <v/>
      </c>
      <c r="R68" s="9" t="str">
        <f t="shared" si="4"/>
        <v/>
      </c>
    </row>
    <row r="69" spans="2:18" x14ac:dyDescent="0.4">
      <c r="B69" s="40"/>
      <c r="C69" s="39" t="s">
        <v>184</v>
      </c>
      <c r="D69" s="40"/>
      <c r="E69" s="40" t="s">
        <v>377</v>
      </c>
      <c r="F69" s="51" t="s">
        <v>352</v>
      </c>
      <c r="G69" s="52">
        <v>4582399415680</v>
      </c>
      <c r="H69" s="41">
        <v>0.1</v>
      </c>
      <c r="I69" s="53">
        <v>240</v>
      </c>
      <c r="J69" s="53">
        <v>250</v>
      </c>
      <c r="K69" s="43">
        <f t="shared" si="10"/>
        <v>275</v>
      </c>
      <c r="L69" s="43"/>
      <c r="M69" s="43">
        <f t="shared" si="11"/>
        <v>66000</v>
      </c>
      <c r="N69" s="45"/>
      <c r="O69" s="10" t="str">
        <f t="shared" ref="O69:O86" si="12">IF(N69="","",I69-N69)</f>
        <v/>
      </c>
      <c r="P69" s="9" t="str">
        <f t="shared" ref="P69:P86" si="13">IFERROR(O69*J69,"")</f>
        <v/>
      </c>
      <c r="Q69" s="9" t="str">
        <f t="shared" ref="Q69:Q86" si="14">IFERROR(P69*O69,"")</f>
        <v/>
      </c>
      <c r="R69" s="9" t="str">
        <f t="shared" ref="R69:R86" si="15">IFERROR(Q69-P69,"")</f>
        <v/>
      </c>
    </row>
    <row r="70" spans="2:18" x14ac:dyDescent="0.4">
      <c r="B70" s="40"/>
      <c r="C70" s="39" t="s">
        <v>184</v>
      </c>
      <c r="D70" s="40"/>
      <c r="E70" s="40" t="s">
        <v>377</v>
      </c>
      <c r="F70" s="51" t="s">
        <v>353</v>
      </c>
      <c r="G70" s="52">
        <v>4582399416007</v>
      </c>
      <c r="H70" s="41">
        <v>0.1</v>
      </c>
      <c r="I70" s="53">
        <v>600</v>
      </c>
      <c r="J70" s="53">
        <v>160</v>
      </c>
      <c r="K70" s="43">
        <f t="shared" si="10"/>
        <v>176</v>
      </c>
      <c r="L70" s="43"/>
      <c r="M70" s="43">
        <f t="shared" si="11"/>
        <v>105600</v>
      </c>
      <c r="N70" s="45"/>
      <c r="O70" s="10" t="str">
        <f t="shared" si="12"/>
        <v/>
      </c>
      <c r="P70" s="9" t="str">
        <f t="shared" si="13"/>
        <v/>
      </c>
      <c r="Q70" s="9" t="str">
        <f t="shared" si="14"/>
        <v/>
      </c>
      <c r="R70" s="9" t="str">
        <f t="shared" si="15"/>
        <v/>
      </c>
    </row>
    <row r="71" spans="2:18" x14ac:dyDescent="0.4">
      <c r="B71" s="40"/>
      <c r="C71" s="39" t="s">
        <v>184</v>
      </c>
      <c r="D71" s="40"/>
      <c r="E71" s="40" t="s">
        <v>377</v>
      </c>
      <c r="F71" s="51" t="s">
        <v>354</v>
      </c>
      <c r="G71" s="52">
        <v>4582399416014</v>
      </c>
      <c r="H71" s="41">
        <v>0.1</v>
      </c>
      <c r="I71" s="53">
        <v>600</v>
      </c>
      <c r="J71" s="53">
        <v>140</v>
      </c>
      <c r="K71" s="43">
        <f t="shared" si="10"/>
        <v>154</v>
      </c>
      <c r="L71" s="43"/>
      <c r="M71" s="43">
        <f t="shared" si="11"/>
        <v>92400</v>
      </c>
      <c r="N71" s="45"/>
      <c r="O71" s="10" t="str">
        <f t="shared" si="12"/>
        <v/>
      </c>
      <c r="P71" s="9" t="str">
        <f t="shared" si="13"/>
        <v/>
      </c>
      <c r="Q71" s="9" t="str">
        <f t="shared" si="14"/>
        <v/>
      </c>
      <c r="R71" s="9" t="str">
        <f t="shared" si="15"/>
        <v/>
      </c>
    </row>
    <row r="72" spans="2:18" x14ac:dyDescent="0.4">
      <c r="B72" s="40"/>
      <c r="C72" s="39" t="s">
        <v>184</v>
      </c>
      <c r="D72" s="40"/>
      <c r="E72" s="40" t="s">
        <v>377</v>
      </c>
      <c r="F72" s="51" t="s">
        <v>355</v>
      </c>
      <c r="G72" s="52">
        <v>4582399415147</v>
      </c>
      <c r="H72" s="41">
        <v>0.1</v>
      </c>
      <c r="I72" s="53">
        <v>240</v>
      </c>
      <c r="J72" s="53">
        <v>160</v>
      </c>
      <c r="K72" s="43">
        <f t="shared" si="10"/>
        <v>176</v>
      </c>
      <c r="L72" s="43"/>
      <c r="M72" s="43">
        <f t="shared" si="11"/>
        <v>42240</v>
      </c>
      <c r="N72" s="45"/>
      <c r="O72" s="10" t="str">
        <f t="shared" si="12"/>
        <v/>
      </c>
      <c r="P72" s="9" t="str">
        <f t="shared" si="13"/>
        <v/>
      </c>
      <c r="Q72" s="9" t="str">
        <f t="shared" si="14"/>
        <v/>
      </c>
      <c r="R72" s="9" t="str">
        <f t="shared" si="15"/>
        <v/>
      </c>
    </row>
    <row r="73" spans="2:18" x14ac:dyDescent="0.4">
      <c r="B73" s="40"/>
      <c r="C73" s="39" t="s">
        <v>184</v>
      </c>
      <c r="D73" s="40"/>
      <c r="E73" s="40" t="s">
        <v>377</v>
      </c>
      <c r="F73" s="51" t="s">
        <v>356</v>
      </c>
      <c r="G73" s="52">
        <v>4582399415154</v>
      </c>
      <c r="H73" s="41">
        <v>0.1</v>
      </c>
      <c r="I73" s="53">
        <v>240</v>
      </c>
      <c r="J73" s="53">
        <v>160</v>
      </c>
      <c r="K73" s="43">
        <f t="shared" si="10"/>
        <v>176</v>
      </c>
      <c r="L73" s="43"/>
      <c r="M73" s="43">
        <f t="shared" si="11"/>
        <v>42240</v>
      </c>
      <c r="N73" s="45"/>
      <c r="O73" s="10" t="str">
        <f t="shared" si="12"/>
        <v/>
      </c>
      <c r="P73" s="9" t="str">
        <f t="shared" si="13"/>
        <v/>
      </c>
      <c r="Q73" s="9" t="str">
        <f t="shared" si="14"/>
        <v/>
      </c>
      <c r="R73" s="9" t="str">
        <f t="shared" si="15"/>
        <v/>
      </c>
    </row>
    <row r="74" spans="2:18" x14ac:dyDescent="0.4">
      <c r="B74" s="40"/>
      <c r="C74" s="39" t="s">
        <v>184</v>
      </c>
      <c r="D74" s="40"/>
      <c r="E74" s="40" t="s">
        <v>377</v>
      </c>
      <c r="F74" s="51" t="s">
        <v>357</v>
      </c>
      <c r="G74" s="52">
        <v>4582399415161</v>
      </c>
      <c r="H74" s="41">
        <v>0.1</v>
      </c>
      <c r="I74" s="53">
        <v>240</v>
      </c>
      <c r="J74" s="53">
        <v>140</v>
      </c>
      <c r="K74" s="43">
        <f t="shared" si="10"/>
        <v>154</v>
      </c>
      <c r="L74" s="43"/>
      <c r="M74" s="43">
        <f t="shared" si="11"/>
        <v>36960</v>
      </c>
      <c r="N74" s="45"/>
      <c r="O74" s="10" t="str">
        <f t="shared" si="12"/>
        <v/>
      </c>
      <c r="P74" s="9" t="str">
        <f t="shared" si="13"/>
        <v/>
      </c>
      <c r="Q74" s="9" t="str">
        <f t="shared" si="14"/>
        <v/>
      </c>
      <c r="R74" s="9" t="str">
        <f t="shared" si="15"/>
        <v/>
      </c>
    </row>
    <row r="75" spans="2:18" x14ac:dyDescent="0.4">
      <c r="B75" s="40"/>
      <c r="C75" s="39" t="s">
        <v>184</v>
      </c>
      <c r="D75" s="40"/>
      <c r="E75" s="40" t="s">
        <v>377</v>
      </c>
      <c r="F75" s="51" t="s">
        <v>358</v>
      </c>
      <c r="G75" s="52">
        <v>4582399415338</v>
      </c>
      <c r="H75" s="41">
        <v>0.1</v>
      </c>
      <c r="I75" s="53">
        <v>240</v>
      </c>
      <c r="J75" s="53">
        <v>190</v>
      </c>
      <c r="K75" s="43">
        <f t="shared" si="10"/>
        <v>209.00000000000003</v>
      </c>
      <c r="L75" s="43"/>
      <c r="M75" s="43">
        <f t="shared" si="11"/>
        <v>50160.000000000007</v>
      </c>
      <c r="N75" s="45"/>
      <c r="O75" s="10" t="str">
        <f t="shared" si="12"/>
        <v/>
      </c>
      <c r="P75" s="9" t="str">
        <f t="shared" si="13"/>
        <v/>
      </c>
      <c r="Q75" s="9" t="str">
        <f t="shared" si="14"/>
        <v/>
      </c>
      <c r="R75" s="9" t="str">
        <f t="shared" si="15"/>
        <v/>
      </c>
    </row>
    <row r="76" spans="2:18" x14ac:dyDescent="0.4">
      <c r="B76" s="40"/>
      <c r="C76" s="39" t="s">
        <v>184</v>
      </c>
      <c r="D76" s="40"/>
      <c r="E76" s="40" t="s">
        <v>377</v>
      </c>
      <c r="F76" s="51" t="s">
        <v>359</v>
      </c>
      <c r="G76" s="52">
        <v>4582399415345</v>
      </c>
      <c r="H76" s="41">
        <v>0.1</v>
      </c>
      <c r="I76" s="53">
        <v>360</v>
      </c>
      <c r="J76" s="53">
        <v>180</v>
      </c>
      <c r="K76" s="43">
        <f t="shared" si="10"/>
        <v>198.00000000000003</v>
      </c>
      <c r="L76" s="43"/>
      <c r="M76" s="43">
        <f t="shared" si="11"/>
        <v>71280.000000000015</v>
      </c>
      <c r="N76" s="45"/>
      <c r="O76" s="10" t="str">
        <f t="shared" si="12"/>
        <v/>
      </c>
      <c r="P76" s="9" t="str">
        <f t="shared" si="13"/>
        <v/>
      </c>
      <c r="Q76" s="9" t="str">
        <f t="shared" si="14"/>
        <v/>
      </c>
      <c r="R76" s="9" t="str">
        <f t="shared" si="15"/>
        <v/>
      </c>
    </row>
    <row r="77" spans="2:18" x14ac:dyDescent="0.4">
      <c r="B77" s="40"/>
      <c r="C77" s="39" t="s">
        <v>184</v>
      </c>
      <c r="D77" s="40"/>
      <c r="E77" s="40" t="s">
        <v>377</v>
      </c>
      <c r="F77" s="51" t="s">
        <v>360</v>
      </c>
      <c r="G77" s="52">
        <v>4582399411903</v>
      </c>
      <c r="H77" s="41">
        <v>0.1</v>
      </c>
      <c r="I77" s="53">
        <v>300</v>
      </c>
      <c r="J77" s="53">
        <v>180</v>
      </c>
      <c r="K77" s="43">
        <f t="shared" si="10"/>
        <v>198.00000000000003</v>
      </c>
      <c r="L77" s="43"/>
      <c r="M77" s="43">
        <f t="shared" si="11"/>
        <v>59400.000000000007</v>
      </c>
      <c r="N77" s="45"/>
      <c r="O77" s="10" t="str">
        <f t="shared" si="12"/>
        <v/>
      </c>
      <c r="P77" s="9" t="str">
        <f t="shared" si="13"/>
        <v/>
      </c>
      <c r="Q77" s="9" t="str">
        <f t="shared" si="14"/>
        <v/>
      </c>
      <c r="R77" s="9" t="str">
        <f t="shared" si="15"/>
        <v/>
      </c>
    </row>
    <row r="78" spans="2:18" x14ac:dyDescent="0.4">
      <c r="B78" s="40"/>
      <c r="C78" s="39" t="s">
        <v>184</v>
      </c>
      <c r="D78" s="40"/>
      <c r="E78" s="40" t="s">
        <v>377</v>
      </c>
      <c r="F78" s="51" t="s">
        <v>361</v>
      </c>
      <c r="G78" s="52">
        <v>4582399413747</v>
      </c>
      <c r="H78" s="41">
        <v>0.1</v>
      </c>
      <c r="I78" s="53">
        <v>180</v>
      </c>
      <c r="J78" s="53">
        <v>125</v>
      </c>
      <c r="K78" s="43">
        <f t="shared" si="10"/>
        <v>137.5</v>
      </c>
      <c r="L78" s="43"/>
      <c r="M78" s="43">
        <f t="shared" si="11"/>
        <v>24750</v>
      </c>
      <c r="N78" s="45"/>
      <c r="O78" s="10" t="str">
        <f t="shared" si="12"/>
        <v/>
      </c>
      <c r="P78" s="9" t="str">
        <f t="shared" si="13"/>
        <v/>
      </c>
      <c r="Q78" s="9" t="str">
        <f t="shared" si="14"/>
        <v/>
      </c>
      <c r="R78" s="9" t="str">
        <f t="shared" si="15"/>
        <v/>
      </c>
    </row>
    <row r="79" spans="2:18" x14ac:dyDescent="0.4">
      <c r="B79" s="40"/>
      <c r="C79" s="39" t="s">
        <v>184</v>
      </c>
      <c r="D79" s="40"/>
      <c r="E79" s="40" t="s">
        <v>377</v>
      </c>
      <c r="F79" s="51" t="s">
        <v>362</v>
      </c>
      <c r="G79" s="52">
        <v>4582399413761</v>
      </c>
      <c r="H79" s="41">
        <v>0.1</v>
      </c>
      <c r="I79" s="53">
        <v>300</v>
      </c>
      <c r="J79" s="53">
        <v>180</v>
      </c>
      <c r="K79" s="43">
        <f t="shared" si="10"/>
        <v>198.00000000000003</v>
      </c>
      <c r="L79" s="43"/>
      <c r="M79" s="43">
        <f t="shared" si="11"/>
        <v>59400.000000000007</v>
      </c>
      <c r="N79" s="45"/>
      <c r="O79" s="10" t="str">
        <f t="shared" si="12"/>
        <v/>
      </c>
      <c r="P79" s="9" t="str">
        <f t="shared" si="13"/>
        <v/>
      </c>
      <c r="Q79" s="9" t="str">
        <f t="shared" si="14"/>
        <v/>
      </c>
      <c r="R79" s="9" t="str">
        <f t="shared" si="15"/>
        <v/>
      </c>
    </row>
    <row r="80" spans="2:18" x14ac:dyDescent="0.4">
      <c r="B80" s="40"/>
      <c r="C80" s="39" t="s">
        <v>184</v>
      </c>
      <c r="D80" s="40"/>
      <c r="E80" s="40" t="s">
        <v>377</v>
      </c>
      <c r="F80" s="51" t="s">
        <v>363</v>
      </c>
      <c r="G80" s="52">
        <v>4582399415116</v>
      </c>
      <c r="H80" s="41">
        <v>0.1</v>
      </c>
      <c r="I80" s="53">
        <v>500</v>
      </c>
      <c r="J80" s="53">
        <v>210</v>
      </c>
      <c r="K80" s="43">
        <f t="shared" si="10"/>
        <v>231.00000000000003</v>
      </c>
      <c r="L80" s="43"/>
      <c r="M80" s="43">
        <f t="shared" si="11"/>
        <v>115500.00000000001</v>
      </c>
      <c r="N80" s="45"/>
      <c r="O80" s="10" t="str">
        <f t="shared" si="12"/>
        <v/>
      </c>
      <c r="P80" s="9" t="str">
        <f t="shared" si="13"/>
        <v/>
      </c>
      <c r="Q80" s="9" t="str">
        <f t="shared" si="14"/>
        <v/>
      </c>
      <c r="R80" s="9" t="str">
        <f t="shared" si="15"/>
        <v/>
      </c>
    </row>
    <row r="81" spans="2:18" x14ac:dyDescent="0.4">
      <c r="B81" s="40"/>
      <c r="C81" s="39" t="s">
        <v>184</v>
      </c>
      <c r="D81" s="40"/>
      <c r="E81" s="40" t="s">
        <v>377</v>
      </c>
      <c r="F81" s="51" t="s">
        <v>364</v>
      </c>
      <c r="G81" s="52">
        <v>4582399415185</v>
      </c>
      <c r="H81" s="41">
        <v>0.1</v>
      </c>
      <c r="I81" s="53">
        <v>500</v>
      </c>
      <c r="J81" s="53">
        <v>260</v>
      </c>
      <c r="K81" s="43">
        <f t="shared" si="10"/>
        <v>286</v>
      </c>
      <c r="L81" s="43"/>
      <c r="M81" s="43">
        <f t="shared" si="11"/>
        <v>143000</v>
      </c>
      <c r="N81" s="45"/>
      <c r="O81" s="10" t="str">
        <f t="shared" si="12"/>
        <v/>
      </c>
      <c r="P81" s="9" t="str">
        <f t="shared" si="13"/>
        <v/>
      </c>
      <c r="Q81" s="9" t="str">
        <f t="shared" si="14"/>
        <v/>
      </c>
      <c r="R81" s="9" t="str">
        <f t="shared" si="15"/>
        <v/>
      </c>
    </row>
    <row r="82" spans="2:18" x14ac:dyDescent="0.4">
      <c r="B82" s="40"/>
      <c r="C82" s="39" t="s">
        <v>184</v>
      </c>
      <c r="D82" s="40"/>
      <c r="E82" s="40" t="s">
        <v>377</v>
      </c>
      <c r="F82" s="51" t="s">
        <v>365</v>
      </c>
      <c r="G82" s="52">
        <v>4582399415635</v>
      </c>
      <c r="H82" s="41">
        <v>0.1</v>
      </c>
      <c r="I82" s="53">
        <v>500</v>
      </c>
      <c r="J82" s="53">
        <v>410</v>
      </c>
      <c r="K82" s="43">
        <f t="shared" si="10"/>
        <v>451.00000000000006</v>
      </c>
      <c r="L82" s="43"/>
      <c r="M82" s="43">
        <f t="shared" si="11"/>
        <v>225500.00000000003</v>
      </c>
      <c r="N82" s="45"/>
      <c r="O82" s="10" t="str">
        <f t="shared" si="12"/>
        <v/>
      </c>
      <c r="P82" s="9" t="str">
        <f t="shared" si="13"/>
        <v/>
      </c>
      <c r="Q82" s="9" t="str">
        <f t="shared" si="14"/>
        <v/>
      </c>
      <c r="R82" s="9" t="str">
        <f t="shared" si="15"/>
        <v/>
      </c>
    </row>
    <row r="83" spans="2:18" x14ac:dyDescent="0.4">
      <c r="B83" s="40"/>
      <c r="C83" s="39" t="s">
        <v>184</v>
      </c>
      <c r="D83" s="40"/>
      <c r="E83" s="40" t="s">
        <v>377</v>
      </c>
      <c r="F83" s="51" t="s">
        <v>366</v>
      </c>
      <c r="G83" s="52">
        <v>4582399415123</v>
      </c>
      <c r="H83" s="41">
        <v>0.1</v>
      </c>
      <c r="I83" s="53">
        <v>290</v>
      </c>
      <c r="J83" s="53">
        <v>270</v>
      </c>
      <c r="K83" s="43">
        <f t="shared" si="10"/>
        <v>297</v>
      </c>
      <c r="L83" s="43"/>
      <c r="M83" s="43">
        <f t="shared" si="11"/>
        <v>86130</v>
      </c>
      <c r="N83" s="45"/>
      <c r="O83" s="10" t="str">
        <f t="shared" si="12"/>
        <v/>
      </c>
      <c r="P83" s="9" t="str">
        <f t="shared" si="13"/>
        <v/>
      </c>
      <c r="Q83" s="9" t="str">
        <f t="shared" si="14"/>
        <v/>
      </c>
      <c r="R83" s="9" t="str">
        <f t="shared" si="15"/>
        <v/>
      </c>
    </row>
    <row r="84" spans="2:18" x14ac:dyDescent="0.4">
      <c r="B84" s="40"/>
      <c r="C84" s="39" t="s">
        <v>184</v>
      </c>
      <c r="D84" s="40"/>
      <c r="E84" s="40" t="s">
        <v>377</v>
      </c>
      <c r="F84" s="51" t="s">
        <v>367</v>
      </c>
      <c r="G84" s="52">
        <v>4582399414447</v>
      </c>
      <c r="H84" s="41">
        <v>0.1</v>
      </c>
      <c r="I84" s="53">
        <v>300</v>
      </c>
      <c r="J84" s="53">
        <v>110</v>
      </c>
      <c r="K84" s="43">
        <f t="shared" si="10"/>
        <v>121.00000000000001</v>
      </c>
      <c r="L84" s="43"/>
      <c r="M84" s="43">
        <f t="shared" si="11"/>
        <v>36300.000000000007</v>
      </c>
      <c r="N84" s="45"/>
      <c r="O84" s="10" t="str">
        <f t="shared" si="12"/>
        <v/>
      </c>
      <c r="P84" s="9" t="str">
        <f t="shared" si="13"/>
        <v/>
      </c>
      <c r="Q84" s="9" t="str">
        <f t="shared" si="14"/>
        <v/>
      </c>
      <c r="R84" s="9" t="str">
        <f t="shared" si="15"/>
        <v/>
      </c>
    </row>
    <row r="85" spans="2:18" x14ac:dyDescent="0.4">
      <c r="B85" s="40"/>
      <c r="C85" s="39" t="s">
        <v>184</v>
      </c>
      <c r="D85" s="40"/>
      <c r="E85" s="40" t="s">
        <v>377</v>
      </c>
      <c r="F85" s="51" t="s">
        <v>368</v>
      </c>
      <c r="G85" s="52">
        <v>4582399414621</v>
      </c>
      <c r="H85" s="41">
        <v>0.1</v>
      </c>
      <c r="I85" s="53">
        <v>500</v>
      </c>
      <c r="J85" s="53">
        <v>200</v>
      </c>
      <c r="K85" s="43">
        <f t="shared" si="10"/>
        <v>220.00000000000003</v>
      </c>
      <c r="L85" s="43"/>
      <c r="M85" s="43">
        <f t="shared" si="11"/>
        <v>110000.00000000001</v>
      </c>
      <c r="N85" s="45"/>
      <c r="O85" s="10" t="str">
        <f t="shared" si="12"/>
        <v/>
      </c>
      <c r="P85" s="9" t="str">
        <f t="shared" si="13"/>
        <v/>
      </c>
      <c r="Q85" s="9" t="str">
        <f t="shared" si="14"/>
        <v/>
      </c>
      <c r="R85" s="9" t="str">
        <f t="shared" si="15"/>
        <v/>
      </c>
    </row>
    <row r="86" spans="2:18" x14ac:dyDescent="0.4">
      <c r="B86" s="40"/>
      <c r="C86" s="39" t="s">
        <v>184</v>
      </c>
      <c r="D86" s="40"/>
      <c r="E86" s="40" t="s">
        <v>377</v>
      </c>
      <c r="F86" s="51" t="s">
        <v>369</v>
      </c>
      <c r="G86" s="54">
        <v>4582399414577</v>
      </c>
      <c r="H86" s="41">
        <v>0.1</v>
      </c>
      <c r="I86" s="53">
        <v>500</v>
      </c>
      <c r="J86" s="53">
        <v>200</v>
      </c>
      <c r="K86" s="43">
        <f t="shared" si="10"/>
        <v>220.00000000000003</v>
      </c>
      <c r="L86" s="43"/>
      <c r="M86" s="43">
        <f t="shared" si="11"/>
        <v>110000.00000000001</v>
      </c>
      <c r="N86" s="55"/>
      <c r="O86" s="37" t="str">
        <f t="shared" si="12"/>
        <v/>
      </c>
      <c r="P86" s="38" t="str">
        <f t="shared" si="13"/>
        <v/>
      </c>
      <c r="Q86" s="38" t="str">
        <f t="shared" si="14"/>
        <v/>
      </c>
      <c r="R86" s="38" t="str">
        <f t="shared" si="15"/>
        <v/>
      </c>
    </row>
    <row r="87" spans="2:18" x14ac:dyDescent="0.4">
      <c r="B87" s="40"/>
      <c r="C87" s="39" t="s">
        <v>184</v>
      </c>
      <c r="D87" s="40"/>
      <c r="E87" s="40" t="s">
        <v>377</v>
      </c>
      <c r="F87" s="51" t="s">
        <v>370</v>
      </c>
      <c r="G87" s="54">
        <v>4582399414751</v>
      </c>
      <c r="H87" s="41">
        <v>0.1</v>
      </c>
      <c r="I87" s="53">
        <v>500</v>
      </c>
      <c r="J87" s="53">
        <v>230</v>
      </c>
      <c r="K87" s="43">
        <f t="shared" si="10"/>
        <v>253.00000000000003</v>
      </c>
      <c r="L87" s="43"/>
      <c r="M87" s="43">
        <f t="shared" si="11"/>
        <v>126500.00000000001</v>
      </c>
      <c r="N87" s="42"/>
      <c r="O87" s="42"/>
      <c r="P87" s="43"/>
      <c r="Q87" s="43"/>
      <c r="R87" s="43"/>
    </row>
    <row r="88" spans="2:18" x14ac:dyDescent="0.4">
      <c r="B88" s="40"/>
      <c r="C88" s="39" t="s">
        <v>184</v>
      </c>
      <c r="D88" s="40"/>
      <c r="E88" s="40" t="s">
        <v>377</v>
      </c>
      <c r="F88" s="51" t="s">
        <v>371</v>
      </c>
      <c r="G88" s="52">
        <v>4582399414577</v>
      </c>
      <c r="H88" s="41">
        <v>0.1</v>
      </c>
      <c r="I88" s="53">
        <v>500</v>
      </c>
      <c r="J88" s="53">
        <v>180</v>
      </c>
      <c r="K88" s="43">
        <f t="shared" si="10"/>
        <v>198.00000000000003</v>
      </c>
      <c r="L88" s="43"/>
      <c r="M88" s="43">
        <f t="shared" si="11"/>
        <v>99000.000000000015</v>
      </c>
      <c r="N88" s="42"/>
      <c r="O88" s="42"/>
      <c r="P88" s="43"/>
      <c r="Q88" s="43"/>
      <c r="R88" s="43"/>
    </row>
    <row r="89" spans="2:18" x14ac:dyDescent="0.4">
      <c r="B89" s="40"/>
      <c r="C89" s="39" t="s">
        <v>184</v>
      </c>
      <c r="D89" s="40"/>
      <c r="E89" s="40" t="s">
        <v>377</v>
      </c>
      <c r="F89" s="51" t="s">
        <v>372</v>
      </c>
      <c r="G89" s="52">
        <v>4582399414751</v>
      </c>
      <c r="H89" s="41">
        <v>0.1</v>
      </c>
      <c r="I89" s="53">
        <v>500</v>
      </c>
      <c r="J89" s="53">
        <v>250</v>
      </c>
      <c r="K89" s="43">
        <f t="shared" si="10"/>
        <v>275</v>
      </c>
      <c r="L89" s="43"/>
      <c r="M89" s="43">
        <f t="shared" si="11"/>
        <v>137500</v>
      </c>
      <c r="N89" s="42"/>
      <c r="O89" s="42"/>
      <c r="P89" s="43"/>
      <c r="Q89" s="43"/>
      <c r="R89" s="43"/>
    </row>
    <row r="90" spans="2:18" x14ac:dyDescent="0.4">
      <c r="B90" s="40"/>
      <c r="C90" s="39" t="s">
        <v>184</v>
      </c>
      <c r="D90" s="40"/>
      <c r="E90" s="40" t="s">
        <v>377</v>
      </c>
      <c r="F90" s="51" t="s">
        <v>373</v>
      </c>
      <c r="G90" s="52">
        <v>4582399414638</v>
      </c>
      <c r="H90" s="41">
        <v>0.1</v>
      </c>
      <c r="I90" s="53">
        <v>400</v>
      </c>
      <c r="J90" s="53">
        <v>170</v>
      </c>
      <c r="K90" s="43">
        <f t="shared" si="10"/>
        <v>187.00000000000003</v>
      </c>
      <c r="L90" s="43"/>
      <c r="M90" s="43">
        <f t="shared" si="11"/>
        <v>74800.000000000015</v>
      </c>
      <c r="N90" s="42"/>
      <c r="O90" s="42"/>
      <c r="P90" s="43"/>
      <c r="Q90" s="43"/>
      <c r="R90" s="43"/>
    </row>
    <row r="91" spans="2:18" x14ac:dyDescent="0.4">
      <c r="B91" s="40"/>
      <c r="C91" s="39" t="s">
        <v>184</v>
      </c>
      <c r="D91" s="40"/>
      <c r="E91" s="40" t="s">
        <v>377</v>
      </c>
      <c r="F91" s="51" t="s">
        <v>374</v>
      </c>
      <c r="G91" s="52">
        <v>4582399414799</v>
      </c>
      <c r="H91" s="41">
        <v>0.1</v>
      </c>
      <c r="I91" s="53">
        <v>500</v>
      </c>
      <c r="J91" s="53">
        <v>210</v>
      </c>
      <c r="K91" s="43">
        <f t="shared" si="10"/>
        <v>231.00000000000003</v>
      </c>
      <c r="L91" s="43"/>
      <c r="M91" s="43">
        <f t="shared" si="11"/>
        <v>115500.00000000001</v>
      </c>
      <c r="N91" s="42"/>
      <c r="O91" s="42"/>
      <c r="P91" s="43"/>
      <c r="Q91" s="43"/>
      <c r="R91" s="43"/>
    </row>
    <row r="92" spans="2:18" x14ac:dyDescent="0.4">
      <c r="B92" s="40"/>
      <c r="C92" s="39" t="s">
        <v>184</v>
      </c>
      <c r="D92" s="40"/>
      <c r="E92" s="40" t="s">
        <v>377</v>
      </c>
      <c r="F92" s="51" t="s">
        <v>375</v>
      </c>
      <c r="G92" s="52">
        <v>4582399414812</v>
      </c>
      <c r="H92" s="41">
        <v>0.1</v>
      </c>
      <c r="I92" s="53">
        <v>300</v>
      </c>
      <c r="J92" s="53">
        <v>210</v>
      </c>
      <c r="K92" s="43">
        <f t="shared" si="10"/>
        <v>231.00000000000003</v>
      </c>
      <c r="L92" s="43"/>
      <c r="M92" s="43">
        <f t="shared" si="11"/>
        <v>69300.000000000015</v>
      </c>
      <c r="N92" s="42"/>
      <c r="O92" s="42"/>
      <c r="P92" s="43"/>
      <c r="Q92" s="43"/>
      <c r="R92" s="43"/>
    </row>
    <row r="93" spans="2:18" x14ac:dyDescent="0.4">
      <c r="B93" s="40"/>
      <c r="C93" s="39" t="s">
        <v>184</v>
      </c>
      <c r="D93" s="40"/>
      <c r="E93" s="40" t="s">
        <v>377</v>
      </c>
      <c r="F93" s="51" t="s">
        <v>376</v>
      </c>
      <c r="G93" s="52">
        <v>4582399413419</v>
      </c>
      <c r="H93" s="41">
        <v>0.1</v>
      </c>
      <c r="I93" s="53">
        <v>500</v>
      </c>
      <c r="J93" s="53">
        <v>90</v>
      </c>
      <c r="K93" s="43">
        <f t="shared" si="10"/>
        <v>99.000000000000014</v>
      </c>
      <c r="L93" s="43"/>
      <c r="M93" s="43">
        <f t="shared" si="11"/>
        <v>49500.000000000007</v>
      </c>
      <c r="N93" s="42"/>
      <c r="O93" s="42"/>
      <c r="P93" s="43"/>
      <c r="Q93" s="43"/>
      <c r="R93" s="43"/>
    </row>
  </sheetData>
  <mergeCells count="1">
    <mergeCell ref="C41:C43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4B7E-1BEE-44E1-9A48-746C8D87D975}">
  <dimension ref="B2:R74"/>
  <sheetViews>
    <sheetView zoomScale="85" zoomScaleNormal="85" workbookViewId="0">
      <selection activeCell="C29" sqref="C29"/>
    </sheetView>
  </sheetViews>
  <sheetFormatPr defaultColWidth="9" defaultRowHeight="15.75" x14ac:dyDescent="0.4"/>
  <cols>
    <col min="1" max="2" width="9" style="1"/>
    <col min="3" max="3" width="11.625" style="1" customWidth="1"/>
    <col min="4" max="4" width="33.875" style="1" customWidth="1"/>
    <col min="5" max="5" width="26.875" style="1" customWidth="1"/>
    <col min="6" max="6" width="62.625" style="1" bestFit="1" customWidth="1"/>
    <col min="7" max="7" width="25.5" style="20" customWidth="1"/>
    <col min="8" max="8" width="7.375" style="1" bestFit="1" customWidth="1"/>
    <col min="9" max="9" width="10.625" style="4" customWidth="1"/>
    <col min="10" max="11" width="10.875" style="3" customWidth="1"/>
    <col min="12" max="13" width="10.25" style="3" customWidth="1"/>
    <col min="14" max="14" width="13.75" style="4" customWidth="1"/>
    <col min="15" max="15" width="9" style="4"/>
    <col min="16" max="17" width="13.875" style="3" customWidth="1"/>
    <col min="18" max="18" width="12.625" style="3" customWidth="1"/>
    <col min="19" max="16384" width="9" style="1"/>
  </cols>
  <sheetData>
    <row r="2" spans="2:18" ht="33" customHeight="1" x14ac:dyDescent="0.4">
      <c r="B2" s="14" t="s">
        <v>22</v>
      </c>
    </row>
    <row r="4" spans="2:18" s="2" customFormat="1" ht="31.5" x14ac:dyDescent="0.4">
      <c r="B4" s="5" t="s">
        <v>6</v>
      </c>
      <c r="C4" s="5" t="s">
        <v>95</v>
      </c>
      <c r="D4" s="5" t="s">
        <v>139</v>
      </c>
      <c r="E4" s="5" t="s">
        <v>1</v>
      </c>
      <c r="F4" s="5" t="s">
        <v>2</v>
      </c>
      <c r="G4" s="19" t="s">
        <v>7</v>
      </c>
      <c r="H4" s="5" t="s">
        <v>27</v>
      </c>
      <c r="I4" s="11" t="s">
        <v>5</v>
      </c>
      <c r="J4" s="12" t="s">
        <v>25</v>
      </c>
      <c r="K4" s="12" t="s">
        <v>26</v>
      </c>
      <c r="L4" s="6" t="s">
        <v>4</v>
      </c>
      <c r="M4" s="12" t="s">
        <v>28</v>
      </c>
      <c r="N4" s="7" t="s">
        <v>8</v>
      </c>
      <c r="O4" s="7" t="s">
        <v>9</v>
      </c>
      <c r="P4" s="6" t="s">
        <v>11</v>
      </c>
      <c r="Q4" s="6" t="s">
        <v>10</v>
      </c>
      <c r="R4" s="6" t="s">
        <v>12</v>
      </c>
    </row>
    <row r="5" spans="2:18" x14ac:dyDescent="0.4">
      <c r="B5" s="8"/>
      <c r="C5" s="8"/>
      <c r="D5" s="8"/>
      <c r="E5" s="8" t="s">
        <v>23</v>
      </c>
      <c r="F5" s="8" t="s">
        <v>24</v>
      </c>
      <c r="G5" s="19" t="s">
        <v>92</v>
      </c>
      <c r="H5" s="13">
        <v>0.08</v>
      </c>
      <c r="I5" s="10">
        <v>120</v>
      </c>
      <c r="J5" s="9">
        <v>145</v>
      </c>
      <c r="K5" s="9">
        <f>J5*108%</f>
        <v>156.60000000000002</v>
      </c>
      <c r="L5" s="9"/>
      <c r="M5" s="9">
        <f>K5*I5</f>
        <v>18792.000000000004</v>
      </c>
      <c r="N5" s="10"/>
      <c r="O5" s="10" t="str">
        <f>IF(N5="","",I5-N5)</f>
        <v/>
      </c>
      <c r="P5" s="9" t="str">
        <f>IFERROR(O5*J5,"")</f>
        <v/>
      </c>
      <c r="Q5" s="9" t="str">
        <f>IFERROR(P5*O5,"")</f>
        <v/>
      </c>
      <c r="R5" s="9" t="str">
        <f>IFERROR(Q5-P5,"")</f>
        <v/>
      </c>
    </row>
    <row r="6" spans="2:18" x14ac:dyDescent="0.4">
      <c r="B6" s="8"/>
      <c r="C6" s="8"/>
      <c r="D6" s="8"/>
      <c r="E6" s="8" t="s">
        <v>23</v>
      </c>
      <c r="F6" s="8" t="s">
        <v>30</v>
      </c>
      <c r="G6" s="19" t="s">
        <v>93</v>
      </c>
      <c r="H6" s="13">
        <v>0.1</v>
      </c>
      <c r="I6" s="10">
        <v>80</v>
      </c>
      <c r="J6" s="9">
        <v>180</v>
      </c>
      <c r="K6" s="9">
        <f>J6*110%</f>
        <v>198.00000000000003</v>
      </c>
      <c r="L6" s="9"/>
      <c r="M6" s="9">
        <f t="shared" ref="M6:M26" si="0">K6*I6</f>
        <v>15840.000000000002</v>
      </c>
      <c r="N6" s="10"/>
      <c r="O6" s="10" t="str">
        <f t="shared" ref="O6:O56" si="1">IF(N6="","",I6-N6)</f>
        <v/>
      </c>
      <c r="P6" s="9" t="str">
        <f t="shared" ref="P6:P56" si="2">IFERROR(O6*J6,"")</f>
        <v/>
      </c>
      <c r="Q6" s="9" t="str">
        <f t="shared" ref="Q6:Q56" si="3">IFERROR(P6*O6,"")</f>
        <v/>
      </c>
      <c r="R6" s="9" t="str">
        <f t="shared" ref="R6:R56" si="4">IFERROR(Q6-P6,"")</f>
        <v/>
      </c>
    </row>
    <row r="7" spans="2:18" x14ac:dyDescent="0.4">
      <c r="B7" s="8"/>
      <c r="C7" s="8"/>
      <c r="D7" s="8"/>
      <c r="E7" s="8" t="s">
        <v>23</v>
      </c>
      <c r="F7" s="8" t="s">
        <v>29</v>
      </c>
      <c r="G7" s="19"/>
      <c r="H7" s="13">
        <v>0.1</v>
      </c>
      <c r="I7" s="8">
        <v>100</v>
      </c>
      <c r="J7" s="9">
        <v>68</v>
      </c>
      <c r="K7" s="9">
        <f>J7*110%</f>
        <v>74.800000000000011</v>
      </c>
      <c r="L7" s="9"/>
      <c r="M7" s="9">
        <f t="shared" si="0"/>
        <v>7480.0000000000009</v>
      </c>
      <c r="N7" s="10"/>
      <c r="O7" s="10" t="str">
        <f t="shared" si="1"/>
        <v/>
      </c>
      <c r="P7" s="9" t="str">
        <f t="shared" si="2"/>
        <v/>
      </c>
      <c r="Q7" s="9" t="str">
        <f t="shared" si="3"/>
        <v/>
      </c>
      <c r="R7" s="9" t="str">
        <f t="shared" si="4"/>
        <v/>
      </c>
    </row>
    <row r="8" spans="2:18" x14ac:dyDescent="0.4">
      <c r="B8" s="8"/>
      <c r="C8" s="8"/>
      <c r="D8" s="8"/>
      <c r="E8" s="8" t="s">
        <v>23</v>
      </c>
      <c r="F8" s="8" t="s">
        <v>31</v>
      </c>
      <c r="G8" s="19" t="s">
        <v>94</v>
      </c>
      <c r="H8" s="13">
        <v>0.08</v>
      </c>
      <c r="I8" s="10">
        <v>500</v>
      </c>
      <c r="J8" s="9">
        <v>180</v>
      </c>
      <c r="K8" s="9">
        <f>J8*108%</f>
        <v>194.4</v>
      </c>
      <c r="L8" s="9"/>
      <c r="M8" s="9">
        <f t="shared" si="0"/>
        <v>97200</v>
      </c>
      <c r="N8" s="10"/>
      <c r="O8" s="10" t="str">
        <f t="shared" si="1"/>
        <v/>
      </c>
      <c r="P8" s="9" t="str">
        <f t="shared" si="2"/>
        <v/>
      </c>
      <c r="Q8" s="9" t="str">
        <f t="shared" si="3"/>
        <v/>
      </c>
      <c r="R8" s="9" t="str">
        <f t="shared" si="4"/>
        <v/>
      </c>
    </row>
    <row r="9" spans="2:18" x14ac:dyDescent="0.4">
      <c r="B9" s="8"/>
      <c r="C9" s="8" t="s">
        <v>96</v>
      </c>
      <c r="D9" s="8"/>
      <c r="E9" s="8" t="s">
        <v>302</v>
      </c>
      <c r="F9" s="17" t="s">
        <v>140</v>
      </c>
      <c r="G9" s="19"/>
      <c r="H9" s="13">
        <v>0.1</v>
      </c>
      <c r="I9" s="10">
        <v>60</v>
      </c>
      <c r="J9" s="9">
        <v>450</v>
      </c>
      <c r="K9" s="9">
        <f>J9*110%</f>
        <v>495.00000000000006</v>
      </c>
      <c r="L9" s="9"/>
      <c r="M9" s="9">
        <f t="shared" si="0"/>
        <v>29700.000000000004</v>
      </c>
      <c r="N9" s="10"/>
      <c r="O9" s="10" t="str">
        <f t="shared" si="1"/>
        <v/>
      </c>
      <c r="P9" s="9" t="str">
        <f t="shared" si="2"/>
        <v/>
      </c>
      <c r="Q9" s="9" t="str">
        <f t="shared" si="3"/>
        <v/>
      </c>
      <c r="R9" s="9" t="str">
        <f t="shared" si="4"/>
        <v/>
      </c>
    </row>
    <row r="10" spans="2:18" x14ac:dyDescent="0.4">
      <c r="B10" s="8"/>
      <c r="C10" s="8" t="s">
        <v>96</v>
      </c>
      <c r="D10" s="8"/>
      <c r="E10" s="8" t="s">
        <v>302</v>
      </c>
      <c r="F10" s="17" t="s">
        <v>141</v>
      </c>
      <c r="G10" s="19"/>
      <c r="H10" s="13">
        <v>0.1</v>
      </c>
      <c r="I10" s="10">
        <v>30</v>
      </c>
      <c r="J10" s="9">
        <v>450</v>
      </c>
      <c r="K10" s="9">
        <f t="shared" ref="K10:K26" si="5">J10*110%</f>
        <v>495.00000000000006</v>
      </c>
      <c r="L10" s="9"/>
      <c r="M10" s="9">
        <f t="shared" si="0"/>
        <v>14850.000000000002</v>
      </c>
      <c r="N10" s="10"/>
      <c r="O10" s="10" t="str">
        <f t="shared" si="1"/>
        <v/>
      </c>
      <c r="P10" s="9" t="str">
        <f t="shared" si="2"/>
        <v/>
      </c>
      <c r="Q10" s="9" t="str">
        <f t="shared" si="3"/>
        <v/>
      </c>
      <c r="R10" s="9" t="str">
        <f t="shared" si="4"/>
        <v/>
      </c>
    </row>
    <row r="11" spans="2:18" x14ac:dyDescent="0.4">
      <c r="B11" s="8"/>
      <c r="C11" s="8" t="s">
        <v>96</v>
      </c>
      <c r="D11" s="8"/>
      <c r="E11" s="8" t="s">
        <v>302</v>
      </c>
      <c r="F11" s="17" t="s">
        <v>142</v>
      </c>
      <c r="G11" s="19"/>
      <c r="H11" s="13">
        <v>0.1</v>
      </c>
      <c r="I11" s="10">
        <v>60</v>
      </c>
      <c r="J11" s="9">
        <v>450</v>
      </c>
      <c r="K11" s="9">
        <f t="shared" si="5"/>
        <v>495.00000000000006</v>
      </c>
      <c r="L11" s="9"/>
      <c r="M11" s="9">
        <f t="shared" si="0"/>
        <v>29700.000000000004</v>
      </c>
      <c r="N11" s="10"/>
      <c r="O11" s="10" t="str">
        <f t="shared" si="1"/>
        <v/>
      </c>
      <c r="P11" s="9" t="str">
        <f t="shared" si="2"/>
        <v/>
      </c>
      <c r="Q11" s="9" t="str">
        <f t="shared" si="3"/>
        <v/>
      </c>
      <c r="R11" s="9" t="str">
        <f t="shared" si="4"/>
        <v/>
      </c>
    </row>
    <row r="12" spans="2:18" x14ac:dyDescent="0.4">
      <c r="B12" s="8"/>
      <c r="C12" s="8" t="s">
        <v>96</v>
      </c>
      <c r="D12" s="8"/>
      <c r="E12" s="8" t="s">
        <v>302</v>
      </c>
      <c r="F12" s="17" t="s">
        <v>143</v>
      </c>
      <c r="G12" s="19"/>
      <c r="H12" s="13">
        <v>0.1</v>
      </c>
      <c r="I12" s="10">
        <v>30</v>
      </c>
      <c r="J12" s="9">
        <v>450</v>
      </c>
      <c r="K12" s="9">
        <f t="shared" si="5"/>
        <v>495.00000000000006</v>
      </c>
      <c r="L12" s="9"/>
      <c r="M12" s="9">
        <f t="shared" si="0"/>
        <v>14850.000000000002</v>
      </c>
      <c r="N12" s="10"/>
      <c r="O12" s="10" t="str">
        <f t="shared" si="1"/>
        <v/>
      </c>
      <c r="P12" s="9" t="str">
        <f t="shared" si="2"/>
        <v/>
      </c>
      <c r="Q12" s="9" t="str">
        <f t="shared" si="3"/>
        <v/>
      </c>
      <c r="R12" s="9" t="str">
        <f t="shared" si="4"/>
        <v/>
      </c>
    </row>
    <row r="13" spans="2:18" x14ac:dyDescent="0.4">
      <c r="B13" s="8"/>
      <c r="C13" s="8" t="s">
        <v>96</v>
      </c>
      <c r="D13" s="8"/>
      <c r="E13" s="8" t="s">
        <v>302</v>
      </c>
      <c r="F13" s="17" t="s">
        <v>144</v>
      </c>
      <c r="G13" s="19"/>
      <c r="H13" s="13">
        <v>0.1</v>
      </c>
      <c r="I13" s="10">
        <v>14</v>
      </c>
      <c r="J13" s="9">
        <v>75</v>
      </c>
      <c r="K13" s="9">
        <f t="shared" si="5"/>
        <v>82.5</v>
      </c>
      <c r="L13" s="9"/>
      <c r="M13" s="9">
        <f t="shared" si="0"/>
        <v>1155</v>
      </c>
      <c r="N13" s="10"/>
      <c r="O13" s="10" t="str">
        <f t="shared" si="1"/>
        <v/>
      </c>
      <c r="P13" s="9" t="str">
        <f t="shared" si="2"/>
        <v/>
      </c>
      <c r="Q13" s="9" t="str">
        <f t="shared" si="3"/>
        <v/>
      </c>
      <c r="R13" s="9" t="str">
        <f t="shared" si="4"/>
        <v/>
      </c>
    </row>
    <row r="14" spans="2:18" x14ac:dyDescent="0.4">
      <c r="B14" s="8"/>
      <c r="C14" s="8" t="s">
        <v>96</v>
      </c>
      <c r="D14" s="8"/>
      <c r="E14" s="8" t="s">
        <v>302</v>
      </c>
      <c r="F14" s="17" t="s">
        <v>145</v>
      </c>
      <c r="G14" s="19"/>
      <c r="H14" s="13">
        <v>0.1</v>
      </c>
      <c r="I14" s="10">
        <v>7</v>
      </c>
      <c r="J14" s="9">
        <v>75</v>
      </c>
      <c r="K14" s="9">
        <f t="shared" si="5"/>
        <v>82.5</v>
      </c>
      <c r="L14" s="9"/>
      <c r="M14" s="9">
        <f t="shared" si="0"/>
        <v>577.5</v>
      </c>
      <c r="N14" s="10"/>
      <c r="O14" s="10" t="str">
        <f t="shared" si="1"/>
        <v/>
      </c>
      <c r="P14" s="9" t="str">
        <f t="shared" si="2"/>
        <v/>
      </c>
      <c r="Q14" s="9" t="str">
        <f t="shared" si="3"/>
        <v/>
      </c>
      <c r="R14" s="9" t="str">
        <f t="shared" si="4"/>
        <v/>
      </c>
    </row>
    <row r="15" spans="2:18" x14ac:dyDescent="0.4">
      <c r="B15" s="8"/>
      <c r="C15" s="8" t="s">
        <v>96</v>
      </c>
      <c r="D15" s="8"/>
      <c r="E15" s="8" t="s">
        <v>302</v>
      </c>
      <c r="F15" s="17" t="s">
        <v>146</v>
      </c>
      <c r="G15" s="19"/>
      <c r="H15" s="13">
        <v>0.1</v>
      </c>
      <c r="I15" s="10">
        <v>14</v>
      </c>
      <c r="J15" s="9">
        <v>75</v>
      </c>
      <c r="K15" s="9">
        <f t="shared" si="5"/>
        <v>82.5</v>
      </c>
      <c r="L15" s="9"/>
      <c r="M15" s="9">
        <f t="shared" si="0"/>
        <v>1155</v>
      </c>
      <c r="N15" s="10"/>
      <c r="O15" s="10" t="str">
        <f t="shared" si="1"/>
        <v/>
      </c>
      <c r="P15" s="9" t="str">
        <f t="shared" si="2"/>
        <v/>
      </c>
      <c r="Q15" s="9" t="str">
        <f t="shared" si="3"/>
        <v/>
      </c>
      <c r="R15" s="9" t="str">
        <f t="shared" si="4"/>
        <v/>
      </c>
    </row>
    <row r="16" spans="2:18" x14ac:dyDescent="0.4">
      <c r="B16" s="8"/>
      <c r="C16" s="8" t="s">
        <v>96</v>
      </c>
      <c r="D16" s="8"/>
      <c r="E16" s="8" t="s">
        <v>302</v>
      </c>
      <c r="F16" s="17" t="s">
        <v>147</v>
      </c>
      <c r="G16" s="19"/>
      <c r="H16" s="13">
        <v>0.1</v>
      </c>
      <c r="I16" s="10">
        <v>14</v>
      </c>
      <c r="J16" s="9">
        <v>75</v>
      </c>
      <c r="K16" s="9">
        <f t="shared" si="5"/>
        <v>82.5</v>
      </c>
      <c r="L16" s="9"/>
      <c r="M16" s="9">
        <f t="shared" si="0"/>
        <v>1155</v>
      </c>
      <c r="N16" s="10"/>
      <c r="O16" s="10" t="str">
        <f t="shared" si="1"/>
        <v/>
      </c>
      <c r="P16" s="9" t="str">
        <f t="shared" si="2"/>
        <v/>
      </c>
      <c r="Q16" s="9" t="str">
        <f t="shared" si="3"/>
        <v/>
      </c>
      <c r="R16" s="9" t="str">
        <f t="shared" si="4"/>
        <v/>
      </c>
    </row>
    <row r="17" spans="2:18" x14ac:dyDescent="0.4">
      <c r="B17" s="8"/>
      <c r="C17" s="8" t="s">
        <v>96</v>
      </c>
      <c r="D17" s="8"/>
      <c r="E17" s="8" t="s">
        <v>302</v>
      </c>
      <c r="F17" s="17" t="s">
        <v>148</v>
      </c>
      <c r="G17" s="19"/>
      <c r="H17" s="13">
        <v>0.1</v>
      </c>
      <c r="I17" s="10">
        <v>14</v>
      </c>
      <c r="J17" s="9">
        <v>85</v>
      </c>
      <c r="K17" s="9">
        <f t="shared" si="5"/>
        <v>93.500000000000014</v>
      </c>
      <c r="L17" s="9"/>
      <c r="M17" s="9">
        <f t="shared" si="0"/>
        <v>1309.0000000000002</v>
      </c>
      <c r="N17" s="10"/>
      <c r="O17" s="10" t="str">
        <f t="shared" si="1"/>
        <v/>
      </c>
      <c r="P17" s="9" t="str">
        <f t="shared" si="2"/>
        <v/>
      </c>
      <c r="Q17" s="9" t="str">
        <f t="shared" si="3"/>
        <v/>
      </c>
      <c r="R17" s="9" t="str">
        <f t="shared" si="4"/>
        <v/>
      </c>
    </row>
    <row r="18" spans="2:18" x14ac:dyDescent="0.4">
      <c r="B18" s="8"/>
      <c r="C18" s="8" t="s">
        <v>96</v>
      </c>
      <c r="D18" s="8"/>
      <c r="E18" s="8" t="s">
        <v>302</v>
      </c>
      <c r="F18" s="17" t="s">
        <v>149</v>
      </c>
      <c r="G18" s="19"/>
      <c r="H18" s="13">
        <v>0.1</v>
      </c>
      <c r="I18" s="10">
        <v>7</v>
      </c>
      <c r="J18" s="9">
        <v>85</v>
      </c>
      <c r="K18" s="9">
        <f t="shared" si="5"/>
        <v>93.500000000000014</v>
      </c>
      <c r="L18" s="9"/>
      <c r="M18" s="9">
        <f t="shared" si="0"/>
        <v>654.50000000000011</v>
      </c>
      <c r="N18" s="10"/>
      <c r="O18" s="10" t="str">
        <f t="shared" si="1"/>
        <v/>
      </c>
      <c r="P18" s="9" t="str">
        <f t="shared" si="2"/>
        <v/>
      </c>
      <c r="Q18" s="9" t="str">
        <f t="shared" si="3"/>
        <v/>
      </c>
      <c r="R18" s="9" t="str">
        <f t="shared" si="4"/>
        <v/>
      </c>
    </row>
    <row r="19" spans="2:18" x14ac:dyDescent="0.4">
      <c r="B19" s="8"/>
      <c r="C19" s="8" t="s">
        <v>96</v>
      </c>
      <c r="D19" s="8"/>
      <c r="E19" s="8" t="s">
        <v>302</v>
      </c>
      <c r="F19" s="17" t="s">
        <v>150</v>
      </c>
      <c r="G19" s="19"/>
      <c r="H19" s="13">
        <v>0.1</v>
      </c>
      <c r="I19" s="10">
        <v>7</v>
      </c>
      <c r="J19" s="9">
        <v>85</v>
      </c>
      <c r="K19" s="9">
        <f t="shared" si="5"/>
        <v>93.500000000000014</v>
      </c>
      <c r="L19" s="9"/>
      <c r="M19" s="9">
        <f t="shared" si="0"/>
        <v>654.50000000000011</v>
      </c>
      <c r="N19" s="10"/>
      <c r="O19" s="10" t="str">
        <f t="shared" si="1"/>
        <v/>
      </c>
      <c r="P19" s="9" t="str">
        <f t="shared" si="2"/>
        <v/>
      </c>
      <c r="Q19" s="9" t="str">
        <f t="shared" si="3"/>
        <v/>
      </c>
      <c r="R19" s="9" t="str">
        <f t="shared" si="4"/>
        <v/>
      </c>
    </row>
    <row r="20" spans="2:18" x14ac:dyDescent="0.4">
      <c r="B20" s="8"/>
      <c r="C20" s="8" t="s">
        <v>96</v>
      </c>
      <c r="D20" s="8"/>
      <c r="E20" s="8" t="s">
        <v>302</v>
      </c>
      <c r="F20" s="17" t="s">
        <v>151</v>
      </c>
      <c r="G20" s="19"/>
      <c r="H20" s="13">
        <v>0.1</v>
      </c>
      <c r="I20" s="10">
        <v>14</v>
      </c>
      <c r="J20" s="9">
        <v>120</v>
      </c>
      <c r="K20" s="9">
        <f t="shared" si="5"/>
        <v>132</v>
      </c>
      <c r="L20" s="9"/>
      <c r="M20" s="9">
        <f t="shared" si="0"/>
        <v>1848</v>
      </c>
      <c r="N20" s="10"/>
      <c r="O20" s="10" t="str">
        <f t="shared" si="1"/>
        <v/>
      </c>
      <c r="P20" s="9" t="str">
        <f t="shared" si="2"/>
        <v/>
      </c>
      <c r="Q20" s="9" t="str">
        <f t="shared" si="3"/>
        <v/>
      </c>
      <c r="R20" s="9" t="str">
        <f t="shared" si="4"/>
        <v/>
      </c>
    </row>
    <row r="21" spans="2:18" x14ac:dyDescent="0.4">
      <c r="B21" s="8"/>
      <c r="C21" s="8" t="s">
        <v>96</v>
      </c>
      <c r="D21" s="8"/>
      <c r="E21" s="8" t="s">
        <v>302</v>
      </c>
      <c r="F21" s="17" t="s">
        <v>152</v>
      </c>
      <c r="G21" s="19"/>
      <c r="H21" s="13">
        <v>0.1</v>
      </c>
      <c r="I21" s="10">
        <v>7</v>
      </c>
      <c r="J21" s="9">
        <v>120</v>
      </c>
      <c r="K21" s="9">
        <f t="shared" si="5"/>
        <v>132</v>
      </c>
      <c r="L21" s="9"/>
      <c r="M21" s="9">
        <f t="shared" si="0"/>
        <v>924</v>
      </c>
      <c r="N21" s="10"/>
      <c r="O21" s="10" t="str">
        <f t="shared" si="1"/>
        <v/>
      </c>
      <c r="P21" s="9" t="str">
        <f t="shared" si="2"/>
        <v/>
      </c>
      <c r="Q21" s="9" t="str">
        <f t="shared" si="3"/>
        <v/>
      </c>
      <c r="R21" s="9" t="str">
        <f t="shared" si="4"/>
        <v/>
      </c>
    </row>
    <row r="22" spans="2:18" x14ac:dyDescent="0.4">
      <c r="B22" s="8"/>
      <c r="C22" s="8" t="s">
        <v>96</v>
      </c>
      <c r="D22" s="8"/>
      <c r="E22" s="8" t="s">
        <v>302</v>
      </c>
      <c r="F22" s="17" t="s">
        <v>153</v>
      </c>
      <c r="G22" s="19"/>
      <c r="H22" s="13">
        <v>0.1</v>
      </c>
      <c r="I22" s="10">
        <v>14</v>
      </c>
      <c r="J22" s="9">
        <v>120</v>
      </c>
      <c r="K22" s="9">
        <f t="shared" si="5"/>
        <v>132</v>
      </c>
      <c r="L22" s="9"/>
      <c r="M22" s="9">
        <f t="shared" si="0"/>
        <v>1848</v>
      </c>
      <c r="N22" s="10"/>
      <c r="O22" s="10" t="str">
        <f t="shared" si="1"/>
        <v/>
      </c>
      <c r="P22" s="9" t="str">
        <f t="shared" si="2"/>
        <v/>
      </c>
      <c r="Q22" s="9" t="str">
        <f t="shared" si="3"/>
        <v/>
      </c>
      <c r="R22" s="9" t="str">
        <f t="shared" si="4"/>
        <v/>
      </c>
    </row>
    <row r="23" spans="2:18" x14ac:dyDescent="0.4">
      <c r="B23" s="8"/>
      <c r="C23" s="8" t="s">
        <v>96</v>
      </c>
      <c r="D23" s="8"/>
      <c r="E23" s="8" t="s">
        <v>302</v>
      </c>
      <c r="F23" s="17" t="s">
        <v>154</v>
      </c>
      <c r="G23" s="19"/>
      <c r="H23" s="13">
        <v>0.1</v>
      </c>
      <c r="I23" s="10">
        <v>60</v>
      </c>
      <c r="J23" s="9">
        <v>450</v>
      </c>
      <c r="K23" s="9">
        <f t="shared" si="5"/>
        <v>495.00000000000006</v>
      </c>
      <c r="L23" s="9"/>
      <c r="M23" s="9">
        <f t="shared" si="0"/>
        <v>29700.000000000004</v>
      </c>
      <c r="N23" s="10"/>
      <c r="O23" s="10" t="str">
        <f t="shared" si="1"/>
        <v/>
      </c>
      <c r="P23" s="9" t="str">
        <f t="shared" si="2"/>
        <v/>
      </c>
      <c r="Q23" s="9" t="str">
        <f t="shared" si="3"/>
        <v/>
      </c>
      <c r="R23" s="9" t="str">
        <f t="shared" si="4"/>
        <v/>
      </c>
    </row>
    <row r="24" spans="2:18" x14ac:dyDescent="0.4">
      <c r="B24" s="8"/>
      <c r="C24" s="8" t="s">
        <v>96</v>
      </c>
      <c r="D24" s="8"/>
      <c r="E24" s="8" t="s">
        <v>302</v>
      </c>
      <c r="F24" s="17" t="s">
        <v>155</v>
      </c>
      <c r="G24" s="19"/>
      <c r="H24" s="13">
        <v>0.1</v>
      </c>
      <c r="I24" s="10">
        <v>60</v>
      </c>
      <c r="J24" s="9">
        <v>450</v>
      </c>
      <c r="K24" s="9">
        <f t="shared" si="5"/>
        <v>495.00000000000006</v>
      </c>
      <c r="L24" s="9"/>
      <c r="M24" s="9">
        <f t="shared" si="0"/>
        <v>29700.000000000004</v>
      </c>
      <c r="N24" s="10"/>
      <c r="O24" s="10" t="str">
        <f t="shared" si="1"/>
        <v/>
      </c>
      <c r="P24" s="9" t="str">
        <f t="shared" si="2"/>
        <v/>
      </c>
      <c r="Q24" s="9" t="str">
        <f t="shared" si="3"/>
        <v/>
      </c>
      <c r="R24" s="9" t="str">
        <f t="shared" si="4"/>
        <v/>
      </c>
    </row>
    <row r="25" spans="2:18" x14ac:dyDescent="0.4">
      <c r="B25" s="8"/>
      <c r="C25" s="8" t="s">
        <v>96</v>
      </c>
      <c r="D25" s="8"/>
      <c r="E25" s="8" t="s">
        <v>302</v>
      </c>
      <c r="F25" s="17" t="s">
        <v>156</v>
      </c>
      <c r="G25" s="19"/>
      <c r="H25" s="13">
        <v>0.1</v>
      </c>
      <c r="I25" s="10">
        <v>60</v>
      </c>
      <c r="J25" s="9">
        <v>450</v>
      </c>
      <c r="K25" s="9">
        <f t="shared" si="5"/>
        <v>495.00000000000006</v>
      </c>
      <c r="L25" s="9"/>
      <c r="M25" s="9">
        <f t="shared" si="0"/>
        <v>29700.000000000004</v>
      </c>
      <c r="N25" s="10"/>
      <c r="O25" s="10" t="str">
        <f t="shared" si="1"/>
        <v/>
      </c>
      <c r="P25" s="9" t="str">
        <f t="shared" si="2"/>
        <v/>
      </c>
      <c r="Q25" s="9" t="str">
        <f t="shared" si="3"/>
        <v/>
      </c>
      <c r="R25" s="9" t="str">
        <f t="shared" si="4"/>
        <v/>
      </c>
    </row>
    <row r="26" spans="2:18" x14ac:dyDescent="0.4">
      <c r="B26" s="8"/>
      <c r="C26" s="8" t="s">
        <v>96</v>
      </c>
      <c r="D26" s="8"/>
      <c r="E26" s="8" t="s">
        <v>302</v>
      </c>
      <c r="F26" s="17" t="s">
        <v>157</v>
      </c>
      <c r="G26" s="19"/>
      <c r="H26" s="13">
        <v>0.1</v>
      </c>
      <c r="I26" s="10">
        <v>30</v>
      </c>
      <c r="J26" s="9">
        <v>450</v>
      </c>
      <c r="K26" s="9">
        <f t="shared" si="5"/>
        <v>495.00000000000006</v>
      </c>
      <c r="L26" s="9"/>
      <c r="M26" s="9">
        <f t="shared" si="0"/>
        <v>14850.000000000002</v>
      </c>
      <c r="N26" s="10"/>
      <c r="O26" s="10" t="str">
        <f t="shared" si="1"/>
        <v/>
      </c>
      <c r="P26" s="9" t="str">
        <f t="shared" si="2"/>
        <v/>
      </c>
      <c r="Q26" s="9" t="str">
        <f t="shared" si="3"/>
        <v/>
      </c>
      <c r="R26" s="9" t="str">
        <f t="shared" si="4"/>
        <v/>
      </c>
    </row>
    <row r="27" spans="2:18" x14ac:dyDescent="0.4">
      <c r="B27" s="8"/>
      <c r="C27" s="8"/>
      <c r="D27" s="8"/>
      <c r="E27" s="8" t="s">
        <v>163</v>
      </c>
      <c r="F27" s="8" t="s">
        <v>160</v>
      </c>
      <c r="G27" s="19"/>
      <c r="H27" s="13">
        <v>0.1</v>
      </c>
      <c r="I27" s="10">
        <v>30</v>
      </c>
      <c r="J27" s="9"/>
      <c r="K27" s="9"/>
      <c r="L27" s="9"/>
      <c r="M27" s="9"/>
      <c r="N27" s="10"/>
      <c r="O27" s="10" t="str">
        <f t="shared" si="1"/>
        <v/>
      </c>
      <c r="P27" s="9" t="str">
        <f t="shared" si="2"/>
        <v/>
      </c>
      <c r="Q27" s="9" t="str">
        <f t="shared" si="3"/>
        <v/>
      </c>
      <c r="R27" s="9" t="str">
        <f t="shared" si="4"/>
        <v/>
      </c>
    </row>
    <row r="28" spans="2:18" ht="18.75" x14ac:dyDescent="0.4">
      <c r="B28" s="8"/>
      <c r="C28" s="26" t="s">
        <v>300</v>
      </c>
      <c r="D28" s="8"/>
      <c r="E28" s="8" t="s">
        <v>308</v>
      </c>
      <c r="F28" s="27" t="s">
        <v>309</v>
      </c>
      <c r="G28" s="30">
        <v>4977629310376</v>
      </c>
      <c r="H28" s="41">
        <v>0.08</v>
      </c>
      <c r="I28" s="10">
        <v>96</v>
      </c>
      <c r="J28" s="31">
        <v>40</v>
      </c>
      <c r="K28" s="9">
        <f>J28*108%</f>
        <v>43.2</v>
      </c>
      <c r="L28" s="9"/>
      <c r="M28" s="9">
        <f>K28*I28</f>
        <v>4147.2000000000007</v>
      </c>
      <c r="N28" s="10"/>
      <c r="O28" s="10" t="str">
        <f t="shared" si="1"/>
        <v/>
      </c>
      <c r="P28" s="9" t="str">
        <f t="shared" si="2"/>
        <v/>
      </c>
      <c r="Q28" s="9" t="str">
        <f t="shared" si="3"/>
        <v/>
      </c>
      <c r="R28" s="9" t="str">
        <f t="shared" si="4"/>
        <v/>
      </c>
    </row>
    <row r="29" spans="2:18" ht="18.75" x14ac:dyDescent="0.4">
      <c r="B29" s="8"/>
      <c r="C29" s="26" t="s">
        <v>303</v>
      </c>
      <c r="D29" s="8"/>
      <c r="E29" s="8" t="s">
        <v>308</v>
      </c>
      <c r="F29" s="28" t="s">
        <v>310</v>
      </c>
      <c r="G29" s="30">
        <v>2000000062716</v>
      </c>
      <c r="H29" s="41">
        <v>0.1</v>
      </c>
      <c r="I29" s="10">
        <v>100</v>
      </c>
      <c r="J29" s="31">
        <v>48</v>
      </c>
      <c r="K29" s="9">
        <f>J29*110%</f>
        <v>52.800000000000004</v>
      </c>
      <c r="L29" s="9"/>
      <c r="M29" s="9">
        <f t="shared" ref="M29:M54" si="6">K29*I29</f>
        <v>5280</v>
      </c>
      <c r="N29" s="10"/>
      <c r="O29" s="10" t="str">
        <f t="shared" si="1"/>
        <v/>
      </c>
      <c r="P29" s="9" t="str">
        <f t="shared" si="2"/>
        <v/>
      </c>
      <c r="Q29" s="9" t="str">
        <f t="shared" si="3"/>
        <v/>
      </c>
      <c r="R29" s="9" t="str">
        <f t="shared" si="4"/>
        <v/>
      </c>
    </row>
    <row r="30" spans="2:18" ht="18.75" x14ac:dyDescent="0.4">
      <c r="B30" s="8"/>
      <c r="C30" s="26" t="s">
        <v>304</v>
      </c>
      <c r="D30" s="8"/>
      <c r="E30" s="8" t="s">
        <v>308</v>
      </c>
      <c r="F30" s="28" t="s">
        <v>311</v>
      </c>
      <c r="G30" s="30">
        <v>2000000064529</v>
      </c>
      <c r="H30" s="41">
        <v>0.1</v>
      </c>
      <c r="I30" s="10">
        <v>60</v>
      </c>
      <c r="J30" s="31">
        <v>80</v>
      </c>
      <c r="K30" s="9">
        <f t="shared" ref="K30:K43" si="7">J30*110%</f>
        <v>88</v>
      </c>
      <c r="L30" s="9"/>
      <c r="M30" s="9">
        <f t="shared" si="6"/>
        <v>5280</v>
      </c>
      <c r="N30" s="10"/>
      <c r="O30" s="10" t="str">
        <f t="shared" si="1"/>
        <v/>
      </c>
      <c r="P30" s="9" t="str">
        <f t="shared" si="2"/>
        <v/>
      </c>
      <c r="Q30" s="9" t="str">
        <f t="shared" si="3"/>
        <v/>
      </c>
      <c r="R30" s="9" t="str">
        <f t="shared" si="4"/>
        <v/>
      </c>
    </row>
    <row r="31" spans="2:18" ht="18.75" x14ac:dyDescent="0.4">
      <c r="B31" s="8"/>
      <c r="C31" s="26" t="s">
        <v>304</v>
      </c>
      <c r="D31" s="8"/>
      <c r="E31" s="8" t="s">
        <v>308</v>
      </c>
      <c r="F31" s="28" t="s">
        <v>312</v>
      </c>
      <c r="G31" s="30">
        <v>4973512263651</v>
      </c>
      <c r="H31" s="41">
        <v>0.1</v>
      </c>
      <c r="I31" s="10">
        <v>100</v>
      </c>
      <c r="J31" s="31">
        <v>80</v>
      </c>
      <c r="K31" s="9">
        <f t="shared" si="7"/>
        <v>88</v>
      </c>
      <c r="L31" s="9"/>
      <c r="M31" s="9">
        <f t="shared" si="6"/>
        <v>8800</v>
      </c>
      <c r="N31" s="10"/>
      <c r="O31" s="10" t="str">
        <f t="shared" si="1"/>
        <v/>
      </c>
      <c r="P31" s="9" t="str">
        <f t="shared" si="2"/>
        <v/>
      </c>
      <c r="Q31" s="9" t="str">
        <f t="shared" si="3"/>
        <v/>
      </c>
      <c r="R31" s="9" t="str">
        <f t="shared" si="4"/>
        <v/>
      </c>
    </row>
    <row r="32" spans="2:18" ht="18.75" x14ac:dyDescent="0.4">
      <c r="B32" s="8"/>
      <c r="C32" s="26" t="s">
        <v>304</v>
      </c>
      <c r="D32" s="8"/>
      <c r="E32" s="8" t="s">
        <v>308</v>
      </c>
      <c r="F32" s="28" t="s">
        <v>313</v>
      </c>
      <c r="G32" s="30">
        <v>4518516000088</v>
      </c>
      <c r="H32" s="41">
        <v>0.1</v>
      </c>
      <c r="I32" s="10">
        <v>48</v>
      </c>
      <c r="J32" s="31">
        <v>130</v>
      </c>
      <c r="K32" s="9">
        <f t="shared" si="7"/>
        <v>143</v>
      </c>
      <c r="L32" s="9"/>
      <c r="M32" s="9">
        <f t="shared" si="6"/>
        <v>6864</v>
      </c>
      <c r="N32" s="10"/>
      <c r="O32" s="10" t="str">
        <f t="shared" si="1"/>
        <v/>
      </c>
      <c r="P32" s="9" t="str">
        <f t="shared" si="2"/>
        <v/>
      </c>
      <c r="Q32" s="9" t="str">
        <f t="shared" si="3"/>
        <v/>
      </c>
      <c r="R32" s="9" t="str">
        <f t="shared" si="4"/>
        <v/>
      </c>
    </row>
    <row r="33" spans="2:18" ht="18.75" x14ac:dyDescent="0.4">
      <c r="B33" s="8"/>
      <c r="C33" s="26" t="s">
        <v>303</v>
      </c>
      <c r="D33" s="8"/>
      <c r="E33" s="8" t="s">
        <v>308</v>
      </c>
      <c r="F33" s="28" t="s">
        <v>314</v>
      </c>
      <c r="G33" s="30">
        <v>4580419310328</v>
      </c>
      <c r="H33" s="41">
        <v>0.1</v>
      </c>
      <c r="I33" s="10">
        <v>50</v>
      </c>
      <c r="J33" s="31">
        <v>280</v>
      </c>
      <c r="K33" s="9">
        <f t="shared" si="7"/>
        <v>308</v>
      </c>
      <c r="L33" s="9"/>
      <c r="M33" s="9">
        <f t="shared" si="6"/>
        <v>15400</v>
      </c>
      <c r="N33" s="10"/>
      <c r="O33" s="10" t="str">
        <f t="shared" si="1"/>
        <v/>
      </c>
      <c r="P33" s="9" t="str">
        <f t="shared" si="2"/>
        <v/>
      </c>
      <c r="Q33" s="9" t="str">
        <f t="shared" si="3"/>
        <v/>
      </c>
      <c r="R33" s="9" t="str">
        <f t="shared" si="4"/>
        <v/>
      </c>
    </row>
    <row r="34" spans="2:18" ht="18.75" x14ac:dyDescent="0.4">
      <c r="B34" s="8"/>
      <c r="C34" s="26" t="s">
        <v>304</v>
      </c>
      <c r="D34" s="8"/>
      <c r="E34" s="8" t="s">
        <v>308</v>
      </c>
      <c r="F34" s="28" t="s">
        <v>315</v>
      </c>
      <c r="G34" s="30">
        <v>4904705163304</v>
      </c>
      <c r="H34" s="41">
        <v>0.1</v>
      </c>
      <c r="I34" s="10">
        <v>240</v>
      </c>
      <c r="J34" s="31">
        <v>19</v>
      </c>
      <c r="K34" s="9">
        <f t="shared" si="7"/>
        <v>20.900000000000002</v>
      </c>
      <c r="L34" s="9"/>
      <c r="M34" s="9">
        <f t="shared" si="6"/>
        <v>5016.0000000000009</v>
      </c>
      <c r="N34" s="10"/>
      <c r="O34" s="10" t="str">
        <f t="shared" si="1"/>
        <v/>
      </c>
      <c r="P34" s="9" t="str">
        <f t="shared" si="2"/>
        <v/>
      </c>
      <c r="Q34" s="9" t="str">
        <f t="shared" si="3"/>
        <v/>
      </c>
      <c r="R34" s="9" t="str">
        <f t="shared" si="4"/>
        <v/>
      </c>
    </row>
    <row r="35" spans="2:18" ht="18.75" x14ac:dyDescent="0.4">
      <c r="B35" s="8"/>
      <c r="C35" s="26" t="s">
        <v>304</v>
      </c>
      <c r="D35" s="8"/>
      <c r="E35" s="8" t="s">
        <v>308</v>
      </c>
      <c r="F35" s="28" t="s">
        <v>316</v>
      </c>
      <c r="G35" s="30">
        <v>4966840253630</v>
      </c>
      <c r="H35" s="41">
        <v>0.1</v>
      </c>
      <c r="I35" s="10">
        <v>240</v>
      </c>
      <c r="J35" s="31">
        <v>22</v>
      </c>
      <c r="K35" s="9">
        <f t="shared" si="7"/>
        <v>24.200000000000003</v>
      </c>
      <c r="L35" s="9"/>
      <c r="M35" s="9">
        <f t="shared" si="6"/>
        <v>5808.0000000000009</v>
      </c>
      <c r="N35" s="10"/>
      <c r="O35" s="10" t="str">
        <f t="shared" si="1"/>
        <v/>
      </c>
      <c r="P35" s="9" t="str">
        <f t="shared" si="2"/>
        <v/>
      </c>
      <c r="Q35" s="9" t="str">
        <f t="shared" si="3"/>
        <v/>
      </c>
      <c r="R35" s="9" t="str">
        <f t="shared" si="4"/>
        <v/>
      </c>
    </row>
    <row r="36" spans="2:18" ht="18.75" x14ac:dyDescent="0.4">
      <c r="B36" s="8"/>
      <c r="C36" s="26" t="s">
        <v>304</v>
      </c>
      <c r="D36" s="8"/>
      <c r="E36" s="8" t="s">
        <v>308</v>
      </c>
      <c r="F36" s="28" t="s">
        <v>317</v>
      </c>
      <c r="G36" s="30">
        <v>8010630333869</v>
      </c>
      <c r="H36" s="41">
        <v>0.1</v>
      </c>
      <c r="I36" s="10">
        <v>400</v>
      </c>
      <c r="J36" s="31">
        <v>30</v>
      </c>
      <c r="K36" s="9">
        <f t="shared" si="7"/>
        <v>33</v>
      </c>
      <c r="L36" s="9"/>
      <c r="M36" s="9">
        <f t="shared" si="6"/>
        <v>13200</v>
      </c>
      <c r="N36" s="10"/>
      <c r="O36" s="10" t="str">
        <f t="shared" si="1"/>
        <v/>
      </c>
      <c r="P36" s="9" t="str">
        <f t="shared" si="2"/>
        <v/>
      </c>
      <c r="Q36" s="9" t="str">
        <f t="shared" si="3"/>
        <v/>
      </c>
      <c r="R36" s="9" t="str">
        <f t="shared" si="4"/>
        <v/>
      </c>
    </row>
    <row r="37" spans="2:18" ht="18.75" x14ac:dyDescent="0.4">
      <c r="B37" s="8"/>
      <c r="C37" s="26" t="s">
        <v>303</v>
      </c>
      <c r="D37" s="8"/>
      <c r="E37" s="8" t="s">
        <v>308</v>
      </c>
      <c r="F37" s="28" t="s">
        <v>318</v>
      </c>
      <c r="G37" s="30">
        <v>4528364820028</v>
      </c>
      <c r="H37" s="41">
        <v>0.1</v>
      </c>
      <c r="I37" s="10">
        <v>100</v>
      </c>
      <c r="J37" s="31">
        <v>35</v>
      </c>
      <c r="K37" s="9">
        <f t="shared" si="7"/>
        <v>38.5</v>
      </c>
      <c r="L37" s="9"/>
      <c r="M37" s="9">
        <f t="shared" si="6"/>
        <v>3850</v>
      </c>
      <c r="N37" s="10"/>
      <c r="O37" s="10" t="str">
        <f t="shared" si="1"/>
        <v/>
      </c>
      <c r="P37" s="9" t="str">
        <f t="shared" si="2"/>
        <v/>
      </c>
      <c r="Q37" s="9" t="str">
        <f t="shared" si="3"/>
        <v/>
      </c>
      <c r="R37" s="9" t="str">
        <f t="shared" si="4"/>
        <v/>
      </c>
    </row>
    <row r="38" spans="2:18" ht="18.75" x14ac:dyDescent="0.4">
      <c r="B38" s="8"/>
      <c r="C38" s="26" t="s">
        <v>304</v>
      </c>
      <c r="D38" s="8"/>
      <c r="E38" s="8" t="s">
        <v>308</v>
      </c>
      <c r="F38" s="28" t="s">
        <v>319</v>
      </c>
      <c r="G38" s="30">
        <v>4966840251551</v>
      </c>
      <c r="H38" s="41">
        <v>0.1</v>
      </c>
      <c r="I38" s="10">
        <v>144</v>
      </c>
      <c r="J38" s="31">
        <v>40</v>
      </c>
      <c r="K38" s="9">
        <f t="shared" si="7"/>
        <v>44</v>
      </c>
      <c r="L38" s="9"/>
      <c r="M38" s="9">
        <f t="shared" si="6"/>
        <v>6336</v>
      </c>
      <c r="N38" s="10"/>
      <c r="O38" s="10" t="str">
        <f t="shared" si="1"/>
        <v/>
      </c>
      <c r="P38" s="9" t="str">
        <f t="shared" si="2"/>
        <v/>
      </c>
      <c r="Q38" s="9" t="str">
        <f t="shared" si="3"/>
        <v/>
      </c>
      <c r="R38" s="9" t="str">
        <f t="shared" si="4"/>
        <v/>
      </c>
    </row>
    <row r="39" spans="2:18" ht="18.75" x14ac:dyDescent="0.4">
      <c r="B39" s="8"/>
      <c r="C39" s="26" t="s">
        <v>305</v>
      </c>
      <c r="D39" s="8"/>
      <c r="E39" s="8" t="s">
        <v>308</v>
      </c>
      <c r="F39" s="28" t="s">
        <v>321</v>
      </c>
      <c r="G39" s="30">
        <v>4970687211241</v>
      </c>
      <c r="H39" s="41">
        <v>0.1</v>
      </c>
      <c r="I39" s="10">
        <v>120</v>
      </c>
      <c r="J39" s="31">
        <v>80</v>
      </c>
      <c r="K39" s="9">
        <f t="shared" si="7"/>
        <v>88</v>
      </c>
      <c r="L39" s="9"/>
      <c r="M39" s="9">
        <f t="shared" si="6"/>
        <v>10560</v>
      </c>
      <c r="N39" s="10"/>
      <c r="O39" s="10" t="str">
        <f t="shared" si="1"/>
        <v/>
      </c>
      <c r="P39" s="9" t="str">
        <f t="shared" si="2"/>
        <v/>
      </c>
      <c r="Q39" s="9" t="str">
        <f t="shared" si="3"/>
        <v/>
      </c>
      <c r="R39" s="9" t="str">
        <f t="shared" si="4"/>
        <v/>
      </c>
    </row>
    <row r="40" spans="2:18" ht="18.75" x14ac:dyDescent="0.4">
      <c r="B40" s="8"/>
      <c r="C40" s="121" t="s">
        <v>304</v>
      </c>
      <c r="D40" s="8"/>
      <c r="E40" s="8" t="s">
        <v>308</v>
      </c>
      <c r="F40" s="28" t="s">
        <v>323</v>
      </c>
      <c r="G40" s="30">
        <v>4510482194181</v>
      </c>
      <c r="H40" s="41">
        <v>0.1</v>
      </c>
      <c r="I40" s="10">
        <v>24</v>
      </c>
      <c r="J40" s="31">
        <v>100</v>
      </c>
      <c r="K40" s="9">
        <f t="shared" si="7"/>
        <v>110.00000000000001</v>
      </c>
      <c r="L40" s="9"/>
      <c r="M40" s="9">
        <f t="shared" si="6"/>
        <v>2640.0000000000005</v>
      </c>
      <c r="N40" s="10"/>
      <c r="O40" s="10" t="str">
        <f t="shared" si="1"/>
        <v/>
      </c>
      <c r="P40" s="9" t="str">
        <f t="shared" si="2"/>
        <v/>
      </c>
      <c r="Q40" s="9" t="str">
        <f t="shared" si="3"/>
        <v/>
      </c>
      <c r="R40" s="9" t="str">
        <f t="shared" si="4"/>
        <v/>
      </c>
    </row>
    <row r="41" spans="2:18" ht="18.75" x14ac:dyDescent="0.4">
      <c r="B41" s="8"/>
      <c r="C41" s="122"/>
      <c r="D41" s="8"/>
      <c r="E41" s="8" t="s">
        <v>308</v>
      </c>
      <c r="F41" s="28" t="s">
        <v>325</v>
      </c>
      <c r="G41" s="30">
        <v>4510482194204</v>
      </c>
      <c r="H41" s="41">
        <v>0.1</v>
      </c>
      <c r="I41" s="10">
        <v>24</v>
      </c>
      <c r="J41" s="31">
        <v>100</v>
      </c>
      <c r="K41" s="9">
        <f t="shared" si="7"/>
        <v>110.00000000000001</v>
      </c>
      <c r="L41" s="9"/>
      <c r="M41" s="9">
        <f t="shared" si="6"/>
        <v>2640.0000000000005</v>
      </c>
      <c r="N41" s="10"/>
      <c r="O41" s="10" t="str">
        <f t="shared" si="1"/>
        <v/>
      </c>
      <c r="P41" s="9" t="str">
        <f t="shared" si="2"/>
        <v/>
      </c>
      <c r="Q41" s="9" t="str">
        <f t="shared" si="3"/>
        <v/>
      </c>
      <c r="R41" s="9" t="str">
        <f t="shared" si="4"/>
        <v/>
      </c>
    </row>
    <row r="42" spans="2:18" ht="18.75" x14ac:dyDescent="0.4">
      <c r="B42" s="8"/>
      <c r="C42" s="26" t="s">
        <v>304</v>
      </c>
      <c r="D42" s="8"/>
      <c r="E42" s="8" t="s">
        <v>308</v>
      </c>
      <c r="F42" s="28" t="s">
        <v>326</v>
      </c>
      <c r="G42" s="30">
        <v>4972603100585</v>
      </c>
      <c r="H42" s="41">
        <v>0.1</v>
      </c>
      <c r="I42" s="10">
        <v>30</v>
      </c>
      <c r="J42" s="31">
        <v>100</v>
      </c>
      <c r="K42" s="9">
        <f t="shared" si="7"/>
        <v>110.00000000000001</v>
      </c>
      <c r="L42" s="9"/>
      <c r="M42" s="9">
        <f t="shared" si="6"/>
        <v>3300.0000000000005</v>
      </c>
      <c r="N42" s="10"/>
      <c r="O42" s="10" t="str">
        <f t="shared" si="1"/>
        <v/>
      </c>
      <c r="P42" s="9" t="str">
        <f t="shared" si="2"/>
        <v/>
      </c>
      <c r="Q42" s="9" t="str">
        <f t="shared" si="3"/>
        <v/>
      </c>
      <c r="R42" s="9" t="str">
        <f t="shared" si="4"/>
        <v/>
      </c>
    </row>
    <row r="43" spans="2:18" ht="18.75" x14ac:dyDescent="0.4">
      <c r="B43" s="8"/>
      <c r="C43" s="26" t="s">
        <v>304</v>
      </c>
      <c r="D43" s="8"/>
      <c r="E43" s="8" t="s">
        <v>308</v>
      </c>
      <c r="F43" s="28" t="s">
        <v>327</v>
      </c>
      <c r="G43" s="30">
        <v>4589596691961</v>
      </c>
      <c r="H43" s="41">
        <v>0.1</v>
      </c>
      <c r="I43" s="10">
        <v>36</v>
      </c>
      <c r="J43" s="31">
        <v>140</v>
      </c>
      <c r="K43" s="9">
        <f t="shared" si="7"/>
        <v>154</v>
      </c>
      <c r="L43" s="9"/>
      <c r="M43" s="9">
        <f t="shared" si="6"/>
        <v>5544</v>
      </c>
      <c r="N43" s="10"/>
      <c r="O43" s="10" t="str">
        <f t="shared" si="1"/>
        <v/>
      </c>
      <c r="P43" s="9" t="str">
        <f t="shared" si="2"/>
        <v/>
      </c>
      <c r="Q43" s="9" t="str">
        <f t="shared" si="3"/>
        <v/>
      </c>
      <c r="R43" s="9" t="str">
        <f t="shared" si="4"/>
        <v/>
      </c>
    </row>
    <row r="44" spans="2:18" ht="37.5" x14ac:dyDescent="0.4">
      <c r="B44" s="8"/>
      <c r="C44" s="26" t="s">
        <v>300</v>
      </c>
      <c r="D44" s="8"/>
      <c r="E44" s="8" t="s">
        <v>308</v>
      </c>
      <c r="F44" s="29" t="s">
        <v>329</v>
      </c>
      <c r="G44" s="30">
        <v>4960867008396</v>
      </c>
      <c r="H44" s="41">
        <v>0.08</v>
      </c>
      <c r="I44" s="10">
        <v>30</v>
      </c>
      <c r="J44" s="31">
        <v>240</v>
      </c>
      <c r="K44" s="9">
        <f t="shared" ref="K44" si="8">J44*108%</f>
        <v>259.20000000000005</v>
      </c>
      <c r="L44" s="9"/>
      <c r="M44" s="9">
        <f t="shared" si="6"/>
        <v>7776.0000000000018</v>
      </c>
      <c r="N44" s="10"/>
      <c r="O44" s="10" t="str">
        <f t="shared" si="1"/>
        <v/>
      </c>
      <c r="P44" s="9" t="str">
        <f t="shared" si="2"/>
        <v/>
      </c>
      <c r="Q44" s="9" t="str">
        <f t="shared" si="3"/>
        <v/>
      </c>
      <c r="R44" s="9" t="str">
        <f t="shared" si="4"/>
        <v/>
      </c>
    </row>
    <row r="45" spans="2:18" ht="18.75" x14ac:dyDescent="0.4">
      <c r="B45" s="8"/>
      <c r="C45" s="26" t="s">
        <v>304</v>
      </c>
      <c r="D45" s="8"/>
      <c r="E45" s="8" t="s">
        <v>308</v>
      </c>
      <c r="F45" s="28" t="s">
        <v>333</v>
      </c>
      <c r="G45" s="30">
        <v>4939560521617</v>
      </c>
      <c r="H45" s="41">
        <v>0.1</v>
      </c>
      <c r="I45" s="10">
        <v>12</v>
      </c>
      <c r="J45" s="31">
        <v>540</v>
      </c>
      <c r="K45" s="9">
        <f t="shared" ref="K45:K54" si="9">J45*110%</f>
        <v>594</v>
      </c>
      <c r="L45" s="9"/>
      <c r="M45" s="9">
        <f t="shared" si="6"/>
        <v>7128</v>
      </c>
      <c r="N45" s="10"/>
      <c r="O45" s="10" t="str">
        <f t="shared" si="1"/>
        <v/>
      </c>
      <c r="P45" s="9" t="str">
        <f t="shared" si="2"/>
        <v/>
      </c>
      <c r="Q45" s="9" t="str">
        <f t="shared" si="3"/>
        <v/>
      </c>
      <c r="R45" s="9" t="str">
        <f t="shared" si="4"/>
        <v/>
      </c>
    </row>
    <row r="46" spans="2:18" ht="18.75" x14ac:dyDescent="0.4">
      <c r="B46" s="8"/>
      <c r="C46" s="26" t="s">
        <v>304</v>
      </c>
      <c r="D46" s="8"/>
      <c r="E46" s="8" t="s">
        <v>308</v>
      </c>
      <c r="F46" s="28" t="s">
        <v>334</v>
      </c>
      <c r="G46" s="30">
        <v>2000000068152</v>
      </c>
      <c r="H46" s="41">
        <v>0.1</v>
      </c>
      <c r="I46" s="10">
        <v>200</v>
      </c>
      <c r="J46" s="31">
        <v>30</v>
      </c>
      <c r="K46" s="9">
        <f t="shared" si="9"/>
        <v>33</v>
      </c>
      <c r="L46" s="9"/>
      <c r="M46" s="9">
        <f t="shared" si="6"/>
        <v>6600</v>
      </c>
      <c r="N46" s="10"/>
      <c r="O46" s="10" t="str">
        <f t="shared" si="1"/>
        <v/>
      </c>
      <c r="P46" s="9" t="str">
        <f t="shared" si="2"/>
        <v/>
      </c>
      <c r="Q46" s="9" t="str">
        <f t="shared" si="3"/>
        <v/>
      </c>
      <c r="R46" s="9" t="str">
        <f t="shared" si="4"/>
        <v/>
      </c>
    </row>
    <row r="47" spans="2:18" ht="18.75" x14ac:dyDescent="0.4">
      <c r="B47" s="8"/>
      <c r="C47" s="26" t="s">
        <v>304</v>
      </c>
      <c r="D47" s="8"/>
      <c r="E47" s="8" t="s">
        <v>308</v>
      </c>
      <c r="F47" s="28" t="s">
        <v>338</v>
      </c>
      <c r="G47" s="30">
        <v>4510482229425</v>
      </c>
      <c r="H47" s="41">
        <v>0.1</v>
      </c>
      <c r="I47" s="10">
        <v>24</v>
      </c>
      <c r="J47" s="31">
        <v>80</v>
      </c>
      <c r="K47" s="9">
        <f t="shared" si="9"/>
        <v>88</v>
      </c>
      <c r="L47" s="9"/>
      <c r="M47" s="9">
        <f t="shared" si="6"/>
        <v>2112</v>
      </c>
      <c r="N47" s="10"/>
      <c r="O47" s="10" t="str">
        <f t="shared" si="1"/>
        <v/>
      </c>
      <c r="P47" s="9" t="str">
        <f t="shared" si="2"/>
        <v/>
      </c>
      <c r="Q47" s="9" t="str">
        <f t="shared" si="3"/>
        <v/>
      </c>
      <c r="R47" s="9" t="str">
        <f t="shared" si="4"/>
        <v/>
      </c>
    </row>
    <row r="48" spans="2:18" ht="18.75" x14ac:dyDescent="0.4">
      <c r="B48" s="8"/>
      <c r="C48" s="26" t="s">
        <v>307</v>
      </c>
      <c r="D48" s="8"/>
      <c r="E48" s="8" t="s">
        <v>308</v>
      </c>
      <c r="F48" s="28" t="s">
        <v>339</v>
      </c>
      <c r="G48" s="30">
        <v>4573135361057</v>
      </c>
      <c r="H48" s="41">
        <v>0.1</v>
      </c>
      <c r="I48" s="10">
        <v>48</v>
      </c>
      <c r="J48" s="31">
        <v>80</v>
      </c>
      <c r="K48" s="9">
        <f t="shared" si="9"/>
        <v>88</v>
      </c>
      <c r="L48" s="9"/>
      <c r="M48" s="9">
        <f t="shared" si="6"/>
        <v>4224</v>
      </c>
      <c r="N48" s="10"/>
      <c r="O48" s="10" t="str">
        <f t="shared" si="1"/>
        <v/>
      </c>
      <c r="P48" s="9" t="str">
        <f t="shared" si="2"/>
        <v/>
      </c>
      <c r="Q48" s="9" t="str">
        <f t="shared" si="3"/>
        <v/>
      </c>
      <c r="R48" s="9" t="str">
        <f t="shared" si="4"/>
        <v/>
      </c>
    </row>
    <row r="49" spans="2:18" ht="18.75" x14ac:dyDescent="0.4">
      <c r="B49" s="8"/>
      <c r="C49" s="26" t="s">
        <v>304</v>
      </c>
      <c r="D49" s="8"/>
      <c r="E49" s="8" t="s">
        <v>308</v>
      </c>
      <c r="F49" s="28" t="s">
        <v>342</v>
      </c>
      <c r="G49" s="30">
        <v>4580487007922</v>
      </c>
      <c r="H49" s="41">
        <v>0.1</v>
      </c>
      <c r="I49" s="10">
        <v>6</v>
      </c>
      <c r="J49" s="31">
        <v>850</v>
      </c>
      <c r="K49" s="9">
        <f t="shared" si="9"/>
        <v>935.00000000000011</v>
      </c>
      <c r="L49" s="9"/>
      <c r="M49" s="9">
        <f t="shared" si="6"/>
        <v>5610.0000000000009</v>
      </c>
      <c r="N49" s="10"/>
      <c r="O49" s="10" t="str">
        <f t="shared" si="1"/>
        <v/>
      </c>
      <c r="P49" s="9" t="str">
        <f t="shared" si="2"/>
        <v/>
      </c>
      <c r="Q49" s="9" t="str">
        <f t="shared" si="3"/>
        <v/>
      </c>
      <c r="R49" s="9" t="str">
        <f t="shared" si="4"/>
        <v/>
      </c>
    </row>
    <row r="50" spans="2:18" ht="18.75" x14ac:dyDescent="0.4">
      <c r="B50" s="8"/>
      <c r="C50" s="26" t="s">
        <v>304</v>
      </c>
      <c r="D50" s="8"/>
      <c r="E50" s="8" t="s">
        <v>308</v>
      </c>
      <c r="F50" s="28" t="s">
        <v>343</v>
      </c>
      <c r="G50" s="30"/>
      <c r="H50" s="41">
        <v>0.1</v>
      </c>
      <c r="I50" s="10">
        <v>384</v>
      </c>
      <c r="J50" s="31">
        <v>9</v>
      </c>
      <c r="K50" s="9">
        <f t="shared" si="9"/>
        <v>9.9</v>
      </c>
      <c r="L50" s="9"/>
      <c r="M50" s="9">
        <f t="shared" si="6"/>
        <v>3801.6000000000004</v>
      </c>
      <c r="N50" s="10"/>
      <c r="O50" s="10" t="str">
        <f t="shared" si="1"/>
        <v/>
      </c>
      <c r="P50" s="9" t="str">
        <f t="shared" si="2"/>
        <v/>
      </c>
      <c r="Q50" s="9" t="str">
        <f t="shared" si="3"/>
        <v/>
      </c>
      <c r="R50" s="9" t="str">
        <f t="shared" si="4"/>
        <v/>
      </c>
    </row>
    <row r="51" spans="2:18" ht="18.75" x14ac:dyDescent="0.4">
      <c r="B51" s="8"/>
      <c r="C51" s="26" t="s">
        <v>307</v>
      </c>
      <c r="D51" s="8"/>
      <c r="E51" s="8" t="s">
        <v>308</v>
      </c>
      <c r="F51" s="28" t="s">
        <v>344</v>
      </c>
      <c r="G51" s="30"/>
      <c r="H51" s="41">
        <v>0.1</v>
      </c>
      <c r="I51" s="10">
        <v>108</v>
      </c>
      <c r="J51" s="31">
        <v>140</v>
      </c>
      <c r="K51" s="9">
        <f t="shared" si="9"/>
        <v>154</v>
      </c>
      <c r="L51" s="9"/>
      <c r="M51" s="9">
        <f t="shared" si="6"/>
        <v>16632</v>
      </c>
      <c r="N51" s="10"/>
      <c r="O51" s="10" t="str">
        <f t="shared" si="1"/>
        <v/>
      </c>
      <c r="P51" s="9" t="str">
        <f t="shared" si="2"/>
        <v/>
      </c>
      <c r="Q51" s="9" t="str">
        <f t="shared" si="3"/>
        <v/>
      </c>
      <c r="R51" s="9" t="str">
        <f t="shared" si="4"/>
        <v/>
      </c>
    </row>
    <row r="52" spans="2:18" ht="37.5" x14ac:dyDescent="0.4">
      <c r="B52" s="8"/>
      <c r="C52" s="26" t="s">
        <v>303</v>
      </c>
      <c r="D52" s="8"/>
      <c r="E52" s="8" t="s">
        <v>308</v>
      </c>
      <c r="F52" s="29" t="s">
        <v>348</v>
      </c>
      <c r="G52" s="30"/>
      <c r="H52" s="41">
        <v>0.1</v>
      </c>
      <c r="I52" s="10">
        <v>150</v>
      </c>
      <c r="J52" s="31">
        <v>145</v>
      </c>
      <c r="K52" s="9">
        <f t="shared" si="9"/>
        <v>159.5</v>
      </c>
      <c r="L52" s="9"/>
      <c r="M52" s="9">
        <f t="shared" si="6"/>
        <v>23925</v>
      </c>
      <c r="N52" s="10"/>
      <c r="O52" s="10" t="str">
        <f t="shared" si="1"/>
        <v/>
      </c>
      <c r="P52" s="9" t="str">
        <f t="shared" si="2"/>
        <v/>
      </c>
      <c r="Q52" s="9" t="str">
        <f t="shared" si="3"/>
        <v/>
      </c>
      <c r="R52" s="9" t="str">
        <f t="shared" si="4"/>
        <v/>
      </c>
    </row>
    <row r="53" spans="2:18" ht="18.75" x14ac:dyDescent="0.4">
      <c r="B53" s="8"/>
      <c r="C53" s="26" t="s">
        <v>303</v>
      </c>
      <c r="D53" s="8"/>
      <c r="E53" s="8" t="s">
        <v>308</v>
      </c>
      <c r="F53" s="28" t="s">
        <v>345</v>
      </c>
      <c r="G53" s="30"/>
      <c r="H53" s="41">
        <v>0.1</v>
      </c>
      <c r="I53" s="10">
        <v>60</v>
      </c>
      <c r="J53" s="31">
        <v>145</v>
      </c>
      <c r="K53" s="9">
        <f t="shared" si="9"/>
        <v>159.5</v>
      </c>
      <c r="L53" s="9"/>
      <c r="M53" s="9">
        <f t="shared" si="6"/>
        <v>9570</v>
      </c>
      <c r="N53" s="10"/>
      <c r="O53" s="10" t="str">
        <f t="shared" si="1"/>
        <v/>
      </c>
      <c r="P53" s="9" t="str">
        <f t="shared" si="2"/>
        <v/>
      </c>
      <c r="Q53" s="9" t="str">
        <f t="shared" si="3"/>
        <v/>
      </c>
      <c r="R53" s="9" t="str">
        <f t="shared" si="4"/>
        <v/>
      </c>
    </row>
    <row r="54" spans="2:18" ht="18.75" x14ac:dyDescent="0.4">
      <c r="B54" s="8"/>
      <c r="C54" s="26" t="s">
        <v>96</v>
      </c>
      <c r="D54" s="8"/>
      <c r="E54" s="8" t="s">
        <v>308</v>
      </c>
      <c r="F54" s="28" t="s">
        <v>346</v>
      </c>
      <c r="G54" s="30">
        <v>4560437940714</v>
      </c>
      <c r="H54" s="41">
        <v>0.1</v>
      </c>
      <c r="I54" s="10">
        <v>48</v>
      </c>
      <c r="J54" s="31">
        <v>150</v>
      </c>
      <c r="K54" s="9">
        <f t="shared" si="9"/>
        <v>165</v>
      </c>
      <c r="L54" s="9"/>
      <c r="M54" s="9">
        <f t="shared" si="6"/>
        <v>7920</v>
      </c>
      <c r="N54" s="10"/>
      <c r="O54" s="10" t="str">
        <f t="shared" si="1"/>
        <v/>
      </c>
      <c r="P54" s="9" t="str">
        <f t="shared" si="2"/>
        <v/>
      </c>
      <c r="Q54" s="9" t="str">
        <f t="shared" si="3"/>
        <v/>
      </c>
      <c r="R54" s="9" t="str">
        <f t="shared" si="4"/>
        <v/>
      </c>
    </row>
    <row r="55" spans="2:18" x14ac:dyDescent="0.4">
      <c r="B55" s="8"/>
      <c r="C55" s="8"/>
      <c r="D55" s="8"/>
      <c r="E55" s="8"/>
      <c r="F55" s="8"/>
      <c r="G55" s="19"/>
      <c r="H55" s="8"/>
      <c r="I55" s="10"/>
      <c r="J55" s="9"/>
      <c r="K55" s="9"/>
      <c r="L55" s="9"/>
      <c r="M55" s="9"/>
      <c r="N55" s="10"/>
      <c r="O55" s="10" t="str">
        <f t="shared" si="1"/>
        <v/>
      </c>
      <c r="P55" s="9" t="str">
        <f t="shared" si="2"/>
        <v/>
      </c>
      <c r="Q55" s="9" t="str">
        <f t="shared" si="3"/>
        <v/>
      </c>
      <c r="R55" s="9" t="str">
        <f t="shared" si="4"/>
        <v/>
      </c>
    </row>
    <row r="56" spans="2:18" x14ac:dyDescent="0.4">
      <c r="B56" s="8"/>
      <c r="C56" s="8"/>
      <c r="D56" s="8"/>
      <c r="E56" s="8"/>
      <c r="F56" s="8"/>
      <c r="G56" s="19"/>
      <c r="H56" s="8"/>
      <c r="I56" s="10"/>
      <c r="J56" s="9"/>
      <c r="K56" s="9"/>
      <c r="L56" s="9"/>
      <c r="M56" s="9"/>
      <c r="N56" s="10"/>
      <c r="O56" s="10" t="str">
        <f t="shared" si="1"/>
        <v/>
      </c>
      <c r="P56" s="9" t="str">
        <f t="shared" si="2"/>
        <v/>
      </c>
      <c r="Q56" s="9" t="str">
        <f t="shared" si="3"/>
        <v/>
      </c>
      <c r="R56" s="9" t="str">
        <f t="shared" si="4"/>
        <v/>
      </c>
    </row>
    <row r="57" spans="2:18" x14ac:dyDescent="0.4">
      <c r="B57" s="8"/>
      <c r="C57" s="8"/>
      <c r="D57" s="8"/>
      <c r="E57" s="8"/>
      <c r="F57" s="8"/>
      <c r="G57" s="19"/>
      <c r="H57" s="8"/>
      <c r="I57" s="10"/>
      <c r="J57" s="9"/>
      <c r="K57" s="9"/>
      <c r="L57" s="9"/>
      <c r="M57" s="9"/>
      <c r="N57" s="10"/>
      <c r="O57" s="10" t="str">
        <f t="shared" ref="O57:O74" si="10">IF(N57="","",I57-N57)</f>
        <v/>
      </c>
      <c r="P57" s="9" t="str">
        <f t="shared" ref="P57:P74" si="11">IFERROR(O57*J57,"")</f>
        <v/>
      </c>
      <c r="Q57" s="9" t="str">
        <f t="shared" ref="Q57:Q74" si="12">IFERROR(P57*O57,"")</f>
        <v/>
      </c>
      <c r="R57" s="9" t="str">
        <f t="shared" ref="R57:R74" si="13">IFERROR(Q57-P57,"")</f>
        <v/>
      </c>
    </row>
    <row r="58" spans="2:18" x14ac:dyDescent="0.4">
      <c r="B58" s="8"/>
      <c r="C58" s="8"/>
      <c r="D58" s="8"/>
      <c r="E58" s="8"/>
      <c r="F58" s="8"/>
      <c r="G58" s="19"/>
      <c r="H58" s="8"/>
      <c r="I58" s="10"/>
      <c r="J58" s="9"/>
      <c r="K58" s="9"/>
      <c r="L58" s="9"/>
      <c r="M58" s="9"/>
      <c r="N58" s="10"/>
      <c r="O58" s="10" t="str">
        <f t="shared" si="10"/>
        <v/>
      </c>
      <c r="P58" s="9" t="str">
        <f t="shared" si="11"/>
        <v/>
      </c>
      <c r="Q58" s="9" t="str">
        <f t="shared" si="12"/>
        <v/>
      </c>
      <c r="R58" s="9" t="str">
        <f t="shared" si="13"/>
        <v/>
      </c>
    </row>
    <row r="59" spans="2:18" x14ac:dyDescent="0.4">
      <c r="B59" s="8"/>
      <c r="C59" s="8"/>
      <c r="D59" s="8"/>
      <c r="E59" s="8"/>
      <c r="F59" s="8"/>
      <c r="G59" s="19"/>
      <c r="H59" s="8"/>
      <c r="I59" s="10"/>
      <c r="J59" s="9"/>
      <c r="K59" s="9"/>
      <c r="L59" s="9"/>
      <c r="M59" s="9"/>
      <c r="N59" s="10"/>
      <c r="O59" s="10" t="str">
        <f t="shared" si="10"/>
        <v/>
      </c>
      <c r="P59" s="9" t="str">
        <f t="shared" si="11"/>
        <v/>
      </c>
      <c r="Q59" s="9" t="str">
        <f t="shared" si="12"/>
        <v/>
      </c>
      <c r="R59" s="9" t="str">
        <f t="shared" si="13"/>
        <v/>
      </c>
    </row>
    <row r="60" spans="2:18" x14ac:dyDescent="0.4">
      <c r="B60" s="8"/>
      <c r="C60" s="8"/>
      <c r="D60" s="8"/>
      <c r="E60" s="8"/>
      <c r="F60" s="8"/>
      <c r="G60" s="19"/>
      <c r="H60" s="8"/>
      <c r="I60" s="10"/>
      <c r="J60" s="9"/>
      <c r="K60" s="9"/>
      <c r="L60" s="9"/>
      <c r="M60" s="9"/>
      <c r="N60" s="10"/>
      <c r="O60" s="10" t="str">
        <f t="shared" si="10"/>
        <v/>
      </c>
      <c r="P60" s="9" t="str">
        <f t="shared" si="11"/>
        <v/>
      </c>
      <c r="Q60" s="9" t="str">
        <f t="shared" si="12"/>
        <v/>
      </c>
      <c r="R60" s="9" t="str">
        <f t="shared" si="13"/>
        <v/>
      </c>
    </row>
    <row r="61" spans="2:18" x14ac:dyDescent="0.4">
      <c r="B61" s="8"/>
      <c r="C61" s="8"/>
      <c r="D61" s="8"/>
      <c r="E61" s="8"/>
      <c r="F61" s="8"/>
      <c r="G61" s="19"/>
      <c r="H61" s="8"/>
      <c r="I61" s="10"/>
      <c r="J61" s="9"/>
      <c r="K61" s="9"/>
      <c r="L61" s="9"/>
      <c r="M61" s="9"/>
      <c r="N61" s="10"/>
      <c r="O61" s="10" t="str">
        <f t="shared" si="10"/>
        <v/>
      </c>
      <c r="P61" s="9" t="str">
        <f t="shared" si="11"/>
        <v/>
      </c>
      <c r="Q61" s="9" t="str">
        <f t="shared" si="12"/>
        <v/>
      </c>
      <c r="R61" s="9" t="str">
        <f t="shared" si="13"/>
        <v/>
      </c>
    </row>
    <row r="62" spans="2:18" x14ac:dyDescent="0.4">
      <c r="B62" s="8"/>
      <c r="C62" s="8"/>
      <c r="D62" s="8"/>
      <c r="E62" s="8"/>
      <c r="F62" s="8"/>
      <c r="G62" s="19"/>
      <c r="H62" s="8"/>
      <c r="I62" s="10"/>
      <c r="J62" s="9"/>
      <c r="K62" s="9"/>
      <c r="L62" s="9"/>
      <c r="M62" s="9"/>
      <c r="N62" s="10"/>
      <c r="O62" s="10" t="str">
        <f t="shared" si="10"/>
        <v/>
      </c>
      <c r="P62" s="9" t="str">
        <f t="shared" si="11"/>
        <v/>
      </c>
      <c r="Q62" s="9" t="str">
        <f t="shared" si="12"/>
        <v/>
      </c>
      <c r="R62" s="9" t="str">
        <f t="shared" si="13"/>
        <v/>
      </c>
    </row>
    <row r="63" spans="2:18" x14ac:dyDescent="0.4">
      <c r="B63" s="8"/>
      <c r="C63" s="8"/>
      <c r="D63" s="8"/>
      <c r="E63" s="8"/>
      <c r="F63" s="8"/>
      <c r="G63" s="19"/>
      <c r="H63" s="8"/>
      <c r="I63" s="10"/>
      <c r="J63" s="9"/>
      <c r="K63" s="9"/>
      <c r="L63" s="9"/>
      <c r="M63" s="9"/>
      <c r="N63" s="10"/>
      <c r="O63" s="10" t="str">
        <f t="shared" si="10"/>
        <v/>
      </c>
      <c r="P63" s="9" t="str">
        <f t="shared" si="11"/>
        <v/>
      </c>
      <c r="Q63" s="9" t="str">
        <f t="shared" si="12"/>
        <v/>
      </c>
      <c r="R63" s="9" t="str">
        <f t="shared" si="13"/>
        <v/>
      </c>
    </row>
    <row r="64" spans="2:18" x14ac:dyDescent="0.4">
      <c r="B64" s="8"/>
      <c r="C64" s="8"/>
      <c r="D64" s="8"/>
      <c r="E64" s="8"/>
      <c r="F64" s="8"/>
      <c r="G64" s="19"/>
      <c r="H64" s="8"/>
      <c r="I64" s="10"/>
      <c r="J64" s="9"/>
      <c r="K64" s="9"/>
      <c r="L64" s="9"/>
      <c r="M64" s="9"/>
      <c r="N64" s="10"/>
      <c r="O64" s="10" t="str">
        <f t="shared" si="10"/>
        <v/>
      </c>
      <c r="P64" s="9" t="str">
        <f t="shared" si="11"/>
        <v/>
      </c>
      <c r="Q64" s="9" t="str">
        <f t="shared" si="12"/>
        <v/>
      </c>
      <c r="R64" s="9" t="str">
        <f t="shared" si="13"/>
        <v/>
      </c>
    </row>
    <row r="65" spans="2:18" x14ac:dyDescent="0.4">
      <c r="B65" s="8"/>
      <c r="C65" s="8"/>
      <c r="D65" s="8"/>
      <c r="E65" s="8"/>
      <c r="F65" s="8"/>
      <c r="G65" s="19"/>
      <c r="H65" s="8"/>
      <c r="I65" s="10"/>
      <c r="J65" s="9"/>
      <c r="K65" s="9"/>
      <c r="L65" s="9"/>
      <c r="M65" s="9"/>
      <c r="N65" s="10"/>
      <c r="O65" s="10" t="str">
        <f t="shared" si="10"/>
        <v/>
      </c>
      <c r="P65" s="9" t="str">
        <f t="shared" si="11"/>
        <v/>
      </c>
      <c r="Q65" s="9" t="str">
        <f t="shared" si="12"/>
        <v/>
      </c>
      <c r="R65" s="9" t="str">
        <f t="shared" si="13"/>
        <v/>
      </c>
    </row>
    <row r="66" spans="2:18" x14ac:dyDescent="0.4">
      <c r="B66" s="8"/>
      <c r="C66" s="8"/>
      <c r="D66" s="8"/>
      <c r="E66" s="8"/>
      <c r="F66" s="8"/>
      <c r="G66" s="19"/>
      <c r="H66" s="8"/>
      <c r="I66" s="10"/>
      <c r="J66" s="9"/>
      <c r="K66" s="9"/>
      <c r="L66" s="9"/>
      <c r="M66" s="9"/>
      <c r="N66" s="10"/>
      <c r="O66" s="10" t="str">
        <f t="shared" si="10"/>
        <v/>
      </c>
      <c r="P66" s="9" t="str">
        <f t="shared" si="11"/>
        <v/>
      </c>
      <c r="Q66" s="9" t="str">
        <f t="shared" si="12"/>
        <v/>
      </c>
      <c r="R66" s="9" t="str">
        <f t="shared" si="13"/>
        <v/>
      </c>
    </row>
    <row r="67" spans="2:18" x14ac:dyDescent="0.4">
      <c r="B67" s="8"/>
      <c r="C67" s="8"/>
      <c r="D67" s="8"/>
      <c r="E67" s="8"/>
      <c r="F67" s="8"/>
      <c r="G67" s="19"/>
      <c r="H67" s="8"/>
      <c r="I67" s="10"/>
      <c r="J67" s="9"/>
      <c r="K67" s="9"/>
      <c r="L67" s="9"/>
      <c r="M67" s="9"/>
      <c r="N67" s="10"/>
      <c r="O67" s="10" t="str">
        <f t="shared" si="10"/>
        <v/>
      </c>
      <c r="P67" s="9" t="str">
        <f t="shared" si="11"/>
        <v/>
      </c>
      <c r="Q67" s="9" t="str">
        <f t="shared" si="12"/>
        <v/>
      </c>
      <c r="R67" s="9" t="str">
        <f t="shared" si="13"/>
        <v/>
      </c>
    </row>
    <row r="68" spans="2:18" x14ac:dyDescent="0.4">
      <c r="B68" s="8"/>
      <c r="C68" s="8"/>
      <c r="D68" s="8"/>
      <c r="E68" s="8"/>
      <c r="F68" s="8"/>
      <c r="G68" s="19"/>
      <c r="H68" s="8"/>
      <c r="I68" s="10"/>
      <c r="J68" s="9"/>
      <c r="K68" s="9"/>
      <c r="L68" s="9"/>
      <c r="M68" s="9"/>
      <c r="N68" s="10"/>
      <c r="O68" s="10" t="str">
        <f t="shared" si="10"/>
        <v/>
      </c>
      <c r="P68" s="9" t="str">
        <f t="shared" si="11"/>
        <v/>
      </c>
      <c r="Q68" s="9" t="str">
        <f t="shared" si="12"/>
        <v/>
      </c>
      <c r="R68" s="9" t="str">
        <f t="shared" si="13"/>
        <v/>
      </c>
    </row>
    <row r="69" spans="2:18" x14ac:dyDescent="0.4">
      <c r="B69" s="8"/>
      <c r="C69" s="8"/>
      <c r="D69" s="8"/>
      <c r="E69" s="8"/>
      <c r="F69" s="8"/>
      <c r="G69" s="19"/>
      <c r="H69" s="8"/>
      <c r="I69" s="10"/>
      <c r="J69" s="9"/>
      <c r="K69" s="9"/>
      <c r="L69" s="9"/>
      <c r="M69" s="9"/>
      <c r="N69" s="10"/>
      <c r="O69" s="10" t="str">
        <f t="shared" si="10"/>
        <v/>
      </c>
      <c r="P69" s="9" t="str">
        <f t="shared" si="11"/>
        <v/>
      </c>
      <c r="Q69" s="9" t="str">
        <f t="shared" si="12"/>
        <v/>
      </c>
      <c r="R69" s="9" t="str">
        <f t="shared" si="13"/>
        <v/>
      </c>
    </row>
    <row r="70" spans="2:18" x14ac:dyDescent="0.4">
      <c r="B70" s="8"/>
      <c r="C70" s="8"/>
      <c r="D70" s="8"/>
      <c r="E70" s="8"/>
      <c r="F70" s="8"/>
      <c r="G70" s="19"/>
      <c r="H70" s="8"/>
      <c r="I70" s="10"/>
      <c r="J70" s="9"/>
      <c r="K70" s="9"/>
      <c r="L70" s="9"/>
      <c r="M70" s="9"/>
      <c r="N70" s="10"/>
      <c r="O70" s="10" t="str">
        <f t="shared" si="10"/>
        <v/>
      </c>
      <c r="P70" s="9" t="str">
        <f t="shared" si="11"/>
        <v/>
      </c>
      <c r="Q70" s="9" t="str">
        <f t="shared" si="12"/>
        <v/>
      </c>
      <c r="R70" s="9" t="str">
        <f t="shared" si="13"/>
        <v/>
      </c>
    </row>
    <row r="71" spans="2:18" x14ac:dyDescent="0.4">
      <c r="B71" s="8"/>
      <c r="C71" s="8"/>
      <c r="D71" s="8"/>
      <c r="E71" s="8"/>
      <c r="F71" s="8"/>
      <c r="G71" s="19"/>
      <c r="H71" s="8"/>
      <c r="I71" s="10"/>
      <c r="J71" s="9"/>
      <c r="K71" s="9"/>
      <c r="L71" s="9"/>
      <c r="M71" s="9"/>
      <c r="N71" s="10"/>
      <c r="O71" s="10" t="str">
        <f t="shared" si="10"/>
        <v/>
      </c>
      <c r="P71" s="9" t="str">
        <f t="shared" si="11"/>
        <v/>
      </c>
      <c r="Q71" s="9" t="str">
        <f t="shared" si="12"/>
        <v/>
      </c>
      <c r="R71" s="9" t="str">
        <f t="shared" si="13"/>
        <v/>
      </c>
    </row>
    <row r="72" spans="2:18" x14ac:dyDescent="0.4">
      <c r="B72" s="8"/>
      <c r="C72" s="8"/>
      <c r="D72" s="8"/>
      <c r="E72" s="8"/>
      <c r="F72" s="8"/>
      <c r="G72" s="19"/>
      <c r="H72" s="8"/>
      <c r="I72" s="10"/>
      <c r="J72" s="9"/>
      <c r="K72" s="9"/>
      <c r="L72" s="9"/>
      <c r="M72" s="9"/>
      <c r="N72" s="10"/>
      <c r="O72" s="10" t="str">
        <f t="shared" si="10"/>
        <v/>
      </c>
      <c r="P72" s="9" t="str">
        <f t="shared" si="11"/>
        <v/>
      </c>
      <c r="Q72" s="9" t="str">
        <f t="shared" si="12"/>
        <v/>
      </c>
      <c r="R72" s="9" t="str">
        <f t="shared" si="13"/>
        <v/>
      </c>
    </row>
    <row r="73" spans="2:18" x14ac:dyDescent="0.4">
      <c r="B73" s="8"/>
      <c r="C73" s="8"/>
      <c r="D73" s="8"/>
      <c r="E73" s="8"/>
      <c r="F73" s="8"/>
      <c r="G73" s="19"/>
      <c r="H73" s="8"/>
      <c r="I73" s="10"/>
      <c r="J73" s="9"/>
      <c r="K73" s="9"/>
      <c r="L73" s="9"/>
      <c r="M73" s="9"/>
      <c r="N73" s="10"/>
      <c r="O73" s="10" t="str">
        <f t="shared" si="10"/>
        <v/>
      </c>
      <c r="P73" s="9" t="str">
        <f t="shared" si="11"/>
        <v/>
      </c>
      <c r="Q73" s="9" t="str">
        <f t="shared" si="12"/>
        <v/>
      </c>
      <c r="R73" s="9" t="str">
        <f t="shared" si="13"/>
        <v/>
      </c>
    </row>
    <row r="74" spans="2:18" x14ac:dyDescent="0.4">
      <c r="B74" s="8"/>
      <c r="C74" s="8"/>
      <c r="D74" s="8"/>
      <c r="E74" s="8"/>
      <c r="F74" s="8"/>
      <c r="G74" s="19"/>
      <c r="H74" s="8"/>
      <c r="I74" s="10"/>
      <c r="J74" s="9"/>
      <c r="K74" s="9"/>
      <c r="L74" s="9"/>
      <c r="M74" s="9"/>
      <c r="N74" s="10"/>
      <c r="O74" s="10" t="str">
        <f t="shared" si="10"/>
        <v/>
      </c>
      <c r="P74" s="9" t="str">
        <f t="shared" si="11"/>
        <v/>
      </c>
      <c r="Q74" s="9" t="str">
        <f t="shared" si="12"/>
        <v/>
      </c>
      <c r="R74" s="9" t="str">
        <f t="shared" si="13"/>
        <v/>
      </c>
    </row>
  </sheetData>
  <mergeCells count="1">
    <mergeCell ref="C40:C41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雛形</vt:lpstr>
      <vt:lpstr>森本仕入れ</vt:lpstr>
      <vt:lpstr>札幌店</vt:lpstr>
      <vt:lpstr>仙台店</vt:lpstr>
      <vt:lpstr>松戸店</vt:lpstr>
      <vt:lpstr>高崎店</vt:lpstr>
      <vt:lpstr>秋葉原店</vt:lpstr>
      <vt:lpstr>横浜店</vt:lpstr>
      <vt:lpstr>甲府店</vt:lpstr>
      <vt:lpstr>岡山店</vt:lpstr>
      <vt:lpstr>松山店</vt:lpstr>
      <vt:lpstr>大阪店</vt:lpstr>
      <vt:lpstr>奈良店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TOA-L</dc:creator>
  <cp:lastModifiedBy>TOA-L</cp:lastModifiedBy>
  <dcterms:created xsi:type="dcterms:W3CDTF">2021-10-28T05:29:18Z</dcterms:created>
  <dcterms:modified xsi:type="dcterms:W3CDTF">2021-11-09T02:11:25Z</dcterms:modified>
</cp:coreProperties>
</file>