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064FC27C-88C9-4DAF-AE9B-8325241AED56}" xr6:coauthVersionLast="46" xr6:coauthVersionMax="46" xr10:uidLastSave="{00000000-0000-0000-0000-000000000000}"/>
  <bookViews>
    <workbookView xWindow="-28920" yWindow="1845" windowWidth="29040" windowHeight="15840" tabRatio="524" activeTab="1" xr2:uid="{00000000-000D-0000-FFFF-FFFF00000000}"/>
  </bookViews>
  <sheets>
    <sheet name="params_sim" sheetId="22" r:id="rId1"/>
    <sheet name="params_val" sheetId="27" r:id="rId2"/>
    <sheet name="GlobalParams" sheetId="3" r:id="rId3"/>
    <sheet name="params_byTier" sheetId="19" r:id="rId4"/>
    <sheet name="returns" sheetId="2" r:id="rId5"/>
    <sheet name="targetVals_pf.AL" sheetId="25" r:id="rId6"/>
    <sheet name="targetVals_pf.NC" sheetId="30" r:id="rId7"/>
    <sheet name="targeVals_raw" sheetId="23" r:id="rId8"/>
    <sheet name="groupWgts" sheetId="24" r:id="rId9"/>
    <sheet name="Sheet2" sheetId="26" r:id="rId10"/>
    <sheet name="Note1" sheetId="2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25" l="1"/>
  <c r="D14" i="25"/>
  <c r="E14" i="25"/>
  <c r="C15" i="25"/>
  <c r="D15" i="25"/>
  <c r="E15" i="25"/>
  <c r="C16" i="25"/>
  <c r="D16" i="25"/>
  <c r="E16" i="25"/>
  <c r="C17" i="25"/>
  <c r="D17" i="25"/>
  <c r="E17" i="25"/>
  <c r="D13" i="25"/>
  <c r="E13" i="25"/>
  <c r="C13" i="25"/>
  <c r="F15" i="30"/>
  <c r="D17" i="30"/>
  <c r="E17" i="30"/>
  <c r="F17" i="30"/>
  <c r="D18" i="30"/>
  <c r="E18" i="30"/>
  <c r="F18" i="30"/>
  <c r="D19" i="30"/>
  <c r="E19" i="30"/>
  <c r="F19" i="30"/>
  <c r="E16" i="30"/>
  <c r="F16" i="30"/>
  <c r="D16" i="30"/>
  <c r="F9" i="30"/>
  <c r="F10" i="30"/>
  <c r="F11" i="30"/>
  <c r="F12" i="30"/>
  <c r="F13" i="30"/>
  <c r="F14" i="30"/>
  <c r="F8" i="30"/>
  <c r="E38" i="25"/>
  <c r="E29" i="25"/>
  <c r="E30" i="25"/>
  <c r="E31" i="25"/>
  <c r="E32" i="25"/>
  <c r="E33" i="25"/>
  <c r="E34" i="25"/>
  <c r="E35" i="25"/>
  <c r="E36" i="25"/>
  <c r="E37" i="25"/>
  <c r="E19" i="25"/>
  <c r="E20" i="25"/>
  <c r="E21" i="25"/>
  <c r="E22" i="25"/>
  <c r="E23" i="25"/>
  <c r="E24" i="25"/>
  <c r="E25" i="25"/>
  <c r="E26" i="25"/>
  <c r="E7" i="25"/>
  <c r="E8" i="25"/>
  <c r="E9" i="25"/>
  <c r="E10" i="25"/>
  <c r="E18" i="25"/>
  <c r="E6" i="25"/>
  <c r="F5" i="2"/>
  <c r="E5" i="2"/>
  <c r="F4" i="2"/>
  <c r="E4" i="2"/>
  <c r="D29" i="23" l="1"/>
  <c r="C26" i="23"/>
  <c r="D26" i="23"/>
  <c r="F26" i="23"/>
  <c r="G26" i="23"/>
  <c r="H26" i="23"/>
  <c r="I26" i="23"/>
  <c r="K26" i="23"/>
  <c r="B26" i="23"/>
  <c r="K40" i="23" l="1"/>
  <c r="K39" i="23"/>
  <c r="K38" i="23"/>
  <c r="K37" i="23"/>
  <c r="K36" i="23"/>
  <c r="K33" i="23"/>
  <c r="K30" i="23"/>
  <c r="K31" i="23"/>
  <c r="K32" i="23"/>
  <c r="K29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B24" i="24" l="1"/>
  <c r="B23" i="24"/>
  <c r="B20" i="24"/>
  <c r="B19" i="24"/>
  <c r="R10" i="24"/>
  <c r="Q10" i="24"/>
  <c r="R7" i="24"/>
  <c r="R12" i="24" s="1"/>
  <c r="R6" i="24"/>
  <c r="Q7" i="24"/>
  <c r="Q6" i="24"/>
  <c r="Q11" i="24" s="1"/>
  <c r="I36" i="23"/>
  <c r="I37" i="23"/>
  <c r="I38" i="23"/>
  <c r="I39" i="23"/>
  <c r="I40" i="23"/>
  <c r="I33" i="23"/>
  <c r="I30" i="23"/>
  <c r="I31" i="23"/>
  <c r="I32" i="23"/>
  <c r="I29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6" i="23"/>
  <c r="H37" i="23"/>
  <c r="H38" i="23"/>
  <c r="H39" i="23"/>
  <c r="H40" i="23"/>
  <c r="H19" i="23"/>
  <c r="G36" i="23"/>
  <c r="G37" i="23"/>
  <c r="G38" i="23"/>
  <c r="G39" i="23"/>
  <c r="G40" i="23"/>
  <c r="G19" i="23"/>
  <c r="F40" i="23"/>
  <c r="F39" i="23"/>
  <c r="F38" i="23"/>
  <c r="F37" i="23"/>
  <c r="F36" i="23"/>
  <c r="F19" i="23"/>
  <c r="Q12" i="24" l="1"/>
  <c r="R11" i="24"/>
  <c r="D10" i="24"/>
  <c r="E10" i="24"/>
  <c r="F10" i="24"/>
  <c r="E9" i="24"/>
  <c r="F9" i="24"/>
  <c r="D9" i="24"/>
  <c r="B10" i="24"/>
  <c r="C10" i="24"/>
  <c r="C9" i="24"/>
  <c r="B9" i="24"/>
  <c r="B16" i="24" s="1"/>
  <c r="N11" i="24"/>
  <c r="N12" i="24"/>
  <c r="M12" i="24"/>
  <c r="M11" i="24"/>
  <c r="L10" i="24"/>
  <c r="B30" i="24" s="1"/>
  <c r="K10" i="24"/>
  <c r="B29" i="24" s="1"/>
  <c r="J10" i="24"/>
  <c r="I10" i="24"/>
  <c r="B22" i="24" l="1"/>
  <c r="B18" i="24"/>
  <c r="B17" i="24"/>
  <c r="B32" i="24"/>
  <c r="B34" i="24"/>
  <c r="B33" i="24"/>
  <c r="B31" i="24"/>
  <c r="F8" i="26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9" i="2" l="1"/>
  <c r="E9" i="2" s="1"/>
  <c r="C40" i="23" l="1"/>
  <c r="D40" i="23"/>
  <c r="B40" i="23"/>
  <c r="D36" i="23"/>
  <c r="D37" i="23"/>
  <c r="D38" i="23"/>
  <c r="D39" i="23"/>
  <c r="C36" i="23"/>
  <c r="C37" i="23"/>
  <c r="C38" i="23"/>
  <c r="C39" i="23"/>
  <c r="B37" i="23"/>
  <c r="B38" i="23"/>
  <c r="B39" i="23"/>
  <c r="B36" i="23"/>
  <c r="D33" i="23"/>
  <c r="D30" i="23"/>
  <c r="D31" i="23"/>
  <c r="D32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0" i="2"/>
  <c r="E10" i="2" s="1"/>
  <c r="F8" i="2"/>
  <c r="E8" i="2" s="1"/>
  <c r="F7" i="2"/>
  <c r="E7" i="2" s="1"/>
  <c r="F6" i="2"/>
  <c r="E6" i="2" s="1"/>
  <c r="F3" i="2"/>
  <c r="E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tc={2BAAEFE0-093F-4A47-AC11-22B6E01FEF48}</author>
    <author>tc={8515E407-C037-4E97-A4C6-62FC0108B1A6}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W4" authorId="2" shapeId="0" xr:uid="{2BAAEFE0-093F-4A47-AC11-22B6E01FEF48}">
      <text>
        <t>[Threaded comment]
Your version of Excel allows you to read this threaded comment; however, any edits to it will get removed if the file is opened in a newer version of Excel. Learn more: https://go.microsoft.com/fwlink/?linkid=870924
Comment:
    COLA when risk-sharing is not triggered</t>
      </text>
    </comment>
    <comment ref="AC4" authorId="3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G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Q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tc={F5769092-1632-411C-A719-C700B72F16AC}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tc={415E75A4-D874-4451-9738-3804C711237C}</author>
  </authors>
  <commentList>
    <comment ref="A15" authorId="0" shapeId="0" xr:uid="{415E75A4-D874-4451-9738-3804C711237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shares for actives for all types of decrements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<sst xmlns="http://schemas.openxmlformats.org/spreadsheetml/2006/main" count="487" uniqueCount="309">
  <si>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</si>
  <si>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</si>
  <si>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</si>
  <si>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</si>
  <si>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</si>
  <si>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</si>
  <si>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</si>
  <si>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</si>
  <si>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</si>
  <si>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</si>
  <si>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</si>
  <si>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</si>
  <si>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</si>
  <si>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</si>
  <si>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</si>
  <si>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</si>
  <si>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</si>
  <si>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</si>
  <si>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</si>
  <si>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</si>
  <si>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</si>
  <si>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</si>
  <si>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</si>
  <si>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</si>
  <si>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</si>
  <si>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</si>
  <si>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</si>
  <si>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</si>
  <si>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</si>
  <si>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</si>
  <si>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</si>
  <si>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</si>
  <si>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</si>
  <si>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</si>
  <si>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</si>
  <si>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</si>
  <si>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</si>
  <si>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</si>
  <si>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</si>
  <si>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</si>
  <si>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</si>
  <si>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</si>
  <si>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</si>
  <si>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</si>
  <si>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</si>
  <si>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</si>
  <si>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</si>
  <si>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</si>
  <si>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</si>
  <si>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</si>
  <si>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</si>
  <si>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</si>
  <si>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</si>
  <si>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</si>
  <si>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</si>
  <si>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</si>
  <si>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</si>
  <si>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</si>
  <si>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</si>
  <si>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</si>
  <si>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</si>
  <si>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corridor</t>
  </si>
  <si>
    <t>EAN.CP</t>
  </si>
  <si>
    <t>Tiers</t>
  </si>
  <si>
    <t>singleTier</t>
  </si>
  <si>
    <t>Total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</si>
  <si>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</si>
  <si>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</si>
  <si>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</si>
  <si>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</si>
  <si>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</si>
  <si>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</si>
  <si>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</si>
  <si>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</si>
  <si>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</si>
  <si>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</si>
  <si>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</si>
  <si>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</si>
  <si>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</si>
  <si>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</si>
  <si>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</si>
  <si>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</si>
  <si>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</si>
  <si>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</si>
  <si>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</si>
  <si>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</si>
  <si>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</si>
  <si>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</si>
  <si>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</si>
  <si>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</si>
  <si>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</si>
  <si>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</si>
  <si>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</si>
  <si>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</si>
  <si>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</si>
  <si>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</si>
  <si>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</si>
  <si>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</si>
  <si>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</si>
  <si>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</si>
  <si>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</si>
  <si>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</si>
  <si>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</si>
  <si>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year_reduction</t>
  </si>
  <si>
    <t>RS_shock</t>
  </si>
  <si>
    <t>internal</t>
  </si>
  <si>
    <t>California Rule</t>
  </si>
  <si>
    <t>AL_defrRet_pctALactive</t>
  </si>
  <si>
    <t>B_adjust</t>
  </si>
  <si>
    <t>calib_qxm.post</t>
  </si>
  <si>
    <t>AL_defrRet_pctALservRet</t>
  </si>
  <si>
    <t>Special settings</t>
  </si>
  <si>
    <t>use_baselineUAAL</t>
  </si>
  <si>
    <t>sim_name_baseline</t>
  </si>
  <si>
    <t>use_baselineMA</t>
  </si>
  <si>
    <t>cola_assumed_override</t>
  </si>
  <si>
    <t>PERF B</t>
  </si>
  <si>
    <t>PERF C</t>
  </si>
  <si>
    <t>CalPERS total</t>
  </si>
  <si>
    <t>PERF A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</si>
  <si>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</si>
  <si>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</si>
  <si>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</si>
  <si>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</si>
  <si>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</si>
  <si>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</si>
  <si>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</si>
  <si>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</si>
  <si>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</si>
  <si>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 xml:space="preserve">misc </t>
  </si>
  <si>
    <t>receiving pmt</t>
  </si>
  <si>
    <t>misc-classic</t>
  </si>
  <si>
    <t>misc-PEPRA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</si>
  <si>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</si>
  <si>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</si>
  <si>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</si>
  <si>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</si>
  <si>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</si>
  <si>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</si>
  <si>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</si>
  <si>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</si>
  <si>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</si>
  <si>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</si>
  <si>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</si>
  <si>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</si>
  <si>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</si>
  <si>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</si>
  <si>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</si>
  <si>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</si>
  <si>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</si>
  <si>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For tier sftyAll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</si>
  <si>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</si>
  <si>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</si>
  <si>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</si>
  <si>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</si>
  <si>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</si>
  <si>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</si>
  <si>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</si>
  <si>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</si>
  <si>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</si>
  <si>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</si>
  <si>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</si>
  <si>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</si>
  <si>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</si>
  <si>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</si>
  <si>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</si>
  <si>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</si>
  <si>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</si>
  <si>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</si>
  <si>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sftyAll_bf100_cola1p5</t>
  </si>
  <si>
    <t>sftyAll_bf75_cola1p5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</si>
  <si>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</si>
  <si>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</si>
  <si>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</si>
  <si>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</si>
  <si>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</si>
  <si>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</si>
  <si>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Misc members: baseline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</si>
  <si>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</si>
  <si>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</si>
  <si>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</si>
  <si>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</si>
  <si>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</si>
  <si>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</si>
  <si>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</si>
  <si>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</si>
  <si>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</si>
  <si>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</si>
  <si>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</si>
  <si>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</si>
  <si>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</si>
  <si>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</si>
  <si>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</si>
  <si>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</si>
  <si>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</si>
  <si>
    <t>Group1</t>
  </si>
  <si>
    <t>Group2</t>
  </si>
  <si>
    <r>
      <rPr>
        <b/>
        <sz val="11"/>
        <color theme="1"/>
        <rFont val="Calibri"/>
        <family val="2"/>
        <scheme val="minor"/>
      </rPr>
      <t>Member types:</t>
    </r>
    <r>
      <rPr>
        <sz val="11"/>
        <color theme="1"/>
        <rFont val="Calibri"/>
        <family val="2"/>
        <scheme val="minor"/>
      </rPr>
      <t xml:space="preserve"> AV2018 np15-19 2018-06-30</t>
    </r>
  </si>
  <si>
    <t>misc-Tier1</t>
  </si>
  <si>
    <t>misc-Tier2</t>
  </si>
  <si>
    <t>share in group</t>
  </si>
  <si>
    <r>
      <rPr>
        <b/>
        <sz val="11"/>
        <color theme="1"/>
        <rFont val="Calibri"/>
        <family val="2"/>
        <scheme val="minor"/>
      </rPr>
      <t xml:space="preserve">Classic vs PEPRA: </t>
    </r>
    <r>
      <rPr>
        <sz val="11"/>
        <color theme="1"/>
        <rFont val="Calibri"/>
        <family val="2"/>
        <scheme val="minor"/>
      </rPr>
      <t>CAFR2018-19 ep159 state members column 2018</t>
    </r>
  </si>
  <si>
    <t>servRet+survivors</t>
  </si>
  <si>
    <t>disbRet</t>
  </si>
  <si>
    <r>
      <t xml:space="preserve">Tier 1 vs Tier 2 </t>
    </r>
    <r>
      <rPr>
        <sz val="11"/>
        <color theme="1"/>
        <rFont val="Calibri"/>
        <family val="2"/>
        <scheme val="minor"/>
      </rPr>
      <t>AV2018 Appendix C</t>
    </r>
    <r>
      <rPr>
        <b/>
        <sz val="11"/>
        <color theme="1"/>
        <rFont val="Calibri"/>
        <family val="2"/>
        <scheme val="minor"/>
      </rPr>
      <t xml:space="preserve"> 2018-06-30</t>
    </r>
  </si>
  <si>
    <t>tier1/tier2 shares in type</t>
  </si>
  <si>
    <t>ind</t>
  </si>
  <si>
    <t>miscAll_bf100_cola2_DR5</t>
  </si>
  <si>
    <t>sftyAll_bf100_cola2_DR5</t>
  </si>
  <si>
    <t>miscAll_bf50_cola1_DR5</t>
  </si>
  <si>
    <t>sftyAll_bf50_cola1_DR5</t>
  </si>
  <si>
    <t>miscAll, 2%bfactor, 2%cola, current policy, 5% discount</t>
  </si>
  <si>
    <t>sftyAll, 3%bfactor, 2%cola, current policy, 5% discount</t>
  </si>
  <si>
    <t>miscAll, 1%bfactor(new), 1%cola, 5% discount</t>
  </si>
  <si>
    <t>sftyAll, 1.5%bfactor(new), 1%cola(cola suspension), 5% discount</t>
  </si>
  <si>
    <t>"misc_classic","misc_pepra"</t>
  </si>
  <si>
    <t>misc2t_bf100_cola2</t>
  </si>
  <si>
    <t>misc2t_bf75_cola2</t>
  </si>
  <si>
    <t>misc2t_bf50_cola2</t>
  </si>
  <si>
    <t>Misc 2 tiers, 2%bfactor, 2%cola, current policy</t>
  </si>
  <si>
    <t>Misc 2 tiers, 1.5%bfactor(new), 2%cola</t>
  </si>
  <si>
    <t>Misc 2 tiers, 1%bfactor(new), 2%cola</t>
  </si>
  <si>
    <t>All members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</si>
  <si>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</si>
  <si>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</si>
  <si>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</si>
  <si>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</si>
  <si>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</si>
  <si>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total employer cost</t>
  </si>
  <si>
    <t>Dev_regularAll</t>
  </si>
  <si>
    <t>cp</t>
  </si>
  <si>
    <t>ERC_cap</t>
  </si>
  <si>
    <t>EEC_cap</t>
  </si>
  <si>
    <t>ERC_share</t>
  </si>
  <si>
    <t>EEC_share</t>
  </si>
  <si>
    <t>EEC_type</t>
  </si>
  <si>
    <t>sharedADC</t>
  </si>
  <si>
    <t>riskSharing</t>
  </si>
  <si>
    <t>cola_type</t>
  </si>
  <si>
    <t>cola_assumed</t>
  </si>
  <si>
    <t>cola_max</t>
  </si>
  <si>
    <t>cola_min</t>
  </si>
  <si>
    <t>use_Cfloors</t>
  </si>
  <si>
    <t>ERC_floor</t>
  </si>
  <si>
    <t>EEC_floor</t>
  </si>
  <si>
    <t>fixed</t>
  </si>
  <si>
    <t>EEC_fixedRate</t>
  </si>
  <si>
    <t>fixedRate</t>
  </si>
  <si>
    <t>regularAll_sharedADC_vCola</t>
  </si>
  <si>
    <t>regularAll_sharedADC_fixedCola</t>
  </si>
  <si>
    <t>Shared ADC and Variable COLA</t>
  </si>
  <si>
    <t>Shared ADC and fixed COLA</t>
  </si>
  <si>
    <t>sharedNC</t>
  </si>
  <si>
    <t>EEC_sharedNC</t>
  </si>
  <si>
    <t>regularAll_sharedNC_fixedCola</t>
  </si>
  <si>
    <t>cola_default</t>
  </si>
  <si>
    <t>sharedNC and fixed COLA, EEC can be 0</t>
  </si>
  <si>
    <t>method1</t>
  </si>
  <si>
    <t>"pf.t1"</t>
  </si>
  <si>
    <t>Dev_pf.t1</t>
  </si>
  <si>
    <t>Parameters for SJ policies</t>
  </si>
  <si>
    <r>
      <rPr>
        <b/>
        <sz val="8"/>
        <rFont val="Times New Roman"/>
      </rPr>
      <t>Actua ria I L</t>
    </r>
    <r>
      <rPr>
        <sz val="9.5"/>
        <rFont val="Times New Roman"/>
      </rPr>
      <t xml:space="preserve">iability </t>
    </r>
    <r>
      <rPr>
        <sz val="9.5"/>
        <rFont val="Times New Roman"/>
      </rPr>
      <t>Fire</t>
    </r>
  </si>
  <si>
    <r>
      <rPr>
        <sz val="9.5"/>
        <rFont val="Times New Roman"/>
      </rPr>
      <t>Police</t>
    </r>
  </si>
  <si>
    <r>
      <rPr>
        <b/>
        <sz val="9.5"/>
        <rFont val="Times New Roman"/>
      </rPr>
      <t xml:space="preserve">Tier 1
</t>
    </r>
    <r>
      <rPr>
        <sz val="9.5"/>
        <rFont val="Times New Roman"/>
      </rPr>
      <t>Actives</t>
    </r>
  </si>
  <si>
    <r>
      <rPr>
        <sz val="9.5"/>
        <rFont val="Times New Roman"/>
      </rPr>
      <t>Retirement</t>
    </r>
  </si>
  <si>
    <r>
      <rPr>
        <sz val="9.5"/>
        <rFont val="Times New Roman"/>
      </rPr>
      <t>Termination</t>
    </r>
  </si>
  <si>
    <r>
      <rPr>
        <sz val="9.5"/>
        <rFont val="Times New Roman"/>
      </rPr>
      <t>Death</t>
    </r>
  </si>
  <si>
    <r>
      <rPr>
        <sz val="9.5"/>
        <rFont val="Times New Roman"/>
      </rPr>
      <t>Disability</t>
    </r>
  </si>
  <si>
    <r>
      <rPr>
        <sz val="9.5"/>
        <rFont val="Times New Roman"/>
      </rPr>
      <t>Total Actives</t>
    </r>
  </si>
  <si>
    <r>
      <rPr>
        <sz val="9.5"/>
        <rFont val="Times New Roman"/>
      </rPr>
      <t>Deferred Vested</t>
    </r>
  </si>
  <si>
    <r>
      <rPr>
        <sz val="9.5"/>
        <rFont val="Times New Roman"/>
      </rPr>
      <t>In Pay Status</t>
    </r>
  </si>
  <si>
    <r>
      <rPr>
        <sz val="9.5"/>
        <rFont val="Times New Roman"/>
      </rPr>
      <t>Service Retirees</t>
    </r>
  </si>
  <si>
    <r>
      <rPr>
        <sz val="9.5"/>
        <rFont val="Times New Roman"/>
      </rPr>
      <t>Beneficiaries</t>
    </r>
  </si>
  <si>
    <r>
      <rPr>
        <sz val="9.5"/>
        <rFont val="Times New Roman"/>
      </rPr>
      <t>Disabled Retirees</t>
    </r>
  </si>
  <si>
    <r>
      <rPr>
        <sz val="9.5"/>
        <rFont val="Times New Roman"/>
      </rPr>
      <t>Total In Pay Status</t>
    </r>
  </si>
  <si>
    <r>
      <rPr>
        <b/>
        <sz val="9.5"/>
        <rFont val="Times New Roman"/>
      </rPr>
      <t>Tier 1 Actuarial Liability</t>
    </r>
  </si>
  <si>
    <r>
      <rPr>
        <sz val="9.5"/>
        <rFont val="Times New Roman"/>
      </rPr>
      <t>COLA</t>
    </r>
  </si>
  <si>
    <r>
      <rPr>
        <b/>
        <sz val="9.5"/>
        <rFont val="Times New Roman"/>
      </rPr>
      <t>Tier 2</t>
    </r>
  </si>
  <si>
    <r>
      <rPr>
        <sz val="9.5"/>
        <rFont val="Times New Roman"/>
      </rPr>
      <t>Actives</t>
    </r>
  </si>
  <si>
    <r>
      <rPr>
        <b/>
        <sz val="9.5"/>
        <rFont val="Times New Roman"/>
      </rPr>
      <t>Tier 2 Actuarial Liability</t>
    </r>
  </si>
  <si>
    <r>
      <rPr>
        <b/>
        <sz val="9.5"/>
        <rFont val="Times New Roman"/>
      </rPr>
      <t>Total Actuarial Liability</t>
    </r>
  </si>
  <si>
    <t>total</t>
  </si>
  <si>
    <t>source: AV2019 ep 30</t>
  </si>
  <si>
    <t>source: AV2019 ep29</t>
  </si>
  <si>
    <r>
      <rPr>
        <b/>
        <sz val="8.5"/>
        <rFont val="Times New Roman"/>
        <family val="1"/>
      </rPr>
      <t xml:space="preserve">Entry Age </t>
    </r>
    <r>
      <rPr>
        <sz val="8.5"/>
        <rFont val="Times New Roman"/>
        <family val="1"/>
      </rPr>
      <t>Norma</t>
    </r>
    <r>
      <rPr>
        <b/>
        <sz val="8.5"/>
        <rFont val="Times New Roman"/>
        <family val="1"/>
      </rPr>
      <t>l Cost By Group</t>
    </r>
  </si>
  <si>
    <r>
      <rPr>
        <b/>
        <sz val="9.5"/>
        <rFont val="Times New Roman"/>
        <family val="1"/>
      </rPr>
      <t>Tier I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</si>
  <si>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</si>
  <si>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</si>
  <si>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</si>
  <si>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</si>
  <si>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Reciprocity</t>
    </r>
  </si>
  <si>
    <r>
      <rPr>
        <b/>
        <sz val="9.5"/>
        <rFont val="Times New Roman"/>
        <family val="1"/>
      </rPr>
      <t>Total Tier 1 Normal Cost</t>
    </r>
  </si>
  <si>
    <r>
      <rPr>
        <b/>
        <sz val="9.5"/>
        <rFont val="Times New Roman"/>
        <family val="1"/>
      </rPr>
      <t>Expected Payroll</t>
    </r>
  </si>
  <si>
    <r>
      <rPr>
        <b/>
        <sz val="9.5"/>
        <rFont val="Times New Roman"/>
        <family val="1"/>
      </rPr>
      <t>Normal Cost Rate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</si>
  <si>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</si>
  <si>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</si>
  <si>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b/>
        <sz val="9.5"/>
        <rFont val="Times New Roman"/>
        <family val="1"/>
      </rPr>
      <t>Total Tier 2 Normal Cost</t>
    </r>
  </si>
  <si>
    <t>fire</t>
  </si>
  <si>
    <t>police</t>
  </si>
  <si>
    <t>termination</t>
  </si>
  <si>
    <t>death</t>
  </si>
  <si>
    <t>disability</t>
  </si>
  <si>
    <t>Serv Retirement</t>
  </si>
  <si>
    <t>payroll</t>
  </si>
  <si>
    <t>multiple of payroll</t>
  </si>
  <si>
    <t>calib_qxmd.post</t>
  </si>
  <si>
    <t>calib_Bx.servRet</t>
  </si>
  <si>
    <t>calib_Bx.disbRet</t>
  </si>
  <si>
    <t>sal_pre2019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</si>
</sst>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  <numFmt numFmtId="170" formatCode="&quot;$&quot;#,##0;&quot;$&quot;\-#,##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  <font>
      <b/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Times New Roman"/>
    </font>
    <font>
      <sz val="9.5"/>
      <name val="Times New Roman"/>
    </font>
    <font>
      <b/>
      <sz val="9.5"/>
      <name val="Times New Roman"/>
    </font>
    <font>
      <b/>
      <sz val="8.5"/>
      <name val="Times New Roman"/>
      <family val="1"/>
    </font>
    <font>
      <sz val="8.5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1" fillId="0" borderId="0" xfId="0" applyFont="1"/>
    <xf numFmtId="169" fontId="0" fillId="0" borderId="0" xfId="0" applyNumberFormat="1"/>
    <xf numFmtId="3" fontId="7" fillId="0" borderId="0" xfId="0" applyNumberFormat="1" applyFont="1"/>
    <xf numFmtId="166" fontId="12" fillId="0" borderId="3" xfId="2" applyNumberFormat="1" applyFont="1" applyBorder="1" applyAlignment="1">
      <alignment horizontal="right" vertical="top" shrinkToFit="1"/>
    </xf>
    <xf numFmtId="168" fontId="12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0" fontId="0" fillId="0" borderId="0" xfId="0" applyFont="1"/>
    <xf numFmtId="0" fontId="13" fillId="0" borderId="0" xfId="0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  <xf numFmtId="0" fontId="5" fillId="13" borderId="0" xfId="0" applyFont="1" applyFill="1"/>
    <xf numFmtId="0" fontId="1" fillId="13" borderId="0" xfId="0" applyFont="1" applyFill="1"/>
    <xf numFmtId="2" fontId="0" fillId="0" borderId="0" xfId="0" applyNumberFormat="1"/>
    <xf numFmtId="0" fontId="15" fillId="13" borderId="0" xfId="0" applyFont="1" applyFill="1"/>
    <xf numFmtId="0" fontId="15" fillId="8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7" fillId="0" borderId="4" xfId="0" applyFont="1" applyBorder="1" applyAlignment="1">
      <alignment horizontal="center" wrapText="1"/>
    </xf>
    <xf numFmtId="14" fontId="17" fillId="0" borderId="5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left" vertical="top" wrapText="1" indent="2"/>
    </xf>
    <xf numFmtId="0" fontId="0" fillId="0" borderId="0" xfId="0" applyAlignment="1">
      <alignment horizontal="left" vertical="top" wrapText="1"/>
    </xf>
    <xf numFmtId="0" fontId="17" fillId="0" borderId="0" xfId="0" applyFont="1" applyAlignment="1">
      <alignment horizontal="left" vertical="center" wrapText="1" indent="3"/>
    </xf>
    <xf numFmtId="3" fontId="17" fillId="0" borderId="0" xfId="0" applyNumberFormat="1" applyFont="1" applyAlignment="1">
      <alignment horizontal="right" vertical="center" wrapText="1"/>
    </xf>
    <xf numFmtId="3" fontId="17" fillId="0" borderId="4" xfId="0" applyNumberFormat="1" applyFont="1" applyBorder="1" applyAlignment="1">
      <alignment horizontal="right" vertical="center" wrapText="1"/>
    </xf>
    <xf numFmtId="0" fontId="17" fillId="0" borderId="0" xfId="0" applyFont="1" applyAlignment="1">
      <alignment horizontal="left" vertical="center" wrapText="1" indent="1"/>
    </xf>
    <xf numFmtId="0" fontId="18" fillId="0" borderId="0" xfId="0" applyFont="1" applyAlignment="1">
      <alignment horizontal="left" vertical="center" wrapText="1" indent="1"/>
    </xf>
    <xf numFmtId="1" fontId="17" fillId="0" borderId="0" xfId="0" applyNumberFormat="1" applyFont="1" applyAlignment="1">
      <alignment horizontal="right" vertical="center" wrapText="1"/>
    </xf>
    <xf numFmtId="0" fontId="18" fillId="0" borderId="4" xfId="0" applyFont="1" applyBorder="1" applyAlignment="1">
      <alignment horizontal="left" vertical="center" wrapText="1" indent="1"/>
    </xf>
    <xf numFmtId="170" fontId="18" fillId="0" borderId="4" xfId="0" applyNumberFormat="1" applyFont="1" applyBorder="1" applyAlignment="1">
      <alignment horizontal="right" vertical="center" wrapText="1"/>
    </xf>
    <xf numFmtId="6" fontId="17" fillId="0" borderId="0" xfId="0" applyNumberFormat="1" applyFont="1" applyAlignment="1">
      <alignment horizontal="right" vertical="center" wrapText="1"/>
    </xf>
    <xf numFmtId="166" fontId="17" fillId="0" borderId="0" xfId="2" applyNumberFormat="1" applyFont="1" applyAlignment="1">
      <alignment horizontal="right" vertical="center" wrapText="1"/>
    </xf>
    <xf numFmtId="166" fontId="17" fillId="0" borderId="4" xfId="2" applyNumberFormat="1" applyFont="1" applyBorder="1" applyAlignment="1">
      <alignment horizontal="right" vertical="center" wrapText="1"/>
    </xf>
    <xf numFmtId="166" fontId="0" fillId="0" borderId="0" xfId="2" applyNumberFormat="1" applyFont="1" applyAlignment="1">
      <alignment horizontal="left" vertical="top" wrapText="1"/>
    </xf>
    <xf numFmtId="6" fontId="17" fillId="0" borderId="0" xfId="2" applyNumberFormat="1" applyFont="1" applyAlignment="1">
      <alignment horizontal="right" vertical="center" wrapText="1"/>
    </xf>
    <xf numFmtId="0" fontId="16" fillId="0" borderId="4" xfId="0" applyFont="1" applyBorder="1" applyAlignment="1">
      <alignment horizontal="left" vertical="top" wrapText="1" indent="4"/>
    </xf>
    <xf numFmtId="166" fontId="0" fillId="0" borderId="0" xfId="0" applyNumberFormat="1"/>
    <xf numFmtId="166" fontId="1" fillId="0" borderId="0" xfId="0" applyNumberFormat="1" applyFont="1"/>
    <xf numFmtId="6" fontId="17" fillId="0" borderId="5" xfId="0" applyNumberFormat="1" applyFont="1" applyBorder="1" applyAlignment="1">
      <alignment horizontal="right" vertical="center" wrapText="1"/>
    </xf>
    <xf numFmtId="6" fontId="18" fillId="0" borderId="0" xfId="0" applyNumberFormat="1" applyFont="1" applyAlignment="1">
      <alignment horizontal="right" vertical="center" wrapText="1"/>
    </xf>
    <xf numFmtId="0" fontId="17" fillId="7" borderId="0" xfId="0" applyFont="1" applyFill="1" applyAlignment="1">
      <alignment horizontal="left" vertical="center" wrapText="1" indent="3"/>
    </xf>
    <xf numFmtId="6" fontId="17" fillId="7" borderId="5" xfId="2" applyNumberFormat="1" applyFont="1" applyFill="1" applyBorder="1" applyAlignment="1">
      <alignment horizontal="right" vertical="center" wrapText="1"/>
    </xf>
    <xf numFmtId="166" fontId="1" fillId="7" borderId="0" xfId="0" applyNumberFormat="1" applyFont="1" applyFill="1"/>
    <xf numFmtId="166" fontId="17" fillId="7" borderId="5" xfId="2" applyNumberFormat="1" applyFont="1" applyFill="1" applyBorder="1" applyAlignment="1">
      <alignment horizontal="right" vertical="center" wrapText="1"/>
    </xf>
    <xf numFmtId="166" fontId="0" fillId="7" borderId="0" xfId="0" applyNumberFormat="1" applyFill="1"/>
    <xf numFmtId="0" fontId="18" fillId="14" borderId="0" xfId="0" applyFont="1" applyFill="1" applyAlignment="1">
      <alignment horizontal="left" vertical="center" wrapText="1" indent="1"/>
    </xf>
    <xf numFmtId="166" fontId="18" fillId="14" borderId="0" xfId="2" applyNumberFormat="1" applyFont="1" applyFill="1" applyAlignment="1">
      <alignment horizontal="right" vertical="center" wrapText="1"/>
    </xf>
    <xf numFmtId="166" fontId="1" fillId="14" borderId="0" xfId="0" applyNumberFormat="1" applyFont="1" applyFill="1"/>
    <xf numFmtId="0" fontId="19" fillId="0" borderId="0" xfId="0" applyFont="1" applyAlignment="1">
      <alignment horizontal="left" vertical="top"/>
    </xf>
    <xf numFmtId="0" fontId="21" fillId="0" borderId="0" xfId="0" applyFont="1" applyAlignment="1">
      <alignment horizontal="left" wrapText="1" indent="3"/>
    </xf>
    <xf numFmtId="0" fontId="22" fillId="0" borderId="0" xfId="0" applyFont="1" applyAlignment="1">
      <alignment horizontal="left" vertical="center" wrapText="1" indent="3"/>
    </xf>
    <xf numFmtId="3" fontId="22" fillId="0" borderId="0" xfId="0" applyNumberFormat="1" applyFont="1" applyAlignment="1">
      <alignment horizontal="right" vertical="center" wrapText="1"/>
    </xf>
    <xf numFmtId="3" fontId="22" fillId="0" borderId="0" xfId="0" applyNumberFormat="1" applyFont="1" applyAlignment="1">
      <alignment horizontal="right" vertical="center" wrapText="1" indent="1"/>
    </xf>
    <xf numFmtId="1" fontId="22" fillId="0" borderId="0" xfId="0" applyNumberFormat="1" applyFont="1" applyAlignment="1">
      <alignment horizontal="right" vertical="center" wrapText="1"/>
    </xf>
    <xf numFmtId="1" fontId="22" fillId="0" borderId="0" xfId="0" applyNumberFormat="1" applyFont="1" applyAlignment="1">
      <alignment horizontal="right" vertical="center" wrapText="1" indent="1"/>
    </xf>
    <xf numFmtId="1" fontId="22" fillId="0" borderId="4" xfId="0" applyNumberFormat="1" applyFont="1" applyBorder="1" applyAlignment="1">
      <alignment horizontal="right" vertical="center" wrapText="1"/>
    </xf>
    <xf numFmtId="1" fontId="22" fillId="0" borderId="4" xfId="0" applyNumberFormat="1" applyFont="1" applyBorder="1" applyAlignment="1">
      <alignment horizontal="right" vertical="center" wrapText="1" indent="1"/>
    </xf>
    <xf numFmtId="3" fontId="22" fillId="0" borderId="4" xfId="0" applyNumberFormat="1" applyFont="1" applyBorder="1" applyAlignment="1">
      <alignment horizontal="right" vertical="center" wrapText="1"/>
    </xf>
    <xf numFmtId="0" fontId="21" fillId="0" borderId="0" xfId="0" applyFont="1" applyAlignment="1">
      <alignment horizontal="left" vertical="center" wrapText="1" indent="3"/>
    </xf>
    <xf numFmtId="0" fontId="21" fillId="0" borderId="0" xfId="0" applyFont="1" applyAlignment="1">
      <alignment horizontal="left" vertical="center" wrapText="1" indent="2"/>
    </xf>
    <xf numFmtId="10" fontId="21" fillId="0" borderId="0" xfId="0" applyNumberFormat="1" applyFont="1" applyAlignment="1">
      <alignment horizontal="right" vertical="center" wrapText="1"/>
    </xf>
    <xf numFmtId="10" fontId="22" fillId="0" borderId="0" xfId="0" applyNumberFormat="1" applyFont="1" applyAlignment="1">
      <alignment horizontal="right" vertical="center" wrapText="1"/>
    </xf>
    <xf numFmtId="0" fontId="22" fillId="0" borderId="0" xfId="0" applyFont="1" applyAlignment="1">
      <alignment horizontal="left" vertical="top" wrapText="1" indent="3"/>
    </xf>
    <xf numFmtId="10" fontId="22" fillId="0" borderId="0" xfId="0" applyNumberFormat="1" applyFont="1" applyAlignment="1">
      <alignment horizontal="right" vertical="top" wrapText="1"/>
    </xf>
    <xf numFmtId="6" fontId="22" fillId="0" borderId="0" xfId="0" applyNumberFormat="1" applyFont="1" applyAlignment="1">
      <alignment horizontal="right" vertical="center" wrapText="1"/>
    </xf>
    <xf numFmtId="6" fontId="22" fillId="0" borderId="0" xfId="0" applyNumberFormat="1" applyFont="1" applyAlignment="1">
      <alignment horizontal="right" vertical="center" wrapText="1" indent="1"/>
    </xf>
    <xf numFmtId="6" fontId="21" fillId="0" borderId="5" xfId="0" applyNumberFormat="1" applyFont="1" applyBorder="1" applyAlignment="1">
      <alignment horizontal="right" vertical="center" wrapText="1"/>
    </xf>
    <xf numFmtId="6" fontId="21" fillId="0" borderId="5" xfId="0" applyNumberFormat="1" applyFont="1" applyBorder="1" applyAlignment="1">
      <alignment horizontal="right" vertical="center" wrapText="1" indent="1"/>
    </xf>
    <xf numFmtId="6" fontId="21" fillId="0" borderId="0" xfId="0" applyNumberFormat="1" applyFont="1" applyAlignment="1">
      <alignment horizontal="right" vertical="center" wrapText="1"/>
    </xf>
    <xf numFmtId="14" fontId="19" fillId="0" borderId="5" xfId="0" applyNumberFormat="1" applyFont="1" applyBorder="1" applyAlignment="1">
      <alignment vertical="top" wrapText="1"/>
    </xf>
    <xf numFmtId="14" fontId="19" fillId="0" borderId="6" xfId="0" applyNumberFormat="1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6" fontId="0" fillId="0" borderId="0" xfId="0" applyNumberFormat="1"/>
    <xf numFmtId="0" fontId="21" fillId="14" borderId="0" xfId="0" applyFont="1" applyFill="1" applyAlignment="1">
      <alignment horizontal="left" vertical="center" wrapText="1" indent="2"/>
    </xf>
    <xf numFmtId="10" fontId="21" fillId="14" borderId="0" xfId="0" applyNumberFormat="1" applyFont="1" applyFill="1" applyAlignment="1">
      <alignment horizontal="right" vertical="center" wrapText="1"/>
    </xf>
    <xf numFmtId="10" fontId="0" fillId="14" borderId="0" xfId="0" applyNumberFormat="1" applyFill="1"/>
    <xf numFmtId="0" fontId="21" fillId="7" borderId="0" xfId="0" applyFont="1" applyFill="1" applyAlignment="1">
      <alignment horizontal="left" vertical="center" wrapText="1" indent="2"/>
    </xf>
    <xf numFmtId="10" fontId="21" fillId="7" borderId="0" xfId="0" applyNumberFormat="1" applyFont="1" applyFill="1" applyAlignment="1">
      <alignment horizontal="right" vertical="center" wrapText="1"/>
    </xf>
    <xf numFmtId="0" fontId="22" fillId="7" borderId="0" xfId="0" applyFont="1" applyFill="1" applyAlignment="1">
      <alignment horizontal="left" vertical="center" wrapText="1" indent="2"/>
    </xf>
    <xf numFmtId="6" fontId="17" fillId="7" borderId="0" xfId="2" applyNumberFormat="1" applyFont="1" applyFill="1" applyBorder="1" applyAlignment="1">
      <alignment horizontal="right" vertical="center" wrapText="1"/>
    </xf>
    <xf numFmtId="0" fontId="22" fillId="7" borderId="0" xfId="0" applyFont="1" applyFill="1" applyAlignment="1">
      <alignment horizontal="left" vertical="center" wrapText="1" indent="3"/>
    </xf>
    <xf numFmtId="0" fontId="17" fillId="0" borderId="0" xfId="0" applyFont="1" applyAlignment="1">
      <alignment horizontal="center" vertical="center" wrapText="1"/>
    </xf>
    <xf numFmtId="0" fontId="21" fillId="7" borderId="0" xfId="0" applyFont="1" applyFill="1" applyAlignment="1">
      <alignment horizontal="left" vertical="center" wrapText="1" indent="3"/>
    </xf>
    <xf numFmtId="2" fontId="17" fillId="7" borderId="0" xfId="2" applyNumberFormat="1" applyFont="1" applyFill="1" applyBorder="1" applyAlignment="1">
      <alignment horizontal="right" vertical="center" wrapText="1"/>
    </xf>
    <xf numFmtId="0" fontId="17" fillId="14" borderId="0" xfId="0" applyFont="1" applyFill="1" applyAlignment="1">
      <alignment horizontal="center" vertical="center" wrapText="1"/>
    </xf>
    <xf numFmtId="2" fontId="17" fillId="14" borderId="0" xfId="2" applyNumberFormat="1" applyFont="1" applyFill="1" applyBorder="1" applyAlignment="1">
      <alignment horizontal="right" vertical="center" wrapText="1"/>
    </xf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W4" dT="2021-03-13T00:37:48.89" personId="{00000000-0000-0000-0000-000000000000}" id="{2BAAEFE0-093F-4A47-AC11-22B6E01FEF48}">
    <text>COLA when risk-sharing is not triggered</text>
  </threadedComment>
  <threadedComment ref="AC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K4" dT="2020-08-13T20:45:58.44" personId="{00000000-0000-0000-0000-000000000000}" id="{F5769092-1632-411C-A719-C700B72F16AC}">
    <text>x% reduction of benefit factor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5" dT="2020-08-15T15:43:50.44" personId="{00000000-0000-0000-0000-000000000000}" id="{415E75A4-D874-4451-9738-3804C711237C}">
    <text>Use shares for actives for all types of decrements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BC18"/>
  <sheetViews>
    <sheetView zoomScaleNormal="100" workbookViewId="0">
      <pane xSplit="3" ySplit="4" topLeftCell="I5" activePane="bottomRight" state="frozen"/>
      <selection pane="topRight" activeCell="E1" sqref="E1"/>
      <selection pane="bottomLeft" activeCell="A5" sqref="A5"/>
      <selection pane="bottomRight" activeCell="K33" sqref="K33"/>
    </sheetView>
  </sheetViews>
  <sheetFormatPr defaultRowHeight="15"/>
  <cols>
    <col min="1" max="1" width="35.42578125" customWidth="1"/>
    <col min="2" max="2" width="36.5703125" customWidth="1"/>
    <col min="3" max="3" width="17.85546875" customWidth="1"/>
    <col min="4" max="4" width="10.42578125" bestFit="1" customWidth="1"/>
    <col min="5" max="5" width="25.42578125" customWidth="1"/>
    <col min="6" max="6" width="12.85546875" customWidth="1"/>
    <col min="7" max="7" width="15.7109375" customWidth="1"/>
    <col min="8" max="8" width="17.42578125" customWidth="1"/>
    <col min="9" max="9" width="19.7109375" customWidth="1"/>
    <col min="10" max="10" width="16.85546875" customWidth="1"/>
    <col min="11" max="11" width="16" customWidth="1"/>
    <col min="12" max="13" width="17.42578125" customWidth="1"/>
    <col min="14" max="17" width="12.5703125" customWidth="1"/>
    <col min="18" max="18" width="17.42578125" customWidth="1"/>
    <col min="19" max="21" width="12.5703125" customWidth="1"/>
    <col min="22" max="25" width="17.42578125" customWidth="1"/>
    <col min="26" max="26" width="15.5703125" customWidth="1"/>
    <col min="27" max="27" width="11.28515625" bestFit="1" customWidth="1"/>
    <col min="28" max="28" width="7.85546875" customWidth="1"/>
    <col min="29" max="29" width="16.140625" bestFit="1" customWidth="1"/>
    <col min="30" max="30" width="16" bestFit="1" customWidth="1"/>
    <col min="31" max="31" width="7.7109375" bestFit="1" customWidth="1"/>
    <col min="32" max="32" width="7.5703125" bestFit="1" customWidth="1"/>
    <col min="33" max="33" width="15.85546875" bestFit="1" customWidth="1"/>
    <col min="34" max="34" width="8.7109375" customWidth="1"/>
    <col min="35" max="35" width="12.5703125" customWidth="1"/>
    <col min="36" max="36" width="14.85546875" customWidth="1"/>
    <col min="42" max="42" width="17.42578125" customWidth="1"/>
    <col min="43" max="43" width="13.7109375" customWidth="1"/>
    <col min="44" max="44" width="9.85546875" bestFit="1" customWidth="1"/>
    <col min="45" max="45" width="9.28515625" bestFit="1" customWidth="1"/>
    <col min="46" max="47" width="12.42578125" customWidth="1"/>
    <col min="48" max="48" width="23" customWidth="1"/>
    <col min="49" max="49" width="16.5703125" customWidth="1"/>
    <col min="50" max="50" width="12" bestFit="1" customWidth="1"/>
    <col min="51" max="51" width="18" bestFit="1" customWidth="1"/>
    <col min="52" max="52" width="14.28515625" bestFit="1" customWidth="1"/>
    <col min="53" max="53" width="12.28515625" customWidth="1"/>
    <col min="54" max="54" width="11.42578125" customWidth="1"/>
    <col min="55" max="55" width="14.28515625" customWidth="1"/>
  </cols>
  <sheetData>
    <row r="2" spans="1:55">
      <c r="AR2" s="23"/>
      <c r="AS2" s="23"/>
    </row>
    <row r="3" spans="1:55" s="21" customFormat="1" ht="18.75">
      <c r="A3" s="14"/>
      <c r="B3" s="14"/>
      <c r="C3" s="14"/>
      <c r="D3" s="14"/>
      <c r="E3" s="19" t="s">
        <v>73</v>
      </c>
      <c r="F3" s="19"/>
      <c r="G3" s="44" t="s">
        <v>111</v>
      </c>
      <c r="H3" s="44"/>
      <c r="I3" s="44"/>
      <c r="J3" s="44"/>
      <c r="K3" s="59" t="s">
        <v>260</v>
      </c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16" t="s">
        <v>49</v>
      </c>
      <c r="AA3" s="16"/>
      <c r="AB3" s="16"/>
      <c r="AC3" s="16"/>
      <c r="AD3" s="17" t="s">
        <v>50</v>
      </c>
      <c r="AE3" s="17"/>
      <c r="AF3" s="17"/>
      <c r="AG3" s="17"/>
      <c r="AH3" s="17"/>
      <c r="AI3" s="19" t="s">
        <v>45</v>
      </c>
      <c r="AJ3" s="19"/>
      <c r="AK3" s="19"/>
      <c r="AL3" s="19"/>
      <c r="AM3" s="19"/>
      <c r="AN3" s="19"/>
      <c r="AO3" s="19"/>
      <c r="AP3" s="15" t="s">
        <v>54</v>
      </c>
      <c r="AQ3" s="15"/>
      <c r="AR3" s="15"/>
      <c r="AS3" s="15"/>
      <c r="AT3" s="15"/>
      <c r="AU3" s="15"/>
      <c r="AV3" s="15"/>
      <c r="AW3" s="20" t="s">
        <v>58</v>
      </c>
      <c r="AX3" s="20"/>
      <c r="AY3" s="20"/>
      <c r="AZ3" s="20"/>
      <c r="BA3" s="20"/>
      <c r="BB3" s="20"/>
      <c r="BC3" s="20"/>
    </row>
    <row r="4" spans="1:55" s="1" customFormat="1">
      <c r="A4" s="11" t="s">
        <v>75</v>
      </c>
      <c r="B4" s="11" t="s">
        <v>36</v>
      </c>
      <c r="C4" s="11" t="s">
        <v>13</v>
      </c>
      <c r="D4" s="11" t="s">
        <v>37</v>
      </c>
      <c r="E4" s="7" t="s">
        <v>70</v>
      </c>
      <c r="F4" s="7" t="s">
        <v>74</v>
      </c>
      <c r="G4" s="45" t="s">
        <v>113</v>
      </c>
      <c r="H4" s="45" t="s">
        <v>112</v>
      </c>
      <c r="I4" s="45" t="s">
        <v>223</v>
      </c>
      <c r="J4" s="45" t="s">
        <v>114</v>
      </c>
      <c r="K4" s="62" t="s">
        <v>235</v>
      </c>
      <c r="L4" s="62" t="s">
        <v>238</v>
      </c>
      <c r="M4" s="60" t="s">
        <v>246</v>
      </c>
      <c r="N4" s="60" t="s">
        <v>231</v>
      </c>
      <c r="O4" s="60" t="s">
        <v>232</v>
      </c>
      <c r="P4" s="60" t="s">
        <v>233</v>
      </c>
      <c r="Q4" s="60" t="s">
        <v>234</v>
      </c>
      <c r="R4" s="60" t="s">
        <v>253</v>
      </c>
      <c r="S4" s="60" t="s">
        <v>242</v>
      </c>
      <c r="T4" s="60" t="s">
        <v>243</v>
      </c>
      <c r="U4" s="60" t="s">
        <v>244</v>
      </c>
      <c r="V4" s="60" t="s">
        <v>239</v>
      </c>
      <c r="W4" s="60" t="s">
        <v>255</v>
      </c>
      <c r="X4" s="60" t="s">
        <v>240</v>
      </c>
      <c r="Y4" s="60" t="s">
        <v>241</v>
      </c>
      <c r="Z4" s="10" t="s">
        <v>11</v>
      </c>
      <c r="AA4" s="10" t="s">
        <v>34</v>
      </c>
      <c r="AB4" s="10" t="s">
        <v>9</v>
      </c>
      <c r="AC4" s="10" t="s">
        <v>10</v>
      </c>
      <c r="AD4" s="9" t="s">
        <v>12</v>
      </c>
      <c r="AE4" s="9" t="s">
        <v>51</v>
      </c>
      <c r="AF4" s="9" t="s">
        <v>52</v>
      </c>
      <c r="AG4" s="9" t="s">
        <v>53</v>
      </c>
      <c r="AH4" s="9" t="s">
        <v>61</v>
      </c>
      <c r="AI4" s="7" t="s">
        <v>21</v>
      </c>
      <c r="AJ4" s="7" t="s">
        <v>23</v>
      </c>
      <c r="AK4" s="7" t="s">
        <v>6</v>
      </c>
      <c r="AL4" s="7" t="s">
        <v>7</v>
      </c>
      <c r="AM4" s="7" t="s">
        <v>8</v>
      </c>
      <c r="AN4" s="7" t="s">
        <v>46</v>
      </c>
      <c r="AO4" s="7" t="s">
        <v>101</v>
      </c>
      <c r="AP4" s="8" t="s">
        <v>55</v>
      </c>
      <c r="AQ4" s="8" t="s">
        <v>56</v>
      </c>
      <c r="AR4" s="8" t="s">
        <v>29</v>
      </c>
      <c r="AS4" s="8" t="s">
        <v>30</v>
      </c>
      <c r="AT4" s="8" t="s">
        <v>32</v>
      </c>
      <c r="AU4" s="8" t="s">
        <v>33</v>
      </c>
      <c r="AV4" s="8" t="s">
        <v>107</v>
      </c>
      <c r="AW4" s="12" t="s">
        <v>57</v>
      </c>
      <c r="AX4" s="12" t="s">
        <v>27</v>
      </c>
      <c r="AY4" s="12" t="s">
        <v>28</v>
      </c>
      <c r="AZ4" s="12" t="s">
        <v>26</v>
      </c>
      <c r="BA4" s="12" t="s">
        <v>15</v>
      </c>
      <c r="BB4" s="12" t="s">
        <v>4</v>
      </c>
      <c r="BC4" s="63" t="s">
        <v>5</v>
      </c>
    </row>
    <row r="5" spans="1:55">
      <c r="A5" t="s">
        <v>259</v>
      </c>
      <c r="C5" t="b">
        <v>1</v>
      </c>
      <c r="D5" t="b">
        <v>0</v>
      </c>
      <c r="E5" t="s">
        <v>259</v>
      </c>
      <c r="F5" t="b">
        <v>0</v>
      </c>
      <c r="G5" t="s">
        <v>72</v>
      </c>
      <c r="H5" t="b">
        <v>0</v>
      </c>
      <c r="I5" t="b">
        <v>0</v>
      </c>
      <c r="J5" t="b">
        <v>0</v>
      </c>
      <c r="K5" t="s">
        <v>247</v>
      </c>
      <c r="L5" t="s">
        <v>245</v>
      </c>
      <c r="M5">
        <v>0.08</v>
      </c>
      <c r="N5" s="61">
        <v>0.125</v>
      </c>
      <c r="O5">
        <v>0.09</v>
      </c>
      <c r="P5">
        <v>0.58140000000000003</v>
      </c>
      <c r="Q5">
        <v>0.41860000000000003</v>
      </c>
      <c r="S5" t="b">
        <v>0</v>
      </c>
      <c r="T5">
        <v>0</v>
      </c>
      <c r="U5">
        <v>0</v>
      </c>
      <c r="V5">
        <v>1.9099999999999999E-2</v>
      </c>
      <c r="X5">
        <v>2.5000000000000001E-2</v>
      </c>
      <c r="Y5">
        <v>0</v>
      </c>
      <c r="Z5" t="s">
        <v>230</v>
      </c>
      <c r="AA5" t="s">
        <v>35</v>
      </c>
      <c r="AB5">
        <v>20</v>
      </c>
      <c r="AC5">
        <v>2.5000000000000001E-2</v>
      </c>
      <c r="AD5">
        <v>5</v>
      </c>
      <c r="AE5">
        <v>999</v>
      </c>
      <c r="AF5">
        <v>0</v>
      </c>
      <c r="AG5" t="s">
        <v>257</v>
      </c>
      <c r="AH5" t="b">
        <v>0</v>
      </c>
      <c r="AI5" t="s">
        <v>105</v>
      </c>
      <c r="AJ5" t="s">
        <v>20</v>
      </c>
      <c r="AK5">
        <v>6.7500000000000004E-2</v>
      </c>
      <c r="AL5">
        <v>7.7200000000000005E-2</v>
      </c>
      <c r="AM5" s="3">
        <v>0.12</v>
      </c>
      <c r="AN5" s="5">
        <v>2.5000000000000001E-2</v>
      </c>
      <c r="AO5" s="38">
        <v>123</v>
      </c>
      <c r="AP5" t="s">
        <v>31</v>
      </c>
      <c r="AQ5" t="s">
        <v>31</v>
      </c>
      <c r="AR5" s="23">
        <v>0.88300000000000001</v>
      </c>
      <c r="AS5" s="23">
        <v>0.89900000000000002</v>
      </c>
      <c r="AV5" s="43">
        <v>0</v>
      </c>
      <c r="AW5" t="b">
        <v>1</v>
      </c>
      <c r="AX5" t="b">
        <v>1</v>
      </c>
      <c r="AY5" t="b">
        <v>0</v>
      </c>
      <c r="AZ5">
        <v>0</v>
      </c>
      <c r="BA5" t="s">
        <v>3</v>
      </c>
      <c r="BB5" t="b">
        <v>1</v>
      </c>
      <c r="BC5" s="22" t="b">
        <v>1</v>
      </c>
    </row>
    <row r="6" spans="1:55">
      <c r="N6" s="61"/>
      <c r="AM6" s="3"/>
      <c r="AN6" s="5"/>
      <c r="AO6" s="38"/>
      <c r="AR6" s="23"/>
      <c r="AS6" s="23"/>
      <c r="AV6" s="43"/>
      <c r="BC6" s="22"/>
    </row>
    <row r="7" spans="1:55">
      <c r="N7" s="61"/>
      <c r="AM7" s="3"/>
      <c r="AN7" s="5"/>
      <c r="AO7" s="38"/>
      <c r="AR7" s="23"/>
      <c r="AS7" s="23"/>
      <c r="AV7" s="43"/>
      <c r="BC7" s="22"/>
    </row>
    <row r="8" spans="1:55">
      <c r="N8" s="61"/>
      <c r="AM8" s="3"/>
      <c r="AN8" s="5"/>
      <c r="AO8" s="38"/>
      <c r="AR8" s="23"/>
      <c r="AS8" s="23"/>
      <c r="AV8" s="43"/>
      <c r="BC8" s="22"/>
    </row>
    <row r="9" spans="1:55">
      <c r="N9" s="61"/>
      <c r="AM9" s="3"/>
      <c r="AN9" s="5"/>
      <c r="AO9" s="38"/>
      <c r="AR9" s="23"/>
      <c r="AS9" s="23"/>
      <c r="AV9" s="43"/>
      <c r="BC9" s="22"/>
    </row>
    <row r="10" spans="1:55">
      <c r="N10" s="61"/>
      <c r="AM10" s="3"/>
      <c r="AN10" s="5"/>
      <c r="AO10" s="38"/>
      <c r="AR10" s="23"/>
      <c r="AS10" s="23"/>
      <c r="AV10" s="43"/>
      <c r="BC10" s="22"/>
    </row>
    <row r="11" spans="1:55">
      <c r="N11" s="61"/>
      <c r="AM11" s="3"/>
      <c r="AN11" s="5"/>
      <c r="AO11" s="38"/>
      <c r="AR11" s="23"/>
      <c r="AS11" s="23"/>
      <c r="AV11" s="43"/>
      <c r="BC11" s="22"/>
    </row>
    <row r="12" spans="1:55">
      <c r="N12" s="61"/>
      <c r="AM12" s="3"/>
      <c r="AN12" s="5"/>
      <c r="AO12" s="38"/>
      <c r="AR12" s="23"/>
      <c r="AS12" s="23"/>
      <c r="AV12" s="43"/>
      <c r="BC12" s="22"/>
    </row>
    <row r="13" spans="1:55">
      <c r="N13" s="61"/>
      <c r="AM13" s="3"/>
      <c r="AN13" s="5"/>
      <c r="AO13" s="38"/>
      <c r="AR13" s="23"/>
      <c r="AS13" s="23"/>
      <c r="AV13" s="43"/>
      <c r="BC13" s="22"/>
    </row>
    <row r="14" spans="1:55">
      <c r="N14" s="61"/>
      <c r="AM14" s="3"/>
      <c r="AN14" s="5"/>
      <c r="AO14" s="38"/>
      <c r="AR14" s="23"/>
      <c r="AS14" s="23"/>
      <c r="AV14" s="43"/>
      <c r="BC14" s="22"/>
    </row>
    <row r="15" spans="1:55">
      <c r="B15" s="55" t="s">
        <v>177</v>
      </c>
    </row>
    <row r="16" spans="1:55">
      <c r="A16" t="s">
        <v>248</v>
      </c>
      <c r="B16" t="s">
        <v>250</v>
      </c>
      <c r="C16" t="b">
        <v>0</v>
      </c>
      <c r="D16" t="b">
        <v>0</v>
      </c>
      <c r="E16" t="s">
        <v>229</v>
      </c>
      <c r="F16" t="b">
        <v>0</v>
      </c>
      <c r="G16" t="s">
        <v>72</v>
      </c>
      <c r="H16" t="b">
        <v>0</v>
      </c>
      <c r="I16" t="b">
        <v>0</v>
      </c>
      <c r="J16" t="b">
        <v>0</v>
      </c>
      <c r="K16" t="s">
        <v>236</v>
      </c>
      <c r="L16" t="s">
        <v>237</v>
      </c>
      <c r="M16">
        <v>0.06</v>
      </c>
      <c r="N16" s="61">
        <v>0.125</v>
      </c>
      <c r="O16">
        <v>0.09</v>
      </c>
      <c r="P16">
        <v>0.58140000000000003</v>
      </c>
      <c r="Q16">
        <v>0.41860000000000003</v>
      </c>
      <c r="R16">
        <v>0.41860000000000003</v>
      </c>
      <c r="S16" t="b">
        <v>0</v>
      </c>
      <c r="T16">
        <v>0</v>
      </c>
      <c r="U16">
        <v>0</v>
      </c>
      <c r="V16">
        <v>1.9099999999999999E-2</v>
      </c>
      <c r="W16">
        <v>2.5000000000000001E-2</v>
      </c>
      <c r="X16">
        <v>2.5000000000000001E-2</v>
      </c>
      <c r="Y16">
        <v>0</v>
      </c>
      <c r="Z16" t="s">
        <v>230</v>
      </c>
      <c r="AA16" t="s">
        <v>35</v>
      </c>
      <c r="AB16">
        <v>20</v>
      </c>
      <c r="AC16">
        <v>2.75E-2</v>
      </c>
      <c r="AD16">
        <v>3</v>
      </c>
      <c r="AE16">
        <v>999</v>
      </c>
      <c r="AF16">
        <v>0</v>
      </c>
      <c r="AG16" t="s">
        <v>257</v>
      </c>
      <c r="AH16" t="b">
        <v>0</v>
      </c>
      <c r="AI16" t="s">
        <v>105</v>
      </c>
      <c r="AJ16" t="s">
        <v>20</v>
      </c>
      <c r="AK16">
        <v>6.7500000000000004E-2</v>
      </c>
      <c r="AL16">
        <v>7.7200000000000005E-2</v>
      </c>
      <c r="AM16" s="3">
        <v>0.12</v>
      </c>
      <c r="AN16" s="5">
        <v>2.5000000000000001E-2</v>
      </c>
      <c r="AO16" s="38">
        <v>123</v>
      </c>
      <c r="AP16" t="s">
        <v>31</v>
      </c>
      <c r="AQ16" t="s">
        <v>31</v>
      </c>
      <c r="AR16" s="23">
        <v>0.88300000000000001</v>
      </c>
      <c r="AS16" s="23">
        <v>0.89900000000000002</v>
      </c>
      <c r="AV16" s="43">
        <v>0</v>
      </c>
      <c r="AW16" t="b">
        <v>1</v>
      </c>
      <c r="AX16" t="b">
        <v>1</v>
      </c>
      <c r="AY16" t="b">
        <v>0</v>
      </c>
      <c r="AZ16">
        <v>0</v>
      </c>
      <c r="BA16" t="s">
        <v>3</v>
      </c>
      <c r="BB16" t="b">
        <v>1</v>
      </c>
      <c r="BC16" s="22" t="b">
        <v>1</v>
      </c>
    </row>
    <row r="17" spans="1:55">
      <c r="A17" t="s">
        <v>249</v>
      </c>
      <c r="B17" t="s">
        <v>251</v>
      </c>
      <c r="C17" t="b">
        <v>0</v>
      </c>
      <c r="D17" t="b">
        <v>0</v>
      </c>
      <c r="E17" t="s">
        <v>229</v>
      </c>
      <c r="F17" t="b">
        <v>0</v>
      </c>
      <c r="G17" t="s">
        <v>72</v>
      </c>
      <c r="H17" t="b">
        <v>0</v>
      </c>
      <c r="I17" t="b">
        <v>0</v>
      </c>
      <c r="J17" t="b">
        <v>0</v>
      </c>
      <c r="K17" t="s">
        <v>236</v>
      </c>
      <c r="L17" t="s">
        <v>245</v>
      </c>
      <c r="M17">
        <v>0.06</v>
      </c>
      <c r="N17" s="61">
        <v>0.125</v>
      </c>
      <c r="O17">
        <v>0.09</v>
      </c>
      <c r="P17">
        <v>0.58140000000000003</v>
      </c>
      <c r="Q17">
        <v>0.41860000000000003</v>
      </c>
      <c r="R17">
        <v>0.41860000000000003</v>
      </c>
      <c r="S17" t="b">
        <v>0</v>
      </c>
      <c r="T17">
        <v>0</v>
      </c>
      <c r="U17">
        <v>0</v>
      </c>
      <c r="V17">
        <v>1.9099999999999999E-2</v>
      </c>
      <c r="W17">
        <v>1.9099999999999999E-2</v>
      </c>
      <c r="X17">
        <v>2.5000000000000001E-2</v>
      </c>
      <c r="Y17">
        <v>0</v>
      </c>
      <c r="Z17" t="s">
        <v>230</v>
      </c>
      <c r="AA17" t="s">
        <v>35</v>
      </c>
      <c r="AB17">
        <v>20</v>
      </c>
      <c r="AC17">
        <v>2.75E-2</v>
      </c>
      <c r="AD17">
        <v>3</v>
      </c>
      <c r="AE17">
        <v>999</v>
      </c>
      <c r="AF17">
        <v>0</v>
      </c>
      <c r="AG17" t="s">
        <v>257</v>
      </c>
      <c r="AH17" t="b">
        <v>0</v>
      </c>
      <c r="AI17" t="s">
        <v>105</v>
      </c>
      <c r="AJ17" t="s">
        <v>20</v>
      </c>
      <c r="AK17">
        <v>6.7500000000000004E-2</v>
      </c>
      <c r="AL17">
        <v>7.7200000000000005E-2</v>
      </c>
      <c r="AM17" s="3">
        <v>0.12</v>
      </c>
      <c r="AN17" s="5">
        <v>2.5000000000000001E-2</v>
      </c>
      <c r="AO17" s="38">
        <v>123</v>
      </c>
      <c r="AP17" t="s">
        <v>31</v>
      </c>
      <c r="AQ17" t="s">
        <v>31</v>
      </c>
      <c r="AR17" s="23">
        <v>0.88300000000000001</v>
      </c>
      <c r="AS17" s="23">
        <v>0.89900000000000002</v>
      </c>
      <c r="AV17" s="43">
        <v>0</v>
      </c>
      <c r="AW17" t="b">
        <v>1</v>
      </c>
      <c r="AX17" t="b">
        <v>1</v>
      </c>
      <c r="AY17" t="b">
        <v>0</v>
      </c>
      <c r="AZ17">
        <v>0</v>
      </c>
      <c r="BA17" t="s">
        <v>3</v>
      </c>
      <c r="BB17" t="b">
        <v>1</v>
      </c>
      <c r="BC17" s="22" t="b">
        <v>1</v>
      </c>
    </row>
    <row r="18" spans="1:55">
      <c r="A18" t="s">
        <v>254</v>
      </c>
      <c r="B18" t="s">
        <v>256</v>
      </c>
      <c r="C18" t="b">
        <v>0</v>
      </c>
      <c r="D18" t="b">
        <v>0</v>
      </c>
      <c r="E18" t="s">
        <v>229</v>
      </c>
      <c r="F18" t="b">
        <v>0</v>
      </c>
      <c r="G18" t="s">
        <v>72</v>
      </c>
      <c r="H18" t="b">
        <v>0</v>
      </c>
      <c r="I18" t="b">
        <v>0</v>
      </c>
      <c r="J18" t="b">
        <v>0</v>
      </c>
      <c r="K18" t="s">
        <v>252</v>
      </c>
      <c r="L18" t="s">
        <v>245</v>
      </c>
      <c r="M18">
        <v>0.06</v>
      </c>
      <c r="N18" s="61">
        <v>0.125</v>
      </c>
      <c r="O18">
        <v>0.09</v>
      </c>
      <c r="P18">
        <v>0.58140000000000003</v>
      </c>
      <c r="Q18">
        <v>0.41860000000000003</v>
      </c>
      <c r="R18">
        <v>0.41860000000000003</v>
      </c>
      <c r="S18" t="b">
        <v>0</v>
      </c>
      <c r="T18">
        <v>0</v>
      </c>
      <c r="U18">
        <v>0</v>
      </c>
      <c r="V18">
        <v>1.9099999999999999E-2</v>
      </c>
      <c r="W18">
        <v>1.9099999999999999E-2</v>
      </c>
      <c r="X18">
        <v>2.5000000000000001E-2</v>
      </c>
      <c r="Y18">
        <v>0</v>
      </c>
      <c r="Z18" t="s">
        <v>230</v>
      </c>
      <c r="AA18" t="s">
        <v>35</v>
      </c>
      <c r="AB18">
        <v>20</v>
      </c>
      <c r="AC18">
        <v>2.75E-2</v>
      </c>
      <c r="AD18">
        <v>3</v>
      </c>
      <c r="AE18">
        <v>999</v>
      </c>
      <c r="AF18">
        <v>0</v>
      </c>
      <c r="AG18" t="s">
        <v>257</v>
      </c>
      <c r="AH18" t="b">
        <v>0</v>
      </c>
      <c r="AI18" t="s">
        <v>105</v>
      </c>
      <c r="AJ18" t="s">
        <v>20</v>
      </c>
      <c r="AK18">
        <v>6.7500000000000004E-2</v>
      </c>
      <c r="AL18">
        <v>7.7200000000000005E-2</v>
      </c>
      <c r="AM18" s="3">
        <v>0.12</v>
      </c>
      <c r="AN18" s="5">
        <v>2.5000000000000001E-2</v>
      </c>
      <c r="AO18" s="38">
        <v>123</v>
      </c>
      <c r="AP18" t="s">
        <v>31</v>
      </c>
      <c r="AQ18" t="s">
        <v>31</v>
      </c>
      <c r="AR18" s="23">
        <v>0.88300000000000001</v>
      </c>
      <c r="AS18" s="23">
        <v>0.89900000000000002</v>
      </c>
      <c r="AV18" s="43">
        <v>0</v>
      </c>
      <c r="AW18" t="b">
        <v>1</v>
      </c>
      <c r="AX18" t="b">
        <v>1</v>
      </c>
      <c r="AY18" t="b">
        <v>0</v>
      </c>
      <c r="AZ18">
        <v>0</v>
      </c>
      <c r="BA18" t="s">
        <v>3</v>
      </c>
      <c r="BB18" t="b">
        <v>1</v>
      </c>
      <c r="BC18" s="22" t="b">
        <v>0</v>
      </c>
    </row>
  </sheetData>
  <phoneticPr fontId="14" type="noConversion"/>
  <dataValidations count="3">
    <dataValidation type="list" allowBlank="1" showInputMessage="1" showErrorMessage="1" sqref="AX5:AY14 C5:C14 AX16:AY18 C16:C18" xr:uid="{1240F49A-5091-456D-B77A-0673AD56E758}">
      <formula1>"TRUE, FALSE"</formula1>
    </dataValidation>
    <dataValidation type="list" allowBlank="1" showInputMessage="1" showErrorMessage="1" sqref="AI5:AI14 AI16:AI18" xr:uid="{8909875A-86FC-4594-BBAF-A364A5851F3C}">
      <formula1>"simple, internal"</formula1>
    </dataValidation>
    <dataValidation type="list" allowBlank="1" showInputMessage="1" showErrorMessage="1" sqref="D5:D14 D16:D18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E15" sqref="E15"/>
    </sheetView>
  </sheetViews>
  <sheetFormatPr defaultRowHeight="1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>
      <c r="B1" t="s">
        <v>126</v>
      </c>
    </row>
    <row r="2" spans="1:6">
      <c r="A2" t="s">
        <v>120</v>
      </c>
      <c r="B2" s="24">
        <v>80223070</v>
      </c>
      <c r="C2" s="47">
        <f>B2/B$8</f>
        <v>0.58887347116219513</v>
      </c>
    </row>
    <row r="3" spans="1:6">
      <c r="A3" t="s">
        <v>121</v>
      </c>
      <c r="B3" s="24">
        <f>3589902866/1000</f>
        <v>3589902.8659999999</v>
      </c>
      <c r="C3" s="47">
        <f t="shared" ref="C3:C8" si="0">B3/B$8</f>
        <v>2.6351504147579148E-2</v>
      </c>
    </row>
    <row r="4" spans="1:6">
      <c r="A4" t="s">
        <v>127</v>
      </c>
      <c r="B4" s="24">
        <f>SUM(B2:B3)</f>
        <v>83812972.865999997</v>
      </c>
      <c r="C4" s="47">
        <f t="shared" si="0"/>
        <v>0.61522497530977416</v>
      </c>
      <c r="D4" s="25">
        <f>B4/SUM(B10:B12)</f>
        <v>0.23676281938396723</v>
      </c>
      <c r="E4">
        <f>B4/B14</f>
        <v>0.22925971478816315</v>
      </c>
    </row>
    <row r="5" spans="1:6">
      <c r="A5" t="s">
        <v>122</v>
      </c>
      <c r="B5" s="46">
        <f>10551342261/1000</f>
        <v>10551342.261</v>
      </c>
      <c r="C5" s="47">
        <f t="shared" si="0"/>
        <v>7.7451605163644743E-2</v>
      </c>
    </row>
    <row r="6" spans="1:6">
      <c r="A6" t="s">
        <v>123</v>
      </c>
      <c r="B6" s="46">
        <f>33326594392/1000</f>
        <v>33326594.392000001</v>
      </c>
      <c r="C6" s="47">
        <f t="shared" si="0"/>
        <v>0.24463221516742734</v>
      </c>
    </row>
    <row r="7" spans="1:6">
      <c r="A7" t="s">
        <v>124</v>
      </c>
      <c r="B7" s="46">
        <f>8540511923/1000</f>
        <v>8540511.9230000004</v>
      </c>
      <c r="C7" s="47">
        <f t="shared" si="0"/>
        <v>6.2691204682133503E-2</v>
      </c>
    </row>
    <row r="8" spans="1:6">
      <c r="A8" t="s">
        <v>125</v>
      </c>
      <c r="B8" s="24">
        <f>136231421398/1000</f>
        <v>136231421.398</v>
      </c>
      <c r="C8" s="47">
        <f t="shared" si="0"/>
        <v>1</v>
      </c>
      <c r="F8">
        <f>B8/B10</f>
        <v>0.52418721239263988</v>
      </c>
    </row>
    <row r="10" spans="1:6">
      <c r="A10" t="s">
        <v>119</v>
      </c>
      <c r="B10" s="24">
        <v>259890776</v>
      </c>
    </row>
    <row r="11" spans="1:6">
      <c r="A11" t="s">
        <v>116</v>
      </c>
      <c r="B11" s="24">
        <v>64796136</v>
      </c>
    </row>
    <row r="12" spans="1:6">
      <c r="A12" t="s">
        <v>117</v>
      </c>
      <c r="B12" s="24">
        <v>29308589</v>
      </c>
    </row>
    <row r="14" spans="1:6">
      <c r="A14" t="s">
        <v>118</v>
      </c>
      <c r="B14" s="24">
        <v>365580900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1" sqref="D31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2" spans="2:4">
      <c r="B2" t="s">
        <v>224</v>
      </c>
    </row>
    <row r="3" spans="2:4">
      <c r="B3" s="45" t="s">
        <v>112</v>
      </c>
      <c r="C3" s="45" t="s">
        <v>223</v>
      </c>
    </row>
    <row r="4" spans="2:4">
      <c r="B4" t="b">
        <v>0</v>
      </c>
      <c r="C4" t="b">
        <v>0</v>
      </c>
      <c r="D4" t="s">
        <v>225</v>
      </c>
    </row>
    <row r="5" spans="2:4">
      <c r="B5" t="b">
        <v>1</v>
      </c>
      <c r="C5" t="b">
        <v>1</v>
      </c>
      <c r="D5" t="s">
        <v>226</v>
      </c>
    </row>
    <row r="6" spans="2:4">
      <c r="B6" t="b">
        <v>1</v>
      </c>
      <c r="C6" t="b">
        <v>0</v>
      </c>
      <c r="D6" t="s">
        <v>227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U51"/>
  <sheetViews>
    <sheetView tabSelected="1" zoomScaleNormal="100" workbookViewId="0">
      <pane xSplit="3" ySplit="4" topLeftCell="M5" activePane="bottomRight" state="frozen"/>
      <selection pane="topRight" activeCell="E1" sqref="E1"/>
      <selection pane="bottomLeft" activeCell="A5" sqref="A5"/>
      <selection pane="bottomRight" activeCell="Q5" sqref="Q5"/>
    </sheetView>
  </sheetViews>
  <sheetFormatPr defaultRowHeight="15"/>
  <cols>
    <col min="1" max="1" width="25.140625" customWidth="1"/>
    <col min="2" max="2" width="53.140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2" customWidth="1"/>
    <col min="18" max="18" width="15.7109375" customWidth="1"/>
    <col min="19" max="19" width="16.28515625" customWidth="1"/>
    <col min="20" max="20" width="17.42578125" customWidth="1"/>
    <col min="21" max="21" width="14.28515625" customWidth="1"/>
    <col min="22" max="22" width="25.140625" customWidth="1"/>
  </cols>
  <sheetData>
    <row r="3" spans="1:21" s="21" customFormat="1" ht="18.75">
      <c r="A3" s="14"/>
      <c r="B3" s="14"/>
      <c r="C3" s="14"/>
      <c r="D3" s="19" t="s">
        <v>63</v>
      </c>
      <c r="E3" s="19"/>
      <c r="F3" s="15" t="s">
        <v>48</v>
      </c>
      <c r="G3" s="15"/>
      <c r="H3" s="18" t="s">
        <v>67</v>
      </c>
      <c r="I3" s="18"/>
      <c r="J3" s="41" t="s">
        <v>100</v>
      </c>
      <c r="K3" s="39" t="s">
        <v>106</v>
      </c>
      <c r="L3" s="39"/>
      <c r="M3" s="39" t="s">
        <v>128</v>
      </c>
      <c r="N3" s="19" t="s">
        <v>158</v>
      </c>
      <c r="O3" s="19"/>
      <c r="P3" s="15" t="s">
        <v>157</v>
      </c>
      <c r="Q3" s="15"/>
      <c r="R3" s="15"/>
      <c r="S3" s="15"/>
      <c r="T3" s="15"/>
      <c r="U3" s="15"/>
    </row>
    <row r="4" spans="1:21" s="1" customFormat="1">
      <c r="A4" s="11" t="s">
        <v>70</v>
      </c>
      <c r="B4" s="11" t="s">
        <v>36</v>
      </c>
      <c r="C4" s="11" t="s">
        <v>13</v>
      </c>
      <c r="D4" s="7" t="s">
        <v>68</v>
      </c>
      <c r="E4" s="7" t="s">
        <v>71</v>
      </c>
      <c r="F4" s="8" t="s">
        <v>47</v>
      </c>
      <c r="G4" s="8" t="s">
        <v>59</v>
      </c>
      <c r="H4" s="13" t="s">
        <v>25</v>
      </c>
      <c r="I4" s="13" t="s">
        <v>66</v>
      </c>
      <c r="J4" s="42" t="s">
        <v>6</v>
      </c>
      <c r="K4" s="40" t="s">
        <v>102</v>
      </c>
      <c r="L4" s="40" t="s">
        <v>103</v>
      </c>
      <c r="M4" s="40" t="s">
        <v>115</v>
      </c>
      <c r="N4" s="7" t="s">
        <v>57</v>
      </c>
      <c r="O4" s="7" t="s">
        <v>110</v>
      </c>
      <c r="P4" s="8" t="s">
        <v>108</v>
      </c>
      <c r="Q4" s="8" t="s">
        <v>308</v>
      </c>
      <c r="R4" s="8" t="s">
        <v>306</v>
      </c>
      <c r="S4" s="8" t="s">
        <v>307</v>
      </c>
      <c r="T4" s="8" t="s">
        <v>305</v>
      </c>
      <c r="U4" s="8" t="s">
        <v>109</v>
      </c>
    </row>
    <row r="5" spans="1:21">
      <c r="A5" t="s">
        <v>259</v>
      </c>
      <c r="C5" t="b">
        <v>1</v>
      </c>
      <c r="D5" t="s">
        <v>64</v>
      </c>
      <c r="E5" t="s">
        <v>258</v>
      </c>
      <c r="F5" t="s">
        <v>62</v>
      </c>
      <c r="G5">
        <v>3.2500000000000001E-2</v>
      </c>
      <c r="H5">
        <v>0</v>
      </c>
      <c r="I5" t="b">
        <v>0</v>
      </c>
      <c r="J5">
        <v>6.7500000000000004E-2</v>
      </c>
      <c r="K5">
        <v>0</v>
      </c>
      <c r="L5">
        <v>2018</v>
      </c>
      <c r="N5" t="b">
        <v>0</v>
      </c>
      <c r="O5" s="43">
        <v>0.11</v>
      </c>
      <c r="P5">
        <v>0</v>
      </c>
      <c r="Q5">
        <v>1.2</v>
      </c>
      <c r="R5">
        <v>1.05</v>
      </c>
      <c r="S5">
        <v>1.4</v>
      </c>
      <c r="T5">
        <v>0.8</v>
      </c>
      <c r="U5">
        <v>0.8</v>
      </c>
    </row>
    <row r="6" spans="1:21">
      <c r="O6" s="43"/>
    </row>
    <row r="7" spans="1:21">
      <c r="O7" s="43"/>
    </row>
    <row r="8" spans="1:21">
      <c r="O8" s="43"/>
    </row>
    <row r="9" spans="1:21">
      <c r="O9" s="43"/>
    </row>
    <row r="10" spans="1:21">
      <c r="O10" s="43"/>
    </row>
    <row r="11" spans="1:21">
      <c r="O11" s="43"/>
    </row>
    <row r="12" spans="1:21">
      <c r="O12" s="43"/>
    </row>
    <row r="13" spans="1:21">
      <c r="O13" s="43"/>
    </row>
    <row r="14" spans="1:21">
      <c r="A14" t="s">
        <v>171</v>
      </c>
      <c r="B14" t="s">
        <v>159</v>
      </c>
      <c r="C14" t="b">
        <v>0</v>
      </c>
      <c r="D14" t="s">
        <v>64</v>
      </c>
      <c r="E14" t="s">
        <v>69</v>
      </c>
      <c r="F14" t="s">
        <v>62</v>
      </c>
      <c r="G14">
        <v>2.75E-2</v>
      </c>
      <c r="H14">
        <v>0</v>
      </c>
      <c r="I14" t="b">
        <v>1</v>
      </c>
      <c r="J14">
        <v>7.0000000000000007E-2</v>
      </c>
      <c r="K14">
        <v>0</v>
      </c>
      <c r="L14">
        <v>2018</v>
      </c>
      <c r="N14" t="b">
        <v>1</v>
      </c>
      <c r="O14" s="43">
        <v>0.11</v>
      </c>
      <c r="P14">
        <v>0.02</v>
      </c>
      <c r="R14">
        <v>0.05</v>
      </c>
      <c r="U14">
        <v>0</v>
      </c>
    </row>
    <row r="15" spans="1:21">
      <c r="A15" t="s">
        <v>189</v>
      </c>
      <c r="B15" t="s">
        <v>192</v>
      </c>
      <c r="C15" t="b">
        <v>0</v>
      </c>
      <c r="D15" t="s">
        <v>64</v>
      </c>
      <c r="E15" t="s">
        <v>69</v>
      </c>
      <c r="F15" t="s">
        <v>62</v>
      </c>
      <c r="G15">
        <v>2.75E-2</v>
      </c>
      <c r="H15">
        <v>0</v>
      </c>
      <c r="I15" t="b">
        <v>1</v>
      </c>
      <c r="J15">
        <v>7.0000000000000007E-2</v>
      </c>
      <c r="K15">
        <v>0.25</v>
      </c>
      <c r="L15">
        <v>2018</v>
      </c>
      <c r="N15" t="b">
        <v>1</v>
      </c>
      <c r="O15" s="43">
        <v>0.11</v>
      </c>
      <c r="P15">
        <v>0.02</v>
      </c>
      <c r="R15">
        <v>0.05</v>
      </c>
      <c r="U15">
        <v>0</v>
      </c>
    </row>
    <row r="16" spans="1:21">
      <c r="A16" t="s">
        <v>172</v>
      </c>
      <c r="B16" t="s">
        <v>151</v>
      </c>
      <c r="C16" t="b">
        <v>0</v>
      </c>
      <c r="D16" t="s">
        <v>64</v>
      </c>
      <c r="E16" t="s">
        <v>69</v>
      </c>
      <c r="F16" t="s">
        <v>62</v>
      </c>
      <c r="G16">
        <v>2.75E-2</v>
      </c>
      <c r="H16">
        <v>0</v>
      </c>
      <c r="I16" t="b">
        <v>1</v>
      </c>
      <c r="J16">
        <v>7.0000000000000007E-2</v>
      </c>
      <c r="K16">
        <v>0.5</v>
      </c>
      <c r="L16">
        <v>2018</v>
      </c>
      <c r="N16" t="b">
        <v>1</v>
      </c>
      <c r="O16" s="43">
        <v>0.11</v>
      </c>
      <c r="P16">
        <v>0.02</v>
      </c>
      <c r="R16">
        <v>0.05</v>
      </c>
      <c r="U16">
        <v>0</v>
      </c>
    </row>
    <row r="17" spans="1:21">
      <c r="O17" s="43"/>
    </row>
    <row r="18" spans="1:21">
      <c r="A18" t="s">
        <v>173</v>
      </c>
      <c r="B18" t="s">
        <v>154</v>
      </c>
      <c r="C18" t="b">
        <v>0</v>
      </c>
      <c r="D18" t="s">
        <v>64</v>
      </c>
      <c r="E18" t="s">
        <v>69</v>
      </c>
      <c r="F18" t="s">
        <v>62</v>
      </c>
      <c r="G18">
        <v>2.75E-2</v>
      </c>
      <c r="H18">
        <v>0</v>
      </c>
      <c r="I18" t="b">
        <v>1</v>
      </c>
      <c r="J18">
        <v>7.0000000000000007E-2</v>
      </c>
      <c r="K18">
        <v>0</v>
      </c>
      <c r="L18">
        <v>2018</v>
      </c>
      <c r="M18">
        <v>0.01</v>
      </c>
      <c r="N18" t="b">
        <v>1</v>
      </c>
      <c r="O18" s="43">
        <v>0.11</v>
      </c>
      <c r="P18">
        <v>0.02</v>
      </c>
      <c r="R18">
        <v>0.05</v>
      </c>
      <c r="U18">
        <v>0</v>
      </c>
    </row>
    <row r="19" spans="1:21">
      <c r="A19" t="s">
        <v>190</v>
      </c>
      <c r="B19" t="s">
        <v>193</v>
      </c>
      <c r="C19" t="b">
        <v>0</v>
      </c>
      <c r="D19" t="s">
        <v>64</v>
      </c>
      <c r="E19" t="s">
        <v>69</v>
      </c>
      <c r="F19" t="s">
        <v>62</v>
      </c>
      <c r="G19">
        <v>2.75E-2</v>
      </c>
      <c r="H19">
        <v>0</v>
      </c>
      <c r="I19" t="b">
        <v>1</v>
      </c>
      <c r="J19">
        <v>7.0000000000000007E-2</v>
      </c>
      <c r="K19">
        <v>0.25</v>
      </c>
      <c r="L19">
        <v>2018</v>
      </c>
      <c r="M19">
        <v>0.01</v>
      </c>
      <c r="N19" t="b">
        <v>1</v>
      </c>
      <c r="O19" s="43">
        <v>0.11</v>
      </c>
      <c r="P19">
        <v>0.02</v>
      </c>
      <c r="R19">
        <v>0.05</v>
      </c>
      <c r="U19">
        <v>0</v>
      </c>
    </row>
    <row r="20" spans="1:21">
      <c r="A20" t="s">
        <v>174</v>
      </c>
      <c r="B20" t="s">
        <v>152</v>
      </c>
      <c r="C20" t="b">
        <v>0</v>
      </c>
      <c r="D20" t="s">
        <v>64</v>
      </c>
      <c r="E20" t="s">
        <v>69</v>
      </c>
      <c r="F20" t="s">
        <v>62</v>
      </c>
      <c r="G20">
        <v>2.75E-2</v>
      </c>
      <c r="H20">
        <v>0</v>
      </c>
      <c r="I20" t="b">
        <v>1</v>
      </c>
      <c r="J20">
        <v>7.0000000000000007E-2</v>
      </c>
      <c r="K20">
        <v>0.5</v>
      </c>
      <c r="L20">
        <v>2018</v>
      </c>
      <c r="M20">
        <v>0.01</v>
      </c>
      <c r="N20" t="b">
        <v>1</v>
      </c>
      <c r="O20" s="43">
        <v>0.11</v>
      </c>
      <c r="P20">
        <v>0.02</v>
      </c>
      <c r="R20">
        <v>0.05</v>
      </c>
      <c r="U20">
        <v>0</v>
      </c>
    </row>
    <row r="22" spans="1:21">
      <c r="A22" t="s">
        <v>175</v>
      </c>
      <c r="B22" t="s">
        <v>155</v>
      </c>
      <c r="C22" t="b">
        <v>0</v>
      </c>
      <c r="D22" t="s">
        <v>64</v>
      </c>
      <c r="E22" t="s">
        <v>69</v>
      </c>
      <c r="F22" t="s">
        <v>62</v>
      </c>
      <c r="G22">
        <v>2.75E-2</v>
      </c>
      <c r="H22">
        <v>0</v>
      </c>
      <c r="I22" t="b">
        <v>1</v>
      </c>
      <c r="J22">
        <v>7.0000000000000007E-2</v>
      </c>
      <c r="K22">
        <v>0</v>
      </c>
      <c r="L22">
        <v>2018</v>
      </c>
      <c r="M22">
        <v>1.4999999999999999E-2</v>
      </c>
      <c r="N22" t="b">
        <v>1</v>
      </c>
      <c r="O22" s="43">
        <v>0.11</v>
      </c>
      <c r="P22">
        <v>0.02</v>
      </c>
      <c r="R22">
        <v>0.05</v>
      </c>
      <c r="U22">
        <v>0</v>
      </c>
    </row>
    <row r="23" spans="1:21">
      <c r="A23" t="s">
        <v>191</v>
      </c>
      <c r="B23" t="s">
        <v>194</v>
      </c>
      <c r="C23" t="b">
        <v>0</v>
      </c>
      <c r="D23" t="s">
        <v>64</v>
      </c>
      <c r="E23" t="s">
        <v>69</v>
      </c>
      <c r="F23" t="s">
        <v>62</v>
      </c>
      <c r="G23">
        <v>2.75E-2</v>
      </c>
      <c r="H23">
        <v>0</v>
      </c>
      <c r="I23" t="b">
        <v>1</v>
      </c>
      <c r="J23">
        <v>7.0000000000000007E-2</v>
      </c>
      <c r="K23">
        <v>0.25</v>
      </c>
      <c r="L23">
        <v>2018</v>
      </c>
      <c r="M23">
        <v>1.4999999999999999E-2</v>
      </c>
      <c r="N23" t="b">
        <v>1</v>
      </c>
      <c r="O23" s="43">
        <v>0.11</v>
      </c>
      <c r="P23">
        <v>0.02</v>
      </c>
      <c r="R23">
        <v>0.05</v>
      </c>
      <c r="U23">
        <v>0</v>
      </c>
    </row>
    <row r="24" spans="1:21">
      <c r="A24" t="s">
        <v>176</v>
      </c>
      <c r="B24" t="s">
        <v>153</v>
      </c>
      <c r="C24" t="b">
        <v>0</v>
      </c>
      <c r="D24" t="s">
        <v>64</v>
      </c>
      <c r="E24" t="s">
        <v>69</v>
      </c>
      <c r="F24" t="s">
        <v>62</v>
      </c>
      <c r="G24">
        <v>2.75E-2</v>
      </c>
      <c r="H24">
        <v>0</v>
      </c>
      <c r="I24" t="b">
        <v>1</v>
      </c>
      <c r="J24">
        <v>7.0000000000000007E-2</v>
      </c>
      <c r="K24">
        <v>0.5</v>
      </c>
      <c r="L24">
        <v>2018</v>
      </c>
      <c r="M24">
        <v>1.4999999999999999E-2</v>
      </c>
      <c r="N24" t="b">
        <v>1</v>
      </c>
      <c r="O24" s="43">
        <v>0.11</v>
      </c>
      <c r="P24">
        <v>0.02</v>
      </c>
      <c r="R24">
        <v>0.05</v>
      </c>
      <c r="U24">
        <v>0</v>
      </c>
    </row>
    <row r="27" spans="1:21">
      <c r="A27" t="s">
        <v>165</v>
      </c>
      <c r="B27" t="s">
        <v>160</v>
      </c>
      <c r="C27" t="b">
        <v>0</v>
      </c>
      <c r="D27" t="s">
        <v>64</v>
      </c>
      <c r="E27" t="s">
        <v>156</v>
      </c>
      <c r="F27" t="s">
        <v>62</v>
      </c>
      <c r="G27">
        <v>2.75E-2</v>
      </c>
      <c r="H27">
        <v>0</v>
      </c>
      <c r="I27" t="b">
        <v>1</v>
      </c>
      <c r="J27">
        <v>7.0000000000000007E-2</v>
      </c>
      <c r="K27">
        <v>0</v>
      </c>
      <c r="L27">
        <v>2018</v>
      </c>
      <c r="N27" t="b">
        <v>1</v>
      </c>
      <c r="O27" s="43">
        <v>0.11</v>
      </c>
      <c r="P27">
        <v>0.03</v>
      </c>
      <c r="R27">
        <v>0.05</v>
      </c>
      <c r="U27">
        <v>0</v>
      </c>
    </row>
    <row r="28" spans="1:21">
      <c r="A28" t="s">
        <v>166</v>
      </c>
      <c r="B28" t="s">
        <v>181</v>
      </c>
      <c r="C28" t="b">
        <v>0</v>
      </c>
      <c r="D28" t="s">
        <v>64</v>
      </c>
      <c r="E28" t="s">
        <v>156</v>
      </c>
      <c r="F28" t="s">
        <v>62</v>
      </c>
      <c r="G28">
        <v>2.75E-2</v>
      </c>
      <c r="H28">
        <v>0</v>
      </c>
      <c r="I28" t="b">
        <v>1</v>
      </c>
      <c r="J28">
        <v>7.0000000000000007E-2</v>
      </c>
      <c r="K28">
        <v>0.25</v>
      </c>
      <c r="L28">
        <v>2018</v>
      </c>
      <c r="N28" t="b">
        <v>1</v>
      </c>
      <c r="O28" s="43">
        <v>0.11</v>
      </c>
      <c r="P28">
        <v>0.03</v>
      </c>
      <c r="R28">
        <v>0.05</v>
      </c>
      <c r="U28">
        <v>0</v>
      </c>
    </row>
    <row r="29" spans="1:21">
      <c r="A29" t="s">
        <v>178</v>
      </c>
      <c r="B29" t="s">
        <v>182</v>
      </c>
      <c r="C29" t="b">
        <v>0</v>
      </c>
      <c r="D29" t="s">
        <v>64</v>
      </c>
      <c r="E29" t="s">
        <v>156</v>
      </c>
      <c r="F29" t="s">
        <v>62</v>
      </c>
      <c r="G29">
        <v>2.75E-2</v>
      </c>
      <c r="H29">
        <v>0</v>
      </c>
      <c r="I29" t="b">
        <v>1</v>
      </c>
      <c r="J29">
        <v>7.0000000000000007E-2</v>
      </c>
      <c r="K29">
        <v>0.5</v>
      </c>
      <c r="L29">
        <v>2018</v>
      </c>
      <c r="N29" t="b">
        <v>1</v>
      </c>
      <c r="O29" s="43">
        <v>0.11</v>
      </c>
      <c r="P29">
        <v>0.03</v>
      </c>
      <c r="R29">
        <v>0.05</v>
      </c>
      <c r="U29">
        <v>0</v>
      </c>
    </row>
    <row r="30" spans="1:21">
      <c r="O30" s="43"/>
    </row>
    <row r="31" spans="1:21">
      <c r="A31" t="s">
        <v>167</v>
      </c>
      <c r="B31" t="s">
        <v>183</v>
      </c>
      <c r="C31" t="b">
        <v>0</v>
      </c>
      <c r="D31" t="s">
        <v>64</v>
      </c>
      <c r="E31" t="s">
        <v>156</v>
      </c>
      <c r="F31" t="s">
        <v>62</v>
      </c>
      <c r="G31">
        <v>2.75E-2</v>
      </c>
      <c r="H31">
        <v>0</v>
      </c>
      <c r="I31" t="b">
        <v>1</v>
      </c>
      <c r="J31">
        <v>7.0000000000000007E-2</v>
      </c>
      <c r="K31">
        <v>0</v>
      </c>
      <c r="L31">
        <v>2018</v>
      </c>
      <c r="M31">
        <v>0.01</v>
      </c>
      <c r="N31" t="b">
        <v>1</v>
      </c>
      <c r="O31" s="43">
        <v>0.11</v>
      </c>
      <c r="P31">
        <v>0.03</v>
      </c>
      <c r="R31">
        <v>0.05</v>
      </c>
      <c r="U31">
        <v>0</v>
      </c>
    </row>
    <row r="32" spans="1:21">
      <c r="A32" t="s">
        <v>168</v>
      </c>
      <c r="B32" t="s">
        <v>184</v>
      </c>
      <c r="C32" t="b">
        <v>0</v>
      </c>
      <c r="D32" t="s">
        <v>64</v>
      </c>
      <c r="E32" t="s">
        <v>156</v>
      </c>
      <c r="F32" t="s">
        <v>62</v>
      </c>
      <c r="G32">
        <v>2.75E-2</v>
      </c>
      <c r="H32">
        <v>0</v>
      </c>
      <c r="I32" t="b">
        <v>1</v>
      </c>
      <c r="J32">
        <v>7.0000000000000007E-2</v>
      </c>
      <c r="K32">
        <v>0.25</v>
      </c>
      <c r="L32">
        <v>2018</v>
      </c>
      <c r="M32">
        <v>0.01</v>
      </c>
      <c r="N32" t="b">
        <v>1</v>
      </c>
      <c r="O32" s="43">
        <v>0.11</v>
      </c>
      <c r="P32">
        <v>0.03</v>
      </c>
      <c r="R32">
        <v>0.05</v>
      </c>
      <c r="U32">
        <v>0</v>
      </c>
    </row>
    <row r="33" spans="1:21">
      <c r="A33" t="s">
        <v>179</v>
      </c>
      <c r="B33" t="s">
        <v>185</v>
      </c>
      <c r="C33" t="b">
        <v>0</v>
      </c>
      <c r="D33" t="s">
        <v>64</v>
      </c>
      <c r="E33" t="s">
        <v>156</v>
      </c>
      <c r="F33" t="s">
        <v>62</v>
      </c>
      <c r="G33">
        <v>2.75E-2</v>
      </c>
      <c r="H33">
        <v>0</v>
      </c>
      <c r="I33" t="b">
        <v>1</v>
      </c>
      <c r="J33">
        <v>7.0000000000000007E-2</v>
      </c>
      <c r="K33">
        <v>0.5</v>
      </c>
      <c r="L33">
        <v>2018</v>
      </c>
      <c r="M33">
        <v>0.01</v>
      </c>
      <c r="N33" t="b">
        <v>1</v>
      </c>
      <c r="O33" s="43">
        <v>0.11</v>
      </c>
      <c r="P33">
        <v>0.03</v>
      </c>
      <c r="R33">
        <v>0.05</v>
      </c>
      <c r="U33">
        <v>0</v>
      </c>
    </row>
    <row r="35" spans="1:21">
      <c r="A35" t="s">
        <v>169</v>
      </c>
      <c r="B35" t="s">
        <v>186</v>
      </c>
      <c r="C35" t="b">
        <v>0</v>
      </c>
      <c r="D35" t="s">
        <v>64</v>
      </c>
      <c r="E35" t="s">
        <v>156</v>
      </c>
      <c r="F35" t="s">
        <v>62</v>
      </c>
      <c r="G35">
        <v>2.75E-2</v>
      </c>
      <c r="H35">
        <v>0</v>
      </c>
      <c r="I35" t="b">
        <v>1</v>
      </c>
      <c r="J35">
        <v>7.0000000000000007E-2</v>
      </c>
      <c r="K35">
        <v>0</v>
      </c>
      <c r="L35">
        <v>2018</v>
      </c>
      <c r="M35">
        <v>1.4999999999999999E-2</v>
      </c>
      <c r="N35" t="b">
        <v>1</v>
      </c>
      <c r="O35" s="43">
        <v>0.11</v>
      </c>
      <c r="P35">
        <v>0.03</v>
      </c>
      <c r="R35">
        <v>0.05</v>
      </c>
      <c r="U35">
        <v>0</v>
      </c>
    </row>
    <row r="36" spans="1:21">
      <c r="A36" t="s">
        <v>170</v>
      </c>
      <c r="B36" t="s">
        <v>187</v>
      </c>
      <c r="C36" t="b">
        <v>0</v>
      </c>
      <c r="D36" t="s">
        <v>64</v>
      </c>
      <c r="E36" t="s">
        <v>156</v>
      </c>
      <c r="F36" t="s">
        <v>62</v>
      </c>
      <c r="G36">
        <v>2.75E-2</v>
      </c>
      <c r="H36">
        <v>0</v>
      </c>
      <c r="I36" t="b">
        <v>1</v>
      </c>
      <c r="J36">
        <v>7.0000000000000007E-2</v>
      </c>
      <c r="K36">
        <v>0.25</v>
      </c>
      <c r="L36">
        <v>2018</v>
      </c>
      <c r="M36">
        <v>1.4999999999999999E-2</v>
      </c>
      <c r="N36" t="b">
        <v>1</v>
      </c>
      <c r="O36" s="43">
        <v>0.11</v>
      </c>
      <c r="P36">
        <v>0.03</v>
      </c>
      <c r="R36">
        <v>0.05</v>
      </c>
      <c r="U36">
        <v>0</v>
      </c>
    </row>
    <row r="37" spans="1:21">
      <c r="A37" t="s">
        <v>180</v>
      </c>
      <c r="B37" t="s">
        <v>188</v>
      </c>
      <c r="C37" t="b">
        <v>0</v>
      </c>
      <c r="D37" t="s">
        <v>64</v>
      </c>
      <c r="E37" t="s">
        <v>156</v>
      </c>
      <c r="F37" t="s">
        <v>62</v>
      </c>
      <c r="G37">
        <v>2.75E-2</v>
      </c>
      <c r="H37">
        <v>0</v>
      </c>
      <c r="I37" t="b">
        <v>1</v>
      </c>
      <c r="J37">
        <v>7.0000000000000007E-2</v>
      </c>
      <c r="K37">
        <v>0.5</v>
      </c>
      <c r="L37">
        <v>2018</v>
      </c>
      <c r="M37">
        <v>1.4999999999999999E-2</v>
      </c>
      <c r="N37" t="b">
        <v>1</v>
      </c>
      <c r="O37" s="43">
        <v>0.11</v>
      </c>
      <c r="P37">
        <v>0.03</v>
      </c>
      <c r="R37">
        <v>0.05</v>
      </c>
      <c r="U37">
        <v>0</v>
      </c>
    </row>
    <row r="38" spans="1:21">
      <c r="O38" s="43"/>
    </row>
    <row r="40" spans="1:21">
      <c r="A40" t="s">
        <v>207</v>
      </c>
      <c r="B40" t="s">
        <v>211</v>
      </c>
      <c r="C40" t="b">
        <v>0</v>
      </c>
      <c r="D40" t="s">
        <v>64</v>
      </c>
      <c r="E40" t="s">
        <v>69</v>
      </c>
      <c r="F40" t="s">
        <v>62</v>
      </c>
      <c r="G40">
        <v>2.75E-2</v>
      </c>
      <c r="H40">
        <v>0</v>
      </c>
      <c r="I40" t="b">
        <v>1</v>
      </c>
      <c r="J40">
        <v>0.05</v>
      </c>
      <c r="K40">
        <v>0</v>
      </c>
      <c r="L40">
        <v>2018</v>
      </c>
      <c r="N40" t="b">
        <v>1</v>
      </c>
      <c r="O40" s="43">
        <v>0.11</v>
      </c>
      <c r="P40">
        <v>0.02</v>
      </c>
      <c r="R40">
        <v>0.05</v>
      </c>
      <c r="U40">
        <v>0</v>
      </c>
    </row>
    <row r="41" spans="1:21">
      <c r="A41" t="s">
        <v>208</v>
      </c>
      <c r="B41" t="s">
        <v>212</v>
      </c>
      <c r="C41" t="b">
        <v>0</v>
      </c>
      <c r="D41" t="s">
        <v>64</v>
      </c>
      <c r="E41" t="s">
        <v>156</v>
      </c>
      <c r="F41" t="s">
        <v>62</v>
      </c>
      <c r="G41">
        <v>2.75E-2</v>
      </c>
      <c r="H41">
        <v>0</v>
      </c>
      <c r="I41" t="b">
        <v>1</v>
      </c>
      <c r="J41">
        <v>0.05</v>
      </c>
      <c r="K41">
        <v>0</v>
      </c>
      <c r="L41">
        <v>2018</v>
      </c>
      <c r="N41" t="b">
        <v>1</v>
      </c>
      <c r="O41" s="43">
        <v>0.11</v>
      </c>
      <c r="P41">
        <v>0.03</v>
      </c>
      <c r="R41">
        <v>0.05</v>
      </c>
      <c r="U41">
        <v>0</v>
      </c>
    </row>
    <row r="43" spans="1:21">
      <c r="A43" t="s">
        <v>209</v>
      </c>
      <c r="B43" t="s">
        <v>213</v>
      </c>
      <c r="C43" t="b">
        <v>0</v>
      </c>
      <c r="D43" t="s">
        <v>64</v>
      </c>
      <c r="E43" t="s">
        <v>69</v>
      </c>
      <c r="F43" t="s">
        <v>62</v>
      </c>
      <c r="G43">
        <v>2.75E-2</v>
      </c>
      <c r="H43">
        <v>0</v>
      </c>
      <c r="I43" t="b">
        <v>1</v>
      </c>
      <c r="J43">
        <v>0.05</v>
      </c>
      <c r="K43">
        <v>0.5</v>
      </c>
      <c r="L43">
        <v>2018</v>
      </c>
      <c r="M43">
        <v>0.01</v>
      </c>
      <c r="N43" t="b">
        <v>1</v>
      </c>
      <c r="O43" s="43">
        <v>0.11</v>
      </c>
      <c r="P43">
        <v>0.02</v>
      </c>
      <c r="R43">
        <v>0.05</v>
      </c>
      <c r="U43">
        <v>0</v>
      </c>
    </row>
    <row r="44" spans="1:21">
      <c r="A44" t="s">
        <v>210</v>
      </c>
      <c r="B44" t="s">
        <v>214</v>
      </c>
      <c r="C44" t="b">
        <v>0</v>
      </c>
      <c r="D44" t="s">
        <v>64</v>
      </c>
      <c r="E44" t="s">
        <v>156</v>
      </c>
      <c r="F44" t="s">
        <v>62</v>
      </c>
      <c r="G44">
        <v>2.75E-2</v>
      </c>
      <c r="H44">
        <v>0</v>
      </c>
      <c r="I44" t="b">
        <v>1</v>
      </c>
      <c r="J44">
        <v>0.05</v>
      </c>
      <c r="K44">
        <v>0.5</v>
      </c>
      <c r="L44">
        <v>2018</v>
      </c>
      <c r="M44">
        <v>0.01</v>
      </c>
      <c r="N44" t="b">
        <v>1</v>
      </c>
      <c r="O44" s="43">
        <v>0.11</v>
      </c>
      <c r="P44">
        <v>0.03</v>
      </c>
      <c r="R44">
        <v>0.05</v>
      </c>
      <c r="U44">
        <v>0</v>
      </c>
    </row>
    <row r="49" spans="1:21">
      <c r="A49" s="58" t="s">
        <v>216</v>
      </c>
      <c r="B49" t="s">
        <v>219</v>
      </c>
      <c r="C49" t="b">
        <v>0</v>
      </c>
      <c r="D49" t="s">
        <v>64</v>
      </c>
      <c r="E49" t="s">
        <v>215</v>
      </c>
      <c r="F49" t="s">
        <v>62</v>
      </c>
      <c r="G49">
        <v>2.75E-2</v>
      </c>
      <c r="H49">
        <v>0</v>
      </c>
      <c r="I49" t="b">
        <v>1</v>
      </c>
      <c r="J49">
        <v>7.0000000000000007E-2</v>
      </c>
      <c r="K49">
        <v>0</v>
      </c>
      <c r="L49">
        <v>2018</v>
      </c>
      <c r="N49" t="b">
        <v>1</v>
      </c>
      <c r="O49" s="43">
        <v>0.11</v>
      </c>
      <c r="P49">
        <v>0.02</v>
      </c>
      <c r="R49">
        <v>0.05</v>
      </c>
      <c r="U49">
        <v>0</v>
      </c>
    </row>
    <row r="50" spans="1:21">
      <c r="A50" s="58" t="s">
        <v>217</v>
      </c>
      <c r="B50" t="s">
        <v>220</v>
      </c>
      <c r="C50" t="b">
        <v>0</v>
      </c>
      <c r="D50" t="s">
        <v>64</v>
      </c>
      <c r="E50" t="s">
        <v>215</v>
      </c>
      <c r="F50" t="s">
        <v>62</v>
      </c>
      <c r="G50">
        <v>2.75E-2</v>
      </c>
      <c r="H50">
        <v>0</v>
      </c>
      <c r="I50" t="b">
        <v>1</v>
      </c>
      <c r="J50">
        <v>7.0000000000000007E-2</v>
      </c>
      <c r="K50">
        <v>0.25</v>
      </c>
      <c r="L50">
        <v>2018</v>
      </c>
      <c r="N50" t="b">
        <v>1</v>
      </c>
      <c r="O50" s="43">
        <v>0.11</v>
      </c>
      <c r="P50">
        <v>0.02</v>
      </c>
      <c r="R50">
        <v>0.05</v>
      </c>
      <c r="U50">
        <v>0</v>
      </c>
    </row>
    <row r="51" spans="1:21">
      <c r="A51" s="58" t="s">
        <v>218</v>
      </c>
      <c r="B51" t="s">
        <v>221</v>
      </c>
      <c r="C51" t="b">
        <v>0</v>
      </c>
      <c r="D51" t="s">
        <v>64</v>
      </c>
      <c r="E51" t="s">
        <v>215</v>
      </c>
      <c r="F51" t="s">
        <v>62</v>
      </c>
      <c r="G51">
        <v>2.75E-2</v>
      </c>
      <c r="H51">
        <v>0</v>
      </c>
      <c r="I51" t="b">
        <v>1</v>
      </c>
      <c r="J51">
        <v>7.0000000000000007E-2</v>
      </c>
      <c r="K51">
        <v>0.5</v>
      </c>
      <c r="L51">
        <v>2018</v>
      </c>
      <c r="N51" t="b">
        <v>1</v>
      </c>
      <c r="O51" s="43">
        <v>0.11</v>
      </c>
      <c r="P51">
        <v>0.02</v>
      </c>
      <c r="R51">
        <v>0.05</v>
      </c>
      <c r="U51">
        <v>0</v>
      </c>
    </row>
  </sheetData>
  <dataValidations count="2">
    <dataValidation type="list" allowBlank="1" showInputMessage="1" showErrorMessage="1" sqref="C40:C44 C5:C38 C49:C51" xr:uid="{CE4DB086-8939-4E0F-A217-D1528E507A37}">
      <formula1>"TRUE, FALSE"</formula1>
    </dataValidation>
    <dataValidation type="list" allowBlank="1" showInputMessage="1" showErrorMessage="1" sqref="D31:D33 D5:D16 D18:D20 D35:D38 D27:D29 D22:D24 D40:D41 D43:D44 D49:D51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E15" sqref="E15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38</v>
      </c>
      <c r="B3" s="2" t="s">
        <v>0</v>
      </c>
      <c r="C3" s="2" t="s">
        <v>1</v>
      </c>
      <c r="D3" s="2" t="s">
        <v>2</v>
      </c>
      <c r="E3" s="2" t="s">
        <v>41</v>
      </c>
      <c r="F3" s="2" t="s">
        <v>42</v>
      </c>
      <c r="G3" s="2" t="s">
        <v>39</v>
      </c>
      <c r="H3" s="2" t="s">
        <v>40</v>
      </c>
      <c r="I3" s="2" t="s">
        <v>44</v>
      </c>
      <c r="J3" s="2" t="s">
        <v>43</v>
      </c>
    </row>
    <row r="4" spans="1:10">
      <c r="A4">
        <v>2019</v>
      </c>
      <c r="B4">
        <v>10</v>
      </c>
      <c r="C4">
        <v>15</v>
      </c>
      <c r="D4">
        <v>6</v>
      </c>
      <c r="E4">
        <v>20</v>
      </c>
      <c r="F4">
        <v>64</v>
      </c>
      <c r="G4">
        <v>20</v>
      </c>
      <c r="H4">
        <v>100</v>
      </c>
      <c r="I4">
        <v>40</v>
      </c>
      <c r="J4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E17" sqref="E17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60</v>
      </c>
    </row>
    <row r="3" spans="1:7">
      <c r="A3" s="1" t="s">
        <v>20</v>
      </c>
      <c r="B3" s="4">
        <v>7.4700000000000003E-2</v>
      </c>
      <c r="C3" s="3">
        <v>0.12</v>
      </c>
      <c r="D3">
        <v>14</v>
      </c>
      <c r="E3" s="4">
        <f t="shared" ref="E3:E10" si="1">F3</f>
        <v>6.7500000000000004E-2</v>
      </c>
      <c r="F3" s="6">
        <f t="shared" ref="F3:F4" si="2">B3 - C3^2/2</f>
        <v>6.7500000000000004E-2</v>
      </c>
    </row>
    <row r="4" spans="1:7">
      <c r="A4" s="1" t="s">
        <v>104</v>
      </c>
      <c r="B4" s="4">
        <v>6.7500000000000004E-2</v>
      </c>
      <c r="C4" s="3">
        <v>0</v>
      </c>
      <c r="D4">
        <v>1</v>
      </c>
      <c r="E4" s="4">
        <f>F4</f>
        <v>6.7500000000000004E-2</v>
      </c>
      <c r="F4" s="6">
        <f t="shared" si="2"/>
        <v>6.7500000000000004E-2</v>
      </c>
      <c r="G4" t="s">
        <v>60</v>
      </c>
    </row>
    <row r="5" spans="1:7">
      <c r="A5" s="1" t="s">
        <v>104</v>
      </c>
      <c r="B5" s="4">
        <v>6.7500000000000004E-2</v>
      </c>
      <c r="C5" s="3">
        <v>0</v>
      </c>
      <c r="D5">
        <v>1</v>
      </c>
      <c r="E5" s="4">
        <f>F5</f>
        <v>6.7500000000000004E-2</v>
      </c>
      <c r="F5" s="6">
        <f t="shared" ref="F5" si="3">B5 - C5^2/2</f>
        <v>6.7500000000000004E-2</v>
      </c>
    </row>
    <row r="6" spans="1:7">
      <c r="A6" s="1" t="s">
        <v>104</v>
      </c>
      <c r="B6" s="4">
        <v>-0.24</v>
      </c>
      <c r="C6" s="3">
        <v>0</v>
      </c>
      <c r="D6">
        <v>1</v>
      </c>
      <c r="E6" s="4">
        <f t="shared" si="1"/>
        <v>-0.24</v>
      </c>
      <c r="F6" s="6">
        <f t="shared" ref="F6" si="4">B6 - C6^2/2</f>
        <v>-0.24</v>
      </c>
    </row>
    <row r="7" spans="1:7">
      <c r="A7" s="1" t="s">
        <v>104</v>
      </c>
      <c r="B7" s="4">
        <v>0.12</v>
      </c>
      <c r="C7" s="3">
        <v>0</v>
      </c>
      <c r="D7">
        <v>1</v>
      </c>
      <c r="E7" s="4">
        <f t="shared" si="1"/>
        <v>0.12</v>
      </c>
      <c r="F7" s="6">
        <f t="shared" ref="F7:F10" si="5">B7 - C7^2/2</f>
        <v>0.12</v>
      </c>
    </row>
    <row r="8" spans="1:7">
      <c r="A8" s="1" t="s">
        <v>104</v>
      </c>
      <c r="B8" s="4">
        <v>0.12</v>
      </c>
      <c r="C8" s="3">
        <v>0</v>
      </c>
      <c r="D8">
        <v>1</v>
      </c>
      <c r="E8" s="4">
        <f t="shared" si="1"/>
        <v>0.12</v>
      </c>
      <c r="F8" s="6">
        <f t="shared" si="5"/>
        <v>0.12</v>
      </c>
    </row>
    <row r="9" spans="1:7">
      <c r="A9" s="1" t="s">
        <v>104</v>
      </c>
      <c r="B9" s="4">
        <v>0.12</v>
      </c>
      <c r="C9" s="3">
        <v>0</v>
      </c>
      <c r="D9">
        <v>1</v>
      </c>
      <c r="E9" s="4">
        <f t="shared" si="1"/>
        <v>0.12</v>
      </c>
      <c r="F9" s="6">
        <f t="shared" si="5"/>
        <v>0.12</v>
      </c>
    </row>
    <row r="10" spans="1:7">
      <c r="A10" s="1" t="s">
        <v>104</v>
      </c>
      <c r="B10" s="4">
        <v>7.0000000000000007E-2</v>
      </c>
      <c r="C10" s="3">
        <v>0</v>
      </c>
      <c r="D10">
        <v>34</v>
      </c>
      <c r="E10" s="4">
        <f t="shared" si="1"/>
        <v>7.0000000000000007E-2</v>
      </c>
      <c r="F10" s="6">
        <f t="shared" si="5"/>
        <v>7.0000000000000007E-2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E38"/>
  <sheetViews>
    <sheetView workbookViewId="0">
      <selection activeCell="G24" sqref="G24"/>
    </sheetView>
  </sheetViews>
  <sheetFormatPr defaultRowHeight="15"/>
  <cols>
    <col min="2" max="2" width="27.42578125" customWidth="1"/>
    <col min="3" max="4" width="18" customWidth="1"/>
    <col min="5" max="5" width="14" customWidth="1"/>
  </cols>
  <sheetData>
    <row r="1" spans="1:5">
      <c r="A1" t="s">
        <v>282</v>
      </c>
    </row>
    <row r="3" spans="1:5" ht="15" customHeight="1">
      <c r="B3" s="65"/>
      <c r="C3" s="84" t="s">
        <v>261</v>
      </c>
      <c r="D3" s="67" t="s">
        <v>262</v>
      </c>
      <c r="E3" t="s">
        <v>281</v>
      </c>
    </row>
    <row r="4" spans="1:5">
      <c r="B4" s="65"/>
      <c r="C4" s="68">
        <v>43646</v>
      </c>
      <c r="D4" s="68">
        <v>43646</v>
      </c>
    </row>
    <row r="5" spans="1:5" ht="25.5">
      <c r="B5" s="69" t="s">
        <v>263</v>
      </c>
      <c r="C5" s="70"/>
      <c r="D5" s="70"/>
    </row>
    <row r="6" spans="1:5" ht="19.5" customHeight="1">
      <c r="B6" s="71" t="s">
        <v>264</v>
      </c>
      <c r="C6" s="80">
        <v>442147</v>
      </c>
      <c r="D6" s="83">
        <v>733822</v>
      </c>
      <c r="E6" s="85">
        <f>SUM(C6:D6)</f>
        <v>1175969</v>
      </c>
    </row>
    <row r="7" spans="1:5" ht="19.5" customHeight="1">
      <c r="B7" s="71" t="s">
        <v>265</v>
      </c>
      <c r="C7" s="80">
        <v>5389</v>
      </c>
      <c r="D7" s="80">
        <v>5692</v>
      </c>
      <c r="E7" s="85">
        <f t="shared" ref="E7:E38" si="0">SUM(C7:D7)</f>
        <v>11081</v>
      </c>
    </row>
    <row r="8" spans="1:5" ht="19.5" customHeight="1">
      <c r="B8" s="71" t="s">
        <v>266</v>
      </c>
      <c r="C8" s="80">
        <v>1436</v>
      </c>
      <c r="D8" s="80">
        <v>1820</v>
      </c>
      <c r="E8" s="85">
        <f t="shared" si="0"/>
        <v>3256</v>
      </c>
    </row>
    <row r="9" spans="1:5" ht="19.5" customHeight="1">
      <c r="B9" s="71" t="s">
        <v>267</v>
      </c>
      <c r="C9" s="81">
        <v>159348</v>
      </c>
      <c r="D9" s="81">
        <v>161821</v>
      </c>
      <c r="E9" s="85">
        <f t="shared" si="0"/>
        <v>321169</v>
      </c>
    </row>
    <row r="10" spans="1:5" ht="19.5" customHeight="1">
      <c r="B10" s="89" t="s">
        <v>268</v>
      </c>
      <c r="C10" s="90">
        <v>608320</v>
      </c>
      <c r="D10" s="90">
        <v>903155</v>
      </c>
      <c r="E10" s="91">
        <f t="shared" si="0"/>
        <v>1511475</v>
      </c>
    </row>
    <row r="11" spans="1:5" ht="19.5" customHeight="1">
      <c r="B11" s="129" t="s">
        <v>303</v>
      </c>
      <c r="C11" s="128">
        <v>71385</v>
      </c>
      <c r="D11" s="128">
        <v>96246</v>
      </c>
      <c r="E11" s="91">
        <v>167631</v>
      </c>
    </row>
    <row r="12" spans="1:5" ht="19.5" customHeight="1">
      <c r="B12" s="131" t="s">
        <v>304</v>
      </c>
      <c r="C12" s="128"/>
      <c r="D12" s="128"/>
      <c r="E12" s="91"/>
    </row>
    <row r="13" spans="1:5" ht="19.5" customHeight="1">
      <c r="B13" s="130" t="s">
        <v>264</v>
      </c>
      <c r="C13" s="132">
        <f>C6/C$11</f>
        <v>6.1938362401064646</v>
      </c>
      <c r="D13" s="132">
        <f t="shared" ref="D13:E13" si="1">D6/D$11</f>
        <v>7.6244415352326333</v>
      </c>
      <c r="E13" s="132">
        <f t="shared" si="1"/>
        <v>7.0152239144311013</v>
      </c>
    </row>
    <row r="14" spans="1:5" ht="19.5" customHeight="1">
      <c r="B14" s="130" t="s">
        <v>265</v>
      </c>
      <c r="C14" s="132">
        <f t="shared" ref="C14:E14" si="2">C7/C$11</f>
        <v>7.5492050150591863E-2</v>
      </c>
      <c r="D14" s="132">
        <f t="shared" si="2"/>
        <v>5.9140120108887639E-2</v>
      </c>
      <c r="E14" s="132">
        <f t="shared" si="2"/>
        <v>6.6103525004324981E-2</v>
      </c>
    </row>
    <row r="15" spans="1:5" ht="19.5" customHeight="1">
      <c r="B15" s="130" t="s">
        <v>266</v>
      </c>
      <c r="C15" s="132">
        <f t="shared" ref="C15:E15" si="3">C8/C$11</f>
        <v>2.0116270925264412E-2</v>
      </c>
      <c r="D15" s="132">
        <f t="shared" si="3"/>
        <v>1.8909876774099704E-2</v>
      </c>
      <c r="E15" s="132">
        <f t="shared" si="3"/>
        <v>1.9423614963819343E-2</v>
      </c>
    </row>
    <row r="16" spans="1:5" ht="19.5" customHeight="1">
      <c r="B16" s="130" t="s">
        <v>267</v>
      </c>
      <c r="C16" s="132">
        <f t="shared" ref="C16:E16" si="4">C9/C$11</f>
        <v>2.2322336625341457</v>
      </c>
      <c r="D16" s="132">
        <f t="shared" si="4"/>
        <v>1.6813270161876857</v>
      </c>
      <c r="E16" s="132">
        <f t="shared" si="4"/>
        <v>1.9159284380574</v>
      </c>
    </row>
    <row r="17" spans="2:5" ht="19.5" customHeight="1">
      <c r="B17" s="133" t="s">
        <v>268</v>
      </c>
      <c r="C17" s="134">
        <f t="shared" ref="C17:E17" si="5">C10/C$11</f>
        <v>8.5216782237164672</v>
      </c>
      <c r="D17" s="134">
        <f t="shared" si="5"/>
        <v>9.3838185483033065</v>
      </c>
      <c r="E17" s="134">
        <f t="shared" si="5"/>
        <v>9.016679492456646</v>
      </c>
    </row>
    <row r="18" spans="2:5" ht="19.5" customHeight="1">
      <c r="B18" s="74" t="s">
        <v>269</v>
      </c>
      <c r="C18" s="83">
        <v>9069</v>
      </c>
      <c r="D18" s="83">
        <v>95139</v>
      </c>
      <c r="E18" s="86">
        <f t="shared" si="0"/>
        <v>104208</v>
      </c>
    </row>
    <row r="19" spans="2:5" ht="19.5" customHeight="1">
      <c r="B19" s="74" t="s">
        <v>270</v>
      </c>
      <c r="C19" s="82"/>
      <c r="D19" s="82"/>
      <c r="E19" s="85">
        <f t="shared" si="0"/>
        <v>0</v>
      </c>
    </row>
    <row r="20" spans="2:5" ht="19.5" customHeight="1">
      <c r="B20" s="71" t="s">
        <v>271</v>
      </c>
      <c r="C20" s="83">
        <v>499249</v>
      </c>
      <c r="D20" s="80">
        <v>1423962</v>
      </c>
      <c r="E20" s="85">
        <f t="shared" si="0"/>
        <v>1923211</v>
      </c>
    </row>
    <row r="21" spans="2:5" ht="19.5" customHeight="1">
      <c r="B21" s="71" t="s">
        <v>272</v>
      </c>
      <c r="C21" s="80">
        <v>86688</v>
      </c>
      <c r="D21" s="80">
        <v>92287</v>
      </c>
      <c r="E21" s="85">
        <f t="shared" si="0"/>
        <v>178975</v>
      </c>
    </row>
    <row r="22" spans="2:5" ht="19.5" customHeight="1">
      <c r="B22" s="71" t="s">
        <v>273</v>
      </c>
      <c r="C22" s="81">
        <v>627487</v>
      </c>
      <c r="D22" s="81">
        <v>612388</v>
      </c>
      <c r="E22" s="85">
        <f t="shared" si="0"/>
        <v>1239875</v>
      </c>
    </row>
    <row r="23" spans="2:5" ht="19.5" customHeight="1">
      <c r="B23" s="89" t="s">
        <v>274</v>
      </c>
      <c r="C23" s="92">
        <v>1213424</v>
      </c>
      <c r="D23" s="92">
        <v>2128637</v>
      </c>
      <c r="E23" s="93">
        <f t="shared" si="0"/>
        <v>3342061</v>
      </c>
    </row>
    <row r="24" spans="2:5" ht="19.5" customHeight="1">
      <c r="B24" s="94" t="s">
        <v>275</v>
      </c>
      <c r="C24" s="95">
        <v>1830813</v>
      </c>
      <c r="D24" s="95">
        <v>3126931</v>
      </c>
      <c r="E24" s="96">
        <f t="shared" si="0"/>
        <v>4957744</v>
      </c>
    </row>
    <row r="25" spans="2:5" ht="19.5" customHeight="1">
      <c r="B25" s="71" t="s">
        <v>264</v>
      </c>
      <c r="C25" s="80">
        <v>1054566</v>
      </c>
      <c r="D25" s="80">
        <v>1792577</v>
      </c>
      <c r="E25" s="85">
        <f t="shared" si="0"/>
        <v>2847143</v>
      </c>
    </row>
    <row r="26" spans="2:5" ht="19.5" customHeight="1">
      <c r="B26" s="71" t="s">
        <v>276</v>
      </c>
      <c r="C26" s="80">
        <v>776247</v>
      </c>
      <c r="D26" s="80">
        <v>1334354</v>
      </c>
      <c r="E26" s="85">
        <f t="shared" si="0"/>
        <v>2110601</v>
      </c>
    </row>
    <row r="27" spans="2:5" ht="48" customHeight="1">
      <c r="B27" s="75" t="s">
        <v>277</v>
      </c>
      <c r="C27" s="70"/>
      <c r="D27" s="70"/>
      <c r="E27" s="85"/>
    </row>
    <row r="28" spans="2:5" ht="48" customHeight="1">
      <c r="B28" s="74" t="s">
        <v>278</v>
      </c>
      <c r="C28" s="70"/>
      <c r="D28" s="70"/>
      <c r="E28" s="85"/>
    </row>
    <row r="29" spans="2:5">
      <c r="B29" s="71" t="s">
        <v>264</v>
      </c>
      <c r="C29" s="79">
        <v>3777</v>
      </c>
      <c r="D29" s="79">
        <v>10770</v>
      </c>
      <c r="E29" s="85">
        <f t="shared" si="0"/>
        <v>14547</v>
      </c>
    </row>
    <row r="30" spans="2:5">
      <c r="B30" s="71" t="s">
        <v>265</v>
      </c>
      <c r="C30" s="76">
        <v>57</v>
      </c>
      <c r="D30" s="72">
        <v>2818</v>
      </c>
      <c r="E30" s="85">
        <f t="shared" si="0"/>
        <v>2875</v>
      </c>
    </row>
    <row r="31" spans="2:5">
      <c r="B31" s="71" t="s">
        <v>266</v>
      </c>
      <c r="C31" s="76">
        <v>61</v>
      </c>
      <c r="D31" s="76">
        <v>168</v>
      </c>
      <c r="E31" s="85">
        <f t="shared" si="0"/>
        <v>229</v>
      </c>
    </row>
    <row r="32" spans="2:5">
      <c r="B32" s="71" t="s">
        <v>267</v>
      </c>
      <c r="C32" s="73">
        <v>3867</v>
      </c>
      <c r="D32" s="73">
        <v>8457</v>
      </c>
      <c r="E32" s="85">
        <f t="shared" si="0"/>
        <v>12324</v>
      </c>
    </row>
    <row r="33" spans="2:5">
      <c r="B33" s="71" t="s">
        <v>268</v>
      </c>
      <c r="C33" s="87">
        <v>7762</v>
      </c>
      <c r="D33" s="87">
        <v>22213</v>
      </c>
      <c r="E33" s="86">
        <f t="shared" si="0"/>
        <v>29975</v>
      </c>
    </row>
    <row r="34" spans="2:5">
      <c r="B34" s="74" t="s">
        <v>269</v>
      </c>
      <c r="C34" s="79">
        <v>47</v>
      </c>
      <c r="D34" s="79">
        <v>661</v>
      </c>
      <c r="E34" s="85">
        <f t="shared" si="0"/>
        <v>708</v>
      </c>
    </row>
    <row r="35" spans="2:5">
      <c r="B35" s="75" t="s">
        <v>279</v>
      </c>
      <c r="C35" s="88">
        <v>7809</v>
      </c>
      <c r="D35" s="88">
        <v>22874</v>
      </c>
      <c r="E35" s="86">
        <f t="shared" si="0"/>
        <v>30683</v>
      </c>
    </row>
    <row r="36" spans="2:5">
      <c r="B36" s="71" t="s">
        <v>264</v>
      </c>
      <c r="C36" s="72">
        <v>6117</v>
      </c>
      <c r="D36" s="72">
        <v>17854</v>
      </c>
      <c r="E36" s="85">
        <f t="shared" si="0"/>
        <v>23971</v>
      </c>
    </row>
    <row r="37" spans="2:5">
      <c r="B37" s="71" t="s">
        <v>276</v>
      </c>
      <c r="C37" s="72">
        <v>1692</v>
      </c>
      <c r="D37" s="72">
        <v>5020</v>
      </c>
      <c r="E37" s="85">
        <f t="shared" si="0"/>
        <v>6712</v>
      </c>
    </row>
    <row r="38" spans="2:5">
      <c r="B38" s="77" t="s">
        <v>280</v>
      </c>
      <c r="C38" s="78">
        <v>1838622</v>
      </c>
      <c r="D38" s="78">
        <v>3149805</v>
      </c>
      <c r="E38" s="86">
        <f t="shared" si="0"/>
        <v>4988427</v>
      </c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C4B5-9019-48D6-98E7-5EB690EA862C}">
  <dimension ref="A1:F32"/>
  <sheetViews>
    <sheetView workbookViewId="0">
      <selection activeCell="H23" sqref="H23"/>
    </sheetView>
  </sheetViews>
  <sheetFormatPr defaultRowHeight="15"/>
  <cols>
    <col min="3" max="5" width="18.5703125" customWidth="1"/>
    <col min="6" max="6" width="14.5703125" customWidth="1"/>
  </cols>
  <sheetData>
    <row r="1" spans="1:6">
      <c r="A1" t="s">
        <v>283</v>
      </c>
    </row>
    <row r="3" spans="1:6" ht="15" customHeight="1"/>
    <row r="4" spans="1:6">
      <c r="C4" s="97" t="s">
        <v>284</v>
      </c>
    </row>
    <row r="5" spans="1:6">
      <c r="C5" s="98" t="s">
        <v>285</v>
      </c>
      <c r="D5" s="66"/>
      <c r="E5" s="66"/>
    </row>
    <row r="6" spans="1:6" ht="19.5" customHeight="1">
      <c r="C6" s="98"/>
      <c r="D6" s="118">
        <v>43646</v>
      </c>
      <c r="E6" s="119">
        <v>43646</v>
      </c>
    </row>
    <row r="7" spans="1:6" ht="19.5" customHeight="1">
      <c r="C7" s="98"/>
      <c r="D7" s="118" t="s">
        <v>297</v>
      </c>
      <c r="E7" s="120" t="s">
        <v>298</v>
      </c>
      <c r="F7" t="s">
        <v>281</v>
      </c>
    </row>
    <row r="8" spans="1:6" ht="19.5" customHeight="1">
      <c r="C8" s="99" t="s">
        <v>286</v>
      </c>
      <c r="D8" s="113">
        <v>17717</v>
      </c>
      <c r="E8" s="114">
        <v>17506</v>
      </c>
      <c r="F8" s="121">
        <f>SUM(D8:E8)</f>
        <v>35223</v>
      </c>
    </row>
    <row r="9" spans="1:6" ht="19.5" customHeight="1">
      <c r="C9" s="99" t="s">
        <v>287</v>
      </c>
      <c r="D9" s="100">
        <v>1258</v>
      </c>
      <c r="E9" s="101">
        <v>5927</v>
      </c>
      <c r="F9" s="121">
        <f t="shared" ref="F9:F14" si="0">SUM(D9:E9)</f>
        <v>7185</v>
      </c>
    </row>
    <row r="10" spans="1:6" ht="19.5" customHeight="1">
      <c r="C10" s="99" t="s">
        <v>288</v>
      </c>
      <c r="D10" s="102">
        <v>279</v>
      </c>
      <c r="E10" s="103">
        <v>314</v>
      </c>
      <c r="F10" s="121">
        <f t="shared" si="0"/>
        <v>593</v>
      </c>
    </row>
    <row r="11" spans="1:6" ht="19.5" customHeight="1">
      <c r="C11" s="99" t="s">
        <v>289</v>
      </c>
      <c r="D11" s="100">
        <v>10678</v>
      </c>
      <c r="E11" s="101">
        <v>12961</v>
      </c>
      <c r="F11" s="121">
        <f t="shared" si="0"/>
        <v>23639</v>
      </c>
    </row>
    <row r="12" spans="1:6" ht="19.5" customHeight="1">
      <c r="C12" s="99" t="s">
        <v>290</v>
      </c>
      <c r="D12" s="104">
        <v>182</v>
      </c>
      <c r="E12" s="105">
        <v>1014</v>
      </c>
      <c r="F12" s="121">
        <f t="shared" si="0"/>
        <v>1196</v>
      </c>
    </row>
    <row r="13" spans="1:6" ht="31.5" customHeight="1">
      <c r="C13" s="107" t="s">
        <v>291</v>
      </c>
      <c r="D13" s="115">
        <v>30114</v>
      </c>
      <c r="E13" s="116">
        <v>37721</v>
      </c>
      <c r="F13" s="121">
        <f t="shared" si="0"/>
        <v>67835</v>
      </c>
    </row>
    <row r="14" spans="1:6" ht="25.5" customHeight="1">
      <c r="C14" s="108" t="s">
        <v>292</v>
      </c>
      <c r="D14" s="117">
        <v>71385</v>
      </c>
      <c r="E14" s="114">
        <v>96246</v>
      </c>
      <c r="F14" s="121">
        <f t="shared" si="0"/>
        <v>167631</v>
      </c>
    </row>
    <row r="15" spans="1:6" ht="19.5" customHeight="1">
      <c r="C15" s="122" t="s">
        <v>293</v>
      </c>
      <c r="D15" s="123">
        <v>0.4219</v>
      </c>
      <c r="E15" s="123">
        <v>0.39200000000000002</v>
      </c>
      <c r="F15" s="124">
        <f>F13/F14</f>
        <v>0.40466858755242169</v>
      </c>
    </row>
    <row r="16" spans="1:6" ht="19.5" customHeight="1">
      <c r="C16" s="127" t="s">
        <v>302</v>
      </c>
      <c r="D16" s="126">
        <f>D8/D$14</f>
        <v>0.24818939553127409</v>
      </c>
      <c r="E16" s="126">
        <f t="shared" ref="E16:F16" si="1">E8/E$14</f>
        <v>0.18188807846559857</v>
      </c>
      <c r="F16" s="126">
        <f t="shared" si="1"/>
        <v>0.21012223276124345</v>
      </c>
    </row>
    <row r="17" spans="3:6" ht="19.5" customHeight="1">
      <c r="C17" s="125" t="s">
        <v>299</v>
      </c>
      <c r="D17" s="126">
        <f t="shared" ref="D17:F17" si="2">D9/D$14</f>
        <v>1.762274987742523E-2</v>
      </c>
      <c r="E17" s="126">
        <f t="shared" si="2"/>
        <v>6.158178002202689E-2</v>
      </c>
      <c r="F17" s="126">
        <f t="shared" si="2"/>
        <v>4.2862000465307727E-2</v>
      </c>
    </row>
    <row r="18" spans="3:6" ht="19.5" customHeight="1">
      <c r="C18" s="125" t="s">
        <v>300</v>
      </c>
      <c r="D18" s="126">
        <f t="shared" ref="D18:F18" si="3">D10/D$14</f>
        <v>3.9083841143097292E-3</v>
      </c>
      <c r="E18" s="126">
        <f t="shared" si="3"/>
        <v>3.2624732456413771E-3</v>
      </c>
      <c r="F18" s="126">
        <f t="shared" si="3"/>
        <v>3.5375318407693088E-3</v>
      </c>
    </row>
    <row r="19" spans="3:6" ht="19.5" customHeight="1">
      <c r="C19" s="125" t="s">
        <v>301</v>
      </c>
      <c r="D19" s="126">
        <f t="shared" ref="D19:F19" si="4">D11/D$14</f>
        <v>0.14958324577992577</v>
      </c>
      <c r="E19" s="126">
        <f t="shared" si="4"/>
        <v>0.13466533674126718</v>
      </c>
      <c r="F19" s="126">
        <f t="shared" si="4"/>
        <v>0.14101806945016138</v>
      </c>
    </row>
    <row r="20" spans="3:6" ht="19.5" customHeight="1">
      <c r="C20" s="99" t="s">
        <v>286</v>
      </c>
      <c r="D20" s="110">
        <v>0.28849999999999998</v>
      </c>
      <c r="E20" s="110">
        <v>0.27100000000000002</v>
      </c>
    </row>
    <row r="21" spans="3:6" ht="19.5" customHeight="1">
      <c r="C21" s="111" t="s">
        <v>294</v>
      </c>
      <c r="D21" s="112">
        <v>0.13339999999999999</v>
      </c>
      <c r="E21" s="112">
        <v>0.121</v>
      </c>
    </row>
    <row r="22" spans="3:6" ht="19.5" customHeight="1">
      <c r="C22" s="111"/>
      <c r="D22" s="112"/>
      <c r="E22" s="112"/>
    </row>
    <row r="23" spans="3:6" ht="19.5" customHeight="1">
      <c r="C23" s="108" t="s">
        <v>295</v>
      </c>
      <c r="D23" s="70"/>
      <c r="E23" s="70"/>
    </row>
    <row r="24" spans="3:6">
      <c r="C24" s="99" t="s">
        <v>286</v>
      </c>
      <c r="D24" s="113">
        <v>1608</v>
      </c>
      <c r="E24" s="114">
        <v>3813</v>
      </c>
    </row>
    <row r="25" spans="3:6">
      <c r="C25" s="99" t="s">
        <v>287</v>
      </c>
      <c r="D25" s="102">
        <v>131</v>
      </c>
      <c r="E25" s="100">
        <v>2012</v>
      </c>
    </row>
    <row r="26" spans="3:6">
      <c r="C26" s="99" t="s">
        <v>288</v>
      </c>
      <c r="D26" s="102">
        <v>47</v>
      </c>
      <c r="E26" s="103">
        <v>121</v>
      </c>
    </row>
    <row r="27" spans="3:6" ht="25.5">
      <c r="C27" s="99" t="s">
        <v>289</v>
      </c>
      <c r="D27" s="106">
        <v>1864</v>
      </c>
      <c r="E27" s="106">
        <v>4566</v>
      </c>
    </row>
    <row r="28" spans="3:6" ht="25.5">
      <c r="C28" s="107" t="s">
        <v>296</v>
      </c>
      <c r="D28" s="115">
        <v>3650</v>
      </c>
      <c r="E28" s="115">
        <v>10513</v>
      </c>
    </row>
    <row r="29" spans="3:6">
      <c r="C29" s="108" t="s">
        <v>292</v>
      </c>
      <c r="D29" s="117">
        <v>12070</v>
      </c>
      <c r="E29" s="114">
        <v>38475</v>
      </c>
    </row>
    <row r="30" spans="3:6">
      <c r="C30" s="108" t="s">
        <v>293</v>
      </c>
      <c r="D30" s="109">
        <v>0.3024</v>
      </c>
      <c r="E30" s="109">
        <v>0.2732</v>
      </c>
    </row>
    <row r="31" spans="3:6">
      <c r="C31" s="99" t="s">
        <v>286</v>
      </c>
      <c r="D31" s="110">
        <v>0.2379</v>
      </c>
      <c r="E31" s="110">
        <v>0.21640000000000001</v>
      </c>
    </row>
    <row r="32" spans="3:6">
      <c r="C32" s="99" t="s">
        <v>294</v>
      </c>
      <c r="D32" s="110">
        <v>6.4500000000000002E-2</v>
      </c>
      <c r="E32" s="110">
        <v>5.6800000000000003E-2</v>
      </c>
    </row>
  </sheetData>
  <mergeCells count="1">
    <mergeCell ref="C5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4" sqref="D44"/>
    </sheetView>
  </sheetViews>
  <sheetFormatPr defaultRowHeight="12.75"/>
  <cols>
    <col min="1" max="1" width="34.5703125" style="26" customWidth="1"/>
    <col min="2" max="2" width="20" style="27" customWidth="1"/>
    <col min="3" max="3" width="14.28515625" style="27" customWidth="1"/>
    <col min="4" max="4" width="16.5703125" style="27" customWidth="1"/>
    <col min="5" max="5" width="9.140625" style="26"/>
    <col min="6" max="9" width="14.85546875" style="26" customWidth="1"/>
    <col min="10" max="10" width="9.140625" style="26"/>
    <col min="11" max="11" width="18.5703125" style="26" customWidth="1"/>
    <col min="12" max="16384" width="9.140625" style="26"/>
  </cols>
  <sheetData>
    <row r="1" spans="1:11">
      <c r="A1" s="26" t="s">
        <v>161</v>
      </c>
    </row>
    <row r="3" spans="1:11">
      <c r="B3" s="28" t="s">
        <v>76</v>
      </c>
      <c r="C3" s="28" t="s">
        <v>77</v>
      </c>
      <c r="D3" s="28" t="s">
        <v>78</v>
      </c>
      <c r="F3" s="29" t="s">
        <v>122</v>
      </c>
      <c r="G3" s="29" t="s">
        <v>162</v>
      </c>
      <c r="H3" s="29" t="s">
        <v>163</v>
      </c>
      <c r="I3" s="29" t="s">
        <v>164</v>
      </c>
      <c r="K3" s="57" t="s">
        <v>222</v>
      </c>
    </row>
    <row r="4" spans="1:11">
      <c r="A4" s="29" t="s">
        <v>79</v>
      </c>
    </row>
    <row r="5" spans="1:11">
      <c r="A5" s="26" t="s">
        <v>82</v>
      </c>
      <c r="B5" s="27">
        <v>174402</v>
      </c>
      <c r="C5" s="27">
        <v>11811</v>
      </c>
      <c r="D5" s="27">
        <f>SUM(B5:C5)</f>
        <v>186213</v>
      </c>
      <c r="F5" s="27">
        <v>28335</v>
      </c>
      <c r="G5" s="27">
        <v>41289</v>
      </c>
      <c r="H5" s="26">
        <v>7311</v>
      </c>
      <c r="I5" s="27">
        <f t="shared" ref="I5:I6" si="0">SUM(F5:H5)</f>
        <v>76935</v>
      </c>
      <c r="K5" s="56">
        <f>SUM(D5,I5)</f>
        <v>263148</v>
      </c>
    </row>
    <row r="6" spans="1:11">
      <c r="A6" s="26" t="s">
        <v>83</v>
      </c>
      <c r="B6" s="27">
        <v>37586</v>
      </c>
      <c r="C6" s="27">
        <v>8909</v>
      </c>
      <c r="D6" s="27">
        <f t="shared" ref="D6:D25" si="1">SUM(B6:C6)</f>
        <v>46495</v>
      </c>
      <c r="F6" s="27">
        <v>5956</v>
      </c>
      <c r="G6" s="27">
        <v>6173</v>
      </c>
      <c r="H6" s="26">
        <v>265</v>
      </c>
      <c r="I6" s="27">
        <f t="shared" si="0"/>
        <v>12394</v>
      </c>
      <c r="K6" s="56">
        <f t="shared" ref="K6:K12" si="2">SUM(D6,I6)</f>
        <v>58889</v>
      </c>
    </row>
    <row r="7" spans="1:11">
      <c r="A7" s="26" t="s">
        <v>84</v>
      </c>
      <c r="B7" s="27">
        <v>61005</v>
      </c>
      <c r="C7" s="27">
        <v>3566</v>
      </c>
      <c r="D7" s="27">
        <f t="shared" si="1"/>
        <v>64571</v>
      </c>
      <c r="F7" s="27">
        <v>7103</v>
      </c>
      <c r="G7" s="27">
        <v>7078</v>
      </c>
      <c r="H7" s="27">
        <v>451</v>
      </c>
      <c r="I7" s="27">
        <f>SUM(F7:H7)</f>
        <v>14632</v>
      </c>
      <c r="K7" s="56">
        <f t="shared" si="2"/>
        <v>79203</v>
      </c>
    </row>
    <row r="8" spans="1:11">
      <c r="A8" s="26" t="s">
        <v>85</v>
      </c>
      <c r="B8" s="27">
        <v>195158</v>
      </c>
      <c r="C8" s="27">
        <v>14642</v>
      </c>
      <c r="D8" s="27">
        <f t="shared" si="1"/>
        <v>209800</v>
      </c>
      <c r="F8" s="27">
        <v>25749</v>
      </c>
      <c r="G8" s="27">
        <v>39947</v>
      </c>
      <c r="H8" s="27">
        <v>9158</v>
      </c>
      <c r="I8" s="27">
        <f t="shared" ref="I8:I25" si="3">SUM(F8:H8)</f>
        <v>74854</v>
      </c>
      <c r="K8" s="56">
        <f t="shared" si="2"/>
        <v>284654</v>
      </c>
    </row>
    <row r="9" spans="1:11">
      <c r="A9" s="26" t="s">
        <v>65</v>
      </c>
      <c r="B9" s="27">
        <v>468151</v>
      </c>
      <c r="C9" s="27">
        <v>38928</v>
      </c>
      <c r="D9" s="27">
        <f t="shared" si="1"/>
        <v>507079</v>
      </c>
      <c r="F9" s="27">
        <v>67143</v>
      </c>
      <c r="G9" s="27">
        <v>94487</v>
      </c>
      <c r="H9" s="27">
        <v>17185</v>
      </c>
      <c r="I9" s="27">
        <f t="shared" si="3"/>
        <v>178815</v>
      </c>
      <c r="K9" s="56">
        <f t="shared" si="2"/>
        <v>685894</v>
      </c>
    </row>
    <row r="10" spans="1:11">
      <c r="G10" s="27"/>
      <c r="H10" s="27"/>
      <c r="I10" s="27"/>
    </row>
    <row r="11" spans="1:11" ht="15" customHeight="1">
      <c r="A11" s="30" t="s">
        <v>91</v>
      </c>
      <c r="B11" s="27">
        <v>12251583453</v>
      </c>
      <c r="C11" s="27">
        <v>699252899</v>
      </c>
      <c r="D11" s="27">
        <f t="shared" si="1"/>
        <v>12950836352</v>
      </c>
      <c r="F11" s="27">
        <v>2316124913</v>
      </c>
      <c r="G11" s="51">
        <v>3522647266</v>
      </c>
      <c r="H11" s="27">
        <v>871895121</v>
      </c>
      <c r="I11" s="27">
        <f t="shared" si="3"/>
        <v>6710667300</v>
      </c>
      <c r="K11" s="56">
        <f t="shared" si="2"/>
        <v>19661503652</v>
      </c>
    </row>
    <row r="12" spans="1:11" ht="15" customHeight="1">
      <c r="A12" s="30" t="s">
        <v>92</v>
      </c>
      <c r="B12" s="27">
        <v>12934685803</v>
      </c>
      <c r="C12" s="27">
        <v>738240618</v>
      </c>
      <c r="D12" s="27">
        <f t="shared" si="1"/>
        <v>13672926421</v>
      </c>
      <c r="F12" s="27">
        <v>2445263353</v>
      </c>
      <c r="G12" s="51">
        <v>3719056868</v>
      </c>
      <c r="H12" s="27">
        <v>920508723</v>
      </c>
      <c r="I12" s="27">
        <f t="shared" si="3"/>
        <v>7084828944</v>
      </c>
      <c r="K12" s="56">
        <f t="shared" si="2"/>
        <v>20757755365</v>
      </c>
    </row>
    <row r="13" spans="1:11" ht="15" customHeight="1">
      <c r="A13" s="30"/>
      <c r="B13" s="31"/>
      <c r="G13" s="27"/>
      <c r="H13" s="27"/>
      <c r="I13" s="27"/>
    </row>
    <row r="14" spans="1:11">
      <c r="A14" s="29" t="s">
        <v>80</v>
      </c>
      <c r="G14" s="27"/>
      <c r="H14" s="27"/>
      <c r="I14" s="27"/>
    </row>
    <row r="15" spans="1:11">
      <c r="A15" s="30" t="s">
        <v>86</v>
      </c>
      <c r="B15" s="27">
        <v>132446673597</v>
      </c>
      <c r="C15" s="27">
        <v>5746905539</v>
      </c>
      <c r="D15" s="27">
        <f t="shared" si="1"/>
        <v>138193579136</v>
      </c>
      <c r="F15" s="50">
        <v>17751712839</v>
      </c>
      <c r="G15" s="27">
        <v>57779361435</v>
      </c>
      <c r="H15" s="27">
        <v>15894543442</v>
      </c>
      <c r="I15" s="27">
        <f t="shared" si="3"/>
        <v>91425617716</v>
      </c>
      <c r="K15" s="56">
        <f t="shared" ref="K15:K18" si="4">SUM(D15,I15)</f>
        <v>229619196852</v>
      </c>
    </row>
    <row r="16" spans="1:11">
      <c r="A16" s="30" t="s">
        <v>87</v>
      </c>
      <c r="B16" s="27">
        <v>115469058970</v>
      </c>
      <c r="C16" s="27">
        <v>4670036601</v>
      </c>
      <c r="D16" s="27">
        <f t="shared" si="1"/>
        <v>120139095571</v>
      </c>
      <c r="F16" s="50">
        <v>13590778296</v>
      </c>
      <c r="G16" s="27">
        <v>48792433542</v>
      </c>
      <c r="H16" s="27">
        <v>13383782393</v>
      </c>
      <c r="I16" s="27">
        <f t="shared" si="3"/>
        <v>75766994231</v>
      </c>
      <c r="K16" s="56">
        <f t="shared" si="4"/>
        <v>195906089802</v>
      </c>
    </row>
    <row r="17" spans="1:11">
      <c r="A17" s="30" t="s">
        <v>88</v>
      </c>
      <c r="B17" s="27">
        <v>80223069956</v>
      </c>
      <c r="C17" s="27">
        <v>3589902866</v>
      </c>
      <c r="D17" s="27">
        <f t="shared" si="1"/>
        <v>83812972822</v>
      </c>
      <c r="F17" s="50">
        <v>10551342261</v>
      </c>
      <c r="G17" s="27">
        <v>33326594392</v>
      </c>
      <c r="H17" s="27">
        <v>8540511923</v>
      </c>
      <c r="I17" s="27">
        <f t="shared" si="3"/>
        <v>52418448576</v>
      </c>
      <c r="K17" s="56">
        <f t="shared" si="4"/>
        <v>136231421398</v>
      </c>
    </row>
    <row r="18" spans="1:11">
      <c r="A18" s="30" t="s">
        <v>89</v>
      </c>
      <c r="B18" s="27">
        <v>35245989014</v>
      </c>
      <c r="C18" s="27">
        <v>1080133735</v>
      </c>
      <c r="D18" s="27">
        <f t="shared" si="1"/>
        <v>36326122749</v>
      </c>
      <c r="F18" s="50">
        <v>3039436035</v>
      </c>
      <c r="G18" s="27">
        <v>15465839150</v>
      </c>
      <c r="H18" s="27">
        <v>4843270470</v>
      </c>
      <c r="I18" s="27">
        <f t="shared" si="3"/>
        <v>23348545655</v>
      </c>
      <c r="K18" s="56">
        <f t="shared" si="4"/>
        <v>59674668404</v>
      </c>
    </row>
    <row r="19" spans="1:11">
      <c r="A19" s="30" t="s">
        <v>90</v>
      </c>
      <c r="B19" s="32">
        <v>0.69499999999999995</v>
      </c>
      <c r="C19" s="32">
        <v>0.76900000000000002</v>
      </c>
      <c r="D19" s="36">
        <f>D17/D16</f>
        <v>0.69763279325228544</v>
      </c>
      <c r="F19" s="36">
        <f>F17/F16</f>
        <v>0.77636041374506426</v>
      </c>
      <c r="G19" s="36">
        <f>G17/G16</f>
        <v>0.68302791996043455</v>
      </c>
      <c r="H19" s="36">
        <f>H17/H16</f>
        <v>0.63812393777911902</v>
      </c>
      <c r="I19" s="36">
        <f>I17/I16</f>
        <v>0.69183750930102272</v>
      </c>
      <c r="K19" s="36">
        <f>K17/K16</f>
        <v>0.69539145789540036</v>
      </c>
    </row>
    <row r="20" spans="1:11">
      <c r="A20" s="30"/>
      <c r="G20" s="27"/>
      <c r="H20" s="27"/>
      <c r="I20" s="27"/>
    </row>
    <row r="21" spans="1:11">
      <c r="A21" s="29" t="s">
        <v>81</v>
      </c>
      <c r="G21" s="27"/>
      <c r="H21" s="27"/>
      <c r="I21" s="27"/>
    </row>
    <row r="22" spans="1:11">
      <c r="A22" s="30" t="s">
        <v>93</v>
      </c>
      <c r="B22" s="27">
        <v>2174670866</v>
      </c>
      <c r="C22" s="27">
        <v>134810119</v>
      </c>
      <c r="D22" s="27">
        <f t="shared" si="1"/>
        <v>2309480985</v>
      </c>
      <c r="F22" s="51">
        <v>566958761</v>
      </c>
      <c r="G22" s="27">
        <v>1111774860</v>
      </c>
      <c r="H22" s="51">
        <v>274753444</v>
      </c>
      <c r="I22" s="27">
        <f t="shared" si="3"/>
        <v>1953487065</v>
      </c>
      <c r="K22" s="56">
        <f t="shared" ref="K22:K25" si="5">SUM(D22,I22)</f>
        <v>4262968050</v>
      </c>
    </row>
    <row r="23" spans="1:11">
      <c r="A23" s="30" t="s">
        <v>94</v>
      </c>
      <c r="B23" s="27">
        <v>893164372</v>
      </c>
      <c r="C23" s="27">
        <v>58830395</v>
      </c>
      <c r="D23" s="27">
        <f t="shared" si="1"/>
        <v>951994767</v>
      </c>
      <c r="F23" s="51">
        <v>256385863</v>
      </c>
      <c r="G23" s="27">
        <v>426055155</v>
      </c>
      <c r="H23" s="51">
        <v>96865133</v>
      </c>
      <c r="I23" s="27">
        <f t="shared" si="3"/>
        <v>779306151</v>
      </c>
      <c r="K23" s="56">
        <f t="shared" si="5"/>
        <v>1731300918</v>
      </c>
    </row>
    <row r="24" spans="1:11">
      <c r="A24" s="30" t="s">
        <v>95</v>
      </c>
      <c r="B24" s="27">
        <v>1281506494</v>
      </c>
      <c r="C24" s="27">
        <v>75979724</v>
      </c>
      <c r="D24" s="27">
        <f t="shared" si="1"/>
        <v>1357486218</v>
      </c>
      <c r="F24" s="51">
        <v>310572898</v>
      </c>
      <c r="G24" s="27">
        <v>685719705</v>
      </c>
      <c r="H24" s="51">
        <v>177888311</v>
      </c>
      <c r="I24" s="27">
        <f t="shared" si="3"/>
        <v>1174180914</v>
      </c>
      <c r="K24" s="56">
        <f t="shared" si="5"/>
        <v>2531667132</v>
      </c>
    </row>
    <row r="25" spans="1:11" ht="15" customHeight="1">
      <c r="A25" s="30" t="s">
        <v>96</v>
      </c>
      <c r="B25" s="27">
        <v>2725165218</v>
      </c>
      <c r="C25" s="27">
        <v>77744321</v>
      </c>
      <c r="D25" s="27">
        <f t="shared" si="1"/>
        <v>2802909539</v>
      </c>
      <c r="F25" s="51">
        <v>215802566</v>
      </c>
      <c r="G25" s="27">
        <v>1069586142</v>
      </c>
      <c r="H25" s="51">
        <v>354215017</v>
      </c>
      <c r="I25" s="27">
        <f t="shared" si="3"/>
        <v>1639603725</v>
      </c>
      <c r="K25" s="56">
        <f t="shared" si="5"/>
        <v>4442513264</v>
      </c>
    </row>
    <row r="26" spans="1:11" ht="15" customHeight="1">
      <c r="A26" s="33" t="s">
        <v>228</v>
      </c>
      <c r="B26" s="27">
        <f>B24+B25</f>
        <v>4006671712</v>
      </c>
      <c r="C26" s="27">
        <f t="shared" ref="C26:K26" si="6">C24+C25</f>
        <v>153724045</v>
      </c>
      <c r="D26" s="27">
        <f t="shared" si="6"/>
        <v>4160395757</v>
      </c>
      <c r="E26" s="27"/>
      <c r="F26" s="27">
        <f t="shared" si="6"/>
        <v>526375464</v>
      </c>
      <c r="G26" s="27">
        <f t="shared" si="6"/>
        <v>1755305847</v>
      </c>
      <c r="H26" s="27">
        <f t="shared" si="6"/>
        <v>532103328</v>
      </c>
      <c r="I26" s="27">
        <f t="shared" si="6"/>
        <v>2813784639</v>
      </c>
      <c r="J26" s="27"/>
      <c r="K26" s="27">
        <f t="shared" si="6"/>
        <v>6974180396</v>
      </c>
    </row>
    <row r="28" spans="1:11" ht="25.5">
      <c r="A28" s="33" t="s">
        <v>97</v>
      </c>
    </row>
    <row r="29" spans="1:11">
      <c r="A29" s="30" t="s">
        <v>93</v>
      </c>
      <c r="B29" s="34">
        <v>0.16813</v>
      </c>
      <c r="C29" s="37">
        <v>0.18260999999999999</v>
      </c>
      <c r="D29" s="36">
        <f>D22/$D$12</f>
        <v>0.16890904798938361</v>
      </c>
      <c r="F29" s="52">
        <v>0.23186000000000001</v>
      </c>
      <c r="G29" s="52">
        <v>0.29893999999999998</v>
      </c>
      <c r="H29" s="52">
        <v>0.29848000000000002</v>
      </c>
      <c r="I29" s="36">
        <f>I22/$I$12</f>
        <v>0.27572819053794789</v>
      </c>
      <c r="K29" s="36">
        <f>K22/$K$12</f>
        <v>0.20536748675571453</v>
      </c>
    </row>
    <row r="30" spans="1:11">
      <c r="A30" s="30" t="s">
        <v>94</v>
      </c>
      <c r="B30" s="34">
        <v>6.905E-2</v>
      </c>
      <c r="C30" s="37">
        <v>7.9689999999999997E-2</v>
      </c>
      <c r="D30" s="36">
        <f t="shared" ref="D30:D32" si="7">D23/$D$12</f>
        <v>6.9626262709777217E-2</v>
      </c>
      <c r="F30" s="52">
        <v>0.10485</v>
      </c>
      <c r="G30" s="52">
        <v>0.11456</v>
      </c>
      <c r="H30" s="52">
        <v>0.10523</v>
      </c>
      <c r="I30" s="36">
        <f t="shared" ref="I30:I32" si="8">I23/$I$12</f>
        <v>0.10999646669803917</v>
      </c>
      <c r="K30" s="36">
        <f t="shared" ref="K30:K32" si="9">K23/$K$12</f>
        <v>8.3405015983528522E-2</v>
      </c>
    </row>
    <row r="31" spans="1:11">
      <c r="A31" s="30" t="s">
        <v>95</v>
      </c>
      <c r="B31" s="34">
        <v>9.9080000000000001E-2</v>
      </c>
      <c r="C31" s="37">
        <v>0.10292</v>
      </c>
      <c r="D31" s="36">
        <f t="shared" si="7"/>
        <v>9.9282785279606378E-2</v>
      </c>
      <c r="F31" s="52">
        <v>0.12701000000000001</v>
      </c>
      <c r="G31" s="52">
        <v>0.18437999999999999</v>
      </c>
      <c r="H31" s="52">
        <v>0.19325000000000001</v>
      </c>
      <c r="I31" s="36">
        <f t="shared" si="8"/>
        <v>0.1657317238399087</v>
      </c>
      <c r="K31" s="36">
        <f t="shared" si="9"/>
        <v>0.12196247077218601</v>
      </c>
    </row>
    <row r="32" spans="1:11" ht="15" customHeight="1">
      <c r="A32" s="30" t="s">
        <v>96</v>
      </c>
      <c r="B32" s="34">
        <v>0.21068999999999999</v>
      </c>
      <c r="C32" s="37">
        <v>0.10531</v>
      </c>
      <c r="D32" s="36">
        <f t="shared" si="7"/>
        <v>0.20499704691565238</v>
      </c>
      <c r="F32" s="52">
        <v>8.8249999999999995E-2</v>
      </c>
      <c r="G32" s="52">
        <v>0.28760000000000002</v>
      </c>
      <c r="H32" s="52">
        <v>0.38479999999999998</v>
      </c>
      <c r="I32" s="36">
        <f t="shared" si="8"/>
        <v>0.23142460290287567</v>
      </c>
      <c r="K32" s="36">
        <f t="shared" si="9"/>
        <v>0.21401703536262867</v>
      </c>
    </row>
    <row r="33" spans="1:11">
      <c r="A33" s="30" t="s">
        <v>65</v>
      </c>
      <c r="B33" s="35">
        <v>0.30976999999999999</v>
      </c>
      <c r="C33" s="37">
        <v>0.20823</v>
      </c>
      <c r="D33" s="36">
        <f>SUM(D24:D25)/D12</f>
        <v>0.30427983219525878</v>
      </c>
      <c r="F33" s="53">
        <v>0.21526000000000001</v>
      </c>
      <c r="G33" s="53">
        <v>0.47198000000000001</v>
      </c>
      <c r="H33" s="53">
        <v>0.57811000000000001</v>
      </c>
      <c r="I33" s="36">
        <f>SUM(I24:I25)/$I$12</f>
        <v>0.39715632674278439</v>
      </c>
      <c r="K33" s="36">
        <f>SUM(K24:K25)/$K$12</f>
        <v>0.3359795061348147</v>
      </c>
    </row>
    <row r="35" spans="1:11" ht="25.5">
      <c r="A35" s="33" t="s">
        <v>98</v>
      </c>
    </row>
    <row r="36" spans="1:11">
      <c r="A36" s="30" t="s">
        <v>93</v>
      </c>
      <c r="B36" s="36">
        <f>B22/B$11</f>
        <v>0.17750120825953289</v>
      </c>
      <c r="C36" s="36">
        <f>C22/C$11</f>
        <v>0.19279164833323059</v>
      </c>
      <c r="D36" s="36">
        <f>D22/D$11</f>
        <v>0.1783267830917612</v>
      </c>
      <c r="F36" s="36">
        <f>F22/F$11</f>
        <v>0.24478764414551246</v>
      </c>
      <c r="G36" s="36">
        <f>G22/G$11</f>
        <v>0.31560777337278823</v>
      </c>
      <c r="H36" s="36">
        <f>H22/H$11</f>
        <v>0.31512212579521937</v>
      </c>
      <c r="I36" s="36">
        <f>I22/I$11</f>
        <v>0.29110176047618991</v>
      </c>
      <c r="K36" s="36">
        <f>K22/K$11</f>
        <v>0.21681800768917101</v>
      </c>
    </row>
    <row r="37" spans="1:11">
      <c r="A37" s="30" t="s">
        <v>94</v>
      </c>
      <c r="B37" s="36">
        <f t="shared" ref="B37:C39" si="10">B23/B$11</f>
        <v>7.2901953892441071E-2</v>
      </c>
      <c r="C37" s="36">
        <f t="shared" si="10"/>
        <v>8.4133215728005153E-2</v>
      </c>
      <c r="D37" s="36">
        <f t="shared" ref="D37:F37" si="11">D23/D$11</f>
        <v>7.3508362018101112E-2</v>
      </c>
      <c r="F37" s="36">
        <f t="shared" si="11"/>
        <v>0.110696043016053</v>
      </c>
      <c r="G37" s="36">
        <f t="shared" ref="G37:H37" si="12">G23/G$11</f>
        <v>0.12094743606951874</v>
      </c>
      <c r="H37" s="36">
        <f t="shared" si="12"/>
        <v>0.11109723023670871</v>
      </c>
      <c r="I37" s="36">
        <f t="shared" ref="I37:K37" si="13">I23/I$11</f>
        <v>0.11612945720018038</v>
      </c>
      <c r="K37" s="36">
        <f t="shared" si="13"/>
        <v>8.8055366905973612E-2</v>
      </c>
    </row>
    <row r="38" spans="1:11">
      <c r="A38" s="30" t="s">
        <v>95</v>
      </c>
      <c r="B38" s="36">
        <f t="shared" si="10"/>
        <v>0.1045992543670918</v>
      </c>
      <c r="C38" s="36">
        <f t="shared" si="10"/>
        <v>0.10865843260522542</v>
      </c>
      <c r="D38" s="36">
        <f t="shared" ref="D38:F38" si="14">D24/D$11</f>
        <v>0.10481842107366009</v>
      </c>
      <c r="F38" s="36">
        <f t="shared" si="14"/>
        <v>0.13409160112945948</v>
      </c>
      <c r="G38" s="36">
        <f t="shared" ref="G38:H38" si="15">G24/G$11</f>
        <v>0.19466033730326945</v>
      </c>
      <c r="H38" s="36">
        <f t="shared" si="15"/>
        <v>0.20402489555851064</v>
      </c>
      <c r="I38" s="36">
        <f t="shared" ref="I38:K38" si="16">I24/I$11</f>
        <v>0.17497230327600952</v>
      </c>
      <c r="K38" s="36">
        <f t="shared" si="16"/>
        <v>0.12876264078319741</v>
      </c>
    </row>
    <row r="39" spans="1:11">
      <c r="A39" s="30" t="s">
        <v>96</v>
      </c>
      <c r="B39" s="36">
        <f t="shared" si="10"/>
        <v>0.222433714666711</v>
      </c>
      <c r="C39" s="36">
        <f t="shared" si="10"/>
        <v>0.11118197881078788</v>
      </c>
      <c r="D39" s="36">
        <f t="shared" ref="D39:F39" si="17">D25/D$11</f>
        <v>0.21642691350718413</v>
      </c>
      <c r="F39" s="36">
        <f t="shared" si="17"/>
        <v>9.3173975543692972E-2</v>
      </c>
      <c r="G39" s="36">
        <f t="shared" ref="G39:H39" si="18">G25/G$11</f>
        <v>0.30363134916273504</v>
      </c>
      <c r="H39" s="36">
        <f t="shared" si="18"/>
        <v>0.40625874427848757</v>
      </c>
      <c r="I39" s="36">
        <f t="shared" ref="I39:K39" si="19">I25/I$11</f>
        <v>0.24432797093070013</v>
      </c>
      <c r="K39" s="36">
        <f t="shared" si="19"/>
        <v>0.22594982269060079</v>
      </c>
    </row>
    <row r="40" spans="1:11">
      <c r="A40" s="30" t="s">
        <v>65</v>
      </c>
      <c r="B40" s="36">
        <f>SUM(B24:B25)/B$11</f>
        <v>0.3270329690338028</v>
      </c>
      <c r="C40" s="36">
        <f t="shared" ref="C40:D40" si="20">SUM(C24:C25)/C$11</f>
        <v>0.21984041141601332</v>
      </c>
      <c r="D40" s="36">
        <f t="shared" si="20"/>
        <v>0.3212453345808442</v>
      </c>
      <c r="F40" s="36">
        <f t="shared" ref="F40:G40" si="21">SUM(F24:F25)/F$11</f>
        <v>0.22726557667315242</v>
      </c>
      <c r="G40" s="36">
        <f t="shared" si="21"/>
        <v>0.49829168646600452</v>
      </c>
      <c r="H40" s="36">
        <f t="shared" ref="H40:I40" si="22">SUM(H24:H25)/H$11</f>
        <v>0.61028363983699829</v>
      </c>
      <c r="I40" s="36">
        <f t="shared" si="22"/>
        <v>0.41930027420670968</v>
      </c>
      <c r="K40" s="36">
        <f t="shared" ref="K40" si="23">SUM(K24:K25)/K$11</f>
        <v>0.3547124634737982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R34"/>
  <sheetViews>
    <sheetView workbookViewId="0">
      <selection activeCell="F25" sqref="F25"/>
    </sheetView>
  </sheetViews>
  <sheetFormatPr defaultRowHeight="1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  <col min="16" max="16" width="23.140625" customWidth="1"/>
    <col min="17" max="17" width="14" customWidth="1"/>
    <col min="18" max="18" width="12.28515625" customWidth="1"/>
  </cols>
  <sheetData>
    <row r="2" spans="1:18">
      <c r="B2" t="s">
        <v>197</v>
      </c>
      <c r="I2" t="s">
        <v>201</v>
      </c>
      <c r="Q2" s="1" t="s">
        <v>204</v>
      </c>
    </row>
    <row r="3" spans="1:18">
      <c r="B3" s="64" t="s">
        <v>195</v>
      </c>
      <c r="C3" s="64"/>
      <c r="D3" s="64" t="s">
        <v>196</v>
      </c>
      <c r="E3" s="64"/>
      <c r="F3" s="64"/>
    </row>
    <row r="4" spans="1:18">
      <c r="A4" s="1"/>
      <c r="B4" s="1" t="s">
        <v>129</v>
      </c>
      <c r="C4" s="1" t="s">
        <v>121</v>
      </c>
      <c r="D4" s="1" t="s">
        <v>122</v>
      </c>
      <c r="E4" s="1" t="s">
        <v>123</v>
      </c>
      <c r="F4" s="1" t="s">
        <v>124</v>
      </c>
      <c r="I4" s="1" t="s">
        <v>131</v>
      </c>
      <c r="J4" s="1" t="s">
        <v>132</v>
      </c>
      <c r="K4" s="1" t="s">
        <v>133</v>
      </c>
      <c r="L4" s="1" t="s">
        <v>134</v>
      </c>
      <c r="M4" s="1" t="s">
        <v>137</v>
      </c>
      <c r="N4" s="1" t="s">
        <v>138</v>
      </c>
      <c r="Q4" s="1" t="s">
        <v>198</v>
      </c>
      <c r="R4" s="1" t="s">
        <v>199</v>
      </c>
    </row>
    <row r="5" spans="1:18">
      <c r="A5" s="1" t="s">
        <v>99</v>
      </c>
      <c r="B5" s="24">
        <v>174402</v>
      </c>
      <c r="C5" s="24">
        <v>11811</v>
      </c>
      <c r="D5" s="24">
        <v>28335</v>
      </c>
      <c r="E5" s="24">
        <v>41289</v>
      </c>
      <c r="F5" s="24">
        <v>7311</v>
      </c>
      <c r="H5" s="1" t="s">
        <v>99</v>
      </c>
      <c r="I5" s="24">
        <v>200645</v>
      </c>
      <c r="J5" s="24">
        <v>76222</v>
      </c>
      <c r="K5" s="24">
        <v>64165</v>
      </c>
      <c r="L5" s="24">
        <v>26540</v>
      </c>
      <c r="P5" s="1" t="s">
        <v>99</v>
      </c>
      <c r="Q5" s="24">
        <v>170997</v>
      </c>
      <c r="R5" s="24">
        <v>3405</v>
      </c>
    </row>
    <row r="6" spans="1:18">
      <c r="A6" s="1" t="s">
        <v>130</v>
      </c>
      <c r="B6" s="24">
        <v>195158</v>
      </c>
      <c r="C6" s="24">
        <v>14642</v>
      </c>
      <c r="D6" s="24">
        <v>25749</v>
      </c>
      <c r="E6" s="24">
        <v>39947</v>
      </c>
      <c r="F6" s="24">
        <v>9158</v>
      </c>
      <c r="H6" s="1" t="s">
        <v>136</v>
      </c>
      <c r="I6" s="24"/>
      <c r="M6" s="24">
        <v>595483</v>
      </c>
      <c r="N6" s="24">
        <v>534</v>
      </c>
      <c r="P6" s="1" t="s">
        <v>202</v>
      </c>
      <c r="Q6">
        <f>148525+24916</f>
        <v>173441</v>
      </c>
      <c r="R6">
        <f>3883+919</f>
        <v>4802</v>
      </c>
    </row>
    <row r="7" spans="1:18">
      <c r="B7" s="24"/>
      <c r="C7" s="24"/>
      <c r="D7" s="24"/>
      <c r="E7" s="24"/>
      <c r="F7" s="24"/>
      <c r="H7" s="1" t="s">
        <v>135</v>
      </c>
      <c r="M7" s="24">
        <v>98457</v>
      </c>
      <c r="N7">
        <v>96</v>
      </c>
      <c r="P7" s="1" t="s">
        <v>203</v>
      </c>
      <c r="Q7">
        <f>10827+2402</f>
        <v>13229</v>
      </c>
      <c r="R7">
        <f>1420+74</f>
        <v>1494</v>
      </c>
    </row>
    <row r="8" spans="1:18">
      <c r="A8" s="48" t="s">
        <v>200</v>
      </c>
      <c r="B8" s="24"/>
      <c r="C8" s="24"/>
      <c r="D8" s="24"/>
      <c r="E8" s="24"/>
      <c r="F8" s="24"/>
      <c r="H8" s="1"/>
      <c r="M8" s="24"/>
    </row>
    <row r="9" spans="1:18">
      <c r="A9" s="1" t="s">
        <v>99</v>
      </c>
      <c r="B9" s="49">
        <f>B5/SUM($B5:$C5)</f>
        <v>0.93657263456364481</v>
      </c>
      <c r="C9" s="49">
        <f>C5/SUM($B5:$C5)</f>
        <v>6.3427365436355146E-2</v>
      </c>
      <c r="D9" s="49">
        <f>D5/SUM($D5:$F5)</f>
        <v>0.36829791382335736</v>
      </c>
      <c r="E9" s="49">
        <f t="shared" ref="E9:F10" si="0">E5/SUM($D5:$F5)</f>
        <v>0.5366738155585884</v>
      </c>
      <c r="F9" s="49">
        <f t="shared" si="0"/>
        <v>9.5028270618054203E-2</v>
      </c>
      <c r="H9" s="48" t="s">
        <v>149</v>
      </c>
      <c r="P9" s="48" t="s">
        <v>205</v>
      </c>
    </row>
    <row r="10" spans="1:18">
      <c r="A10" s="1" t="s">
        <v>130</v>
      </c>
      <c r="B10" s="49">
        <f>B6/SUM($B6:$C6)</f>
        <v>0.93020972354623455</v>
      </c>
      <c r="C10" s="49">
        <f>C6/SUM($B6:$C6)</f>
        <v>6.9790276453765496E-2</v>
      </c>
      <c r="D10" s="49">
        <f>D6/SUM($D6:$F6)</f>
        <v>0.34398963315253694</v>
      </c>
      <c r="E10" s="49">
        <f t="shared" si="0"/>
        <v>0.53366553557592111</v>
      </c>
      <c r="F10" s="49">
        <f t="shared" si="0"/>
        <v>0.12234483127154193</v>
      </c>
      <c r="H10" s="1" t="s">
        <v>99</v>
      </c>
      <c r="I10" s="23">
        <f>I5/SUM($I5:$J5)</f>
        <v>0.72469814026229196</v>
      </c>
      <c r="J10" s="23">
        <f>J5/SUM($I5:$J5)</f>
        <v>0.27530185973770799</v>
      </c>
      <c r="K10" s="23">
        <f>K5/SUM($K5:$L5)</f>
        <v>0.70740312000440986</v>
      </c>
      <c r="L10" s="23">
        <f>L5/SUM($K5:$L5)</f>
        <v>0.29259687999559009</v>
      </c>
      <c r="P10" s="1" t="s">
        <v>99</v>
      </c>
      <c r="Q10" s="6">
        <f>Q5/SUM($Q5:$R5)</f>
        <v>0.98047614132865446</v>
      </c>
      <c r="R10" s="6">
        <f>R5/SUM($Q5:$R5)</f>
        <v>1.9523858671345512E-2</v>
      </c>
    </row>
    <row r="11" spans="1:18">
      <c r="B11" s="24"/>
      <c r="C11" s="24"/>
      <c r="D11" s="24"/>
      <c r="E11" s="24"/>
      <c r="F11" s="24"/>
      <c r="H11" s="1" t="s">
        <v>136</v>
      </c>
      <c r="M11" s="23">
        <f>M6/SUM($M6:$N6)</f>
        <v>0.99910405240118993</v>
      </c>
      <c r="N11" s="23">
        <f>N6/SUM($M6:$N6)</f>
        <v>8.9594759881010102E-4</v>
      </c>
      <c r="P11" s="1" t="s">
        <v>202</v>
      </c>
      <c r="Q11" s="6">
        <f t="shared" ref="Q11:R11" si="1">Q6/SUM($Q6:$R6)</f>
        <v>0.97305925057365505</v>
      </c>
      <c r="R11" s="6">
        <f t="shared" si="1"/>
        <v>2.6940749426344935E-2</v>
      </c>
    </row>
    <row r="12" spans="1:18">
      <c r="H12" s="1" t="s">
        <v>135</v>
      </c>
      <c r="M12" s="23">
        <f>M7/SUM($M7:$N7)</f>
        <v>0.9990259048430794</v>
      </c>
      <c r="N12" s="23">
        <f>N7/SUM($M7:$N7)</f>
        <v>9.7409515692064165E-4</v>
      </c>
      <c r="P12" s="1" t="s">
        <v>203</v>
      </c>
      <c r="Q12" s="6">
        <f t="shared" ref="Q12:R12" si="2">Q7/SUM($Q7:$R7)</f>
        <v>0.89852611560143991</v>
      </c>
      <c r="R12" s="6">
        <f t="shared" si="2"/>
        <v>0.10147388439856007</v>
      </c>
    </row>
    <row r="14" spans="1:18">
      <c r="A14" s="1" t="s">
        <v>139</v>
      </c>
    </row>
    <row r="15" spans="1:18">
      <c r="A15" s="1" t="s">
        <v>143</v>
      </c>
    </row>
    <row r="16" spans="1:18">
      <c r="A16" s="1" t="s">
        <v>76</v>
      </c>
      <c r="B16" s="49">
        <f>B9</f>
        <v>0.93657263456364481</v>
      </c>
    </row>
    <row r="17" spans="1:2">
      <c r="A17" t="s">
        <v>131</v>
      </c>
      <c r="B17" s="49">
        <f>B16*I10</f>
        <v>0.67873244648882858</v>
      </c>
    </row>
    <row r="18" spans="1:2">
      <c r="A18" t="s">
        <v>140</v>
      </c>
      <c r="B18" s="49">
        <f>B16*J10</f>
        <v>0.25784018807481618</v>
      </c>
    </row>
    <row r="19" spans="1:2">
      <c r="A19" s="54" t="s">
        <v>198</v>
      </c>
      <c r="B19" s="49">
        <f>B16*Q10</f>
        <v>0.91828712281097447</v>
      </c>
    </row>
    <row r="20" spans="1:2">
      <c r="A20" s="54" t="s">
        <v>199</v>
      </c>
      <c r="B20" s="49">
        <f>B16*R10</f>
        <v>1.828551175267033E-2</v>
      </c>
    </row>
    <row r="21" spans="1:2">
      <c r="B21" s="49"/>
    </row>
    <row r="22" spans="1:2">
      <c r="A22" s="1" t="s">
        <v>206</v>
      </c>
      <c r="B22" s="49">
        <f>1-B16</f>
        <v>6.3427365436355188E-2</v>
      </c>
    </row>
    <row r="23" spans="1:2">
      <c r="A23" t="s">
        <v>141</v>
      </c>
      <c r="B23" s="49">
        <f>B22*I10</f>
        <v>4.5965693773463379E-2</v>
      </c>
    </row>
    <row r="24" spans="1:2">
      <c r="A24" t="s">
        <v>142</v>
      </c>
      <c r="B24" s="49">
        <f>B22*J10</f>
        <v>1.7461671662891802E-2</v>
      </c>
    </row>
    <row r="27" spans="1:2">
      <c r="A27" s="1" t="s">
        <v>150</v>
      </c>
    </row>
    <row r="28" spans="1:2">
      <c r="A28" s="1" t="s">
        <v>143</v>
      </c>
    </row>
    <row r="29" spans="1:2">
      <c r="A29" t="s">
        <v>133</v>
      </c>
      <c r="B29" s="4">
        <f>D9*K10</f>
        <v>0.26053509332975827</v>
      </c>
    </row>
    <row r="30" spans="1:2">
      <c r="A30" t="s">
        <v>144</v>
      </c>
      <c r="B30" s="4">
        <f>D9*L10</f>
        <v>0.10776282049359907</v>
      </c>
    </row>
    <row r="31" spans="1:2">
      <c r="A31" t="s">
        <v>145</v>
      </c>
      <c r="B31" s="4">
        <f>E9*K10</f>
        <v>0.37964473155081663</v>
      </c>
    </row>
    <row r="32" spans="1:2">
      <c r="A32" t="s">
        <v>146</v>
      </c>
      <c r="B32" s="4">
        <f>E9*L10</f>
        <v>0.15702908400777174</v>
      </c>
    </row>
    <row r="33" spans="1:2">
      <c r="A33" t="s">
        <v>147</v>
      </c>
      <c r="B33" s="4">
        <f>F9*K10</f>
        <v>6.7223295123834931E-2</v>
      </c>
    </row>
    <row r="34" spans="1:2">
      <c r="A34" t="s">
        <v>148</v>
      </c>
      <c r="B34" s="4">
        <f>F9*L10</f>
        <v>2.7804975494219265E-2</v>
      </c>
    </row>
  </sheetData>
  <mergeCells count="2">
    <mergeCell ref="B3:C3"/>
    <mergeCell ref="D3:F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params_sim</vt:lpstr>
      <vt:lpstr>params_val</vt:lpstr>
      <vt:lpstr>GlobalParams</vt:lpstr>
      <vt:lpstr>params_byTier</vt:lpstr>
      <vt:lpstr>returns</vt:lpstr>
      <vt:lpstr>targetVals_pf.AL</vt:lpstr>
      <vt:lpstr>targetVals_pf.NC</vt:lpstr>
      <vt:lpstr>targeVals_raw</vt:lpstr>
      <vt:lpstr>groupWgts</vt:lpstr>
      <vt:lpstr>Sheet2</vt:lpstr>
      <vt:lpstr>Note1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2021-04-21T14:00:36Z</dcterms:modified>
</cp:coreProperties>
</file>