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3C97D3CA-A55A-4D6D-BCB6-B78AD4327C01}" xr6:coauthVersionLast="47" xr6:coauthVersionMax="47" xr10:uidLastSave="{00000000-0000-0000-0000-000000000000}"/>
  <bookViews>
    <workbookView xWindow="-120" yWindow="-120" windowWidth="29040" windowHeight="17640" tabRatio="524" activeTab="3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_fc" sheetId="36" r:id="rId10"/>
    <sheet name="targetVals_Funding_pf" sheetId="31" r:id="rId11"/>
    <sheet name="target_summary" sheetId="38" r:id="rId12"/>
    <sheet name="Cost PF" sheetId="39" r:id="rId13"/>
    <sheet name="Cost FC" sheetId="40" r:id="rId14"/>
    <sheet name="Note1" sheetId="29" r:id="rId15"/>
    <sheet name="Policies_FC" sheetId="37" r:id="rId16"/>
    <sheet name="Policies_PF" sheetId="3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7" i="22" l="1"/>
  <c r="N57" i="22"/>
  <c r="P56" i="22"/>
  <c r="N56" i="22"/>
  <c r="P54" i="22"/>
  <c r="N54" i="22"/>
  <c r="P53" i="22"/>
  <c r="N53" i="22"/>
  <c r="P31" i="22" l="1"/>
  <c r="N31" i="22"/>
  <c r="P30" i="22"/>
  <c r="N30" i="22"/>
  <c r="P51" i="22"/>
  <c r="N51" i="22"/>
  <c r="P50" i="22"/>
  <c r="N50" i="22"/>
  <c r="P45" i="22"/>
  <c r="N45" i="22"/>
  <c r="P44" i="22"/>
  <c r="N44" i="22"/>
  <c r="P26" i="22"/>
  <c r="N26" i="22"/>
  <c r="P25" i="22"/>
  <c r="N25" i="22"/>
  <c r="S5" i="38"/>
  <c r="R5" i="38"/>
  <c r="Q5" i="38"/>
  <c r="P5" i="38"/>
  <c r="O6" i="38"/>
  <c r="O5" i="38"/>
  <c r="N7" i="38"/>
  <c r="N6" i="38"/>
  <c r="N5" i="38"/>
  <c r="C13" i="38"/>
  <c r="D13" i="38"/>
  <c r="E13" i="38"/>
  <c r="B13" i="38"/>
  <c r="F9" i="38"/>
  <c r="F10" i="38"/>
  <c r="K10" i="38"/>
  <c r="K9" i="38"/>
  <c r="K11" i="38" s="1"/>
  <c r="K7" i="38"/>
  <c r="H7" i="38"/>
  <c r="K5" i="38"/>
  <c r="D11" i="38"/>
  <c r="E11" i="38"/>
  <c r="C11" i="38"/>
  <c r="E6" i="38"/>
  <c r="F6" i="38" s="1"/>
  <c r="C6" i="38"/>
  <c r="E5" i="38"/>
  <c r="F5" i="38" s="1"/>
  <c r="D5" i="38"/>
  <c r="D7" i="38" s="1"/>
  <c r="C5" i="38"/>
  <c r="B6" i="38"/>
  <c r="B5" i="38"/>
  <c r="D13" i="31"/>
  <c r="E13" i="31" s="1"/>
  <c r="B13" i="31"/>
  <c r="D12" i="31"/>
  <c r="C13" i="31"/>
  <c r="C14" i="31" s="1"/>
  <c r="B14" i="31"/>
  <c r="C6" i="36"/>
  <c r="B6" i="36"/>
  <c r="F4" i="36"/>
  <c r="P63" i="22"/>
  <c r="N63" i="22"/>
  <c r="P62" i="22"/>
  <c r="N62" i="22"/>
  <c r="P42" i="22"/>
  <c r="N42" i="22"/>
  <c r="P41" i="22"/>
  <c r="N41" i="22"/>
  <c r="P38" i="22"/>
  <c r="N38" i="22"/>
  <c r="P37" i="22"/>
  <c r="N37" i="22"/>
  <c r="P35" i="22"/>
  <c r="N35" i="22"/>
  <c r="P34" i="22"/>
  <c r="N34" i="22"/>
  <c r="N71" i="22"/>
  <c r="P71" i="22"/>
  <c r="N72" i="22"/>
  <c r="P72" i="22"/>
  <c r="H33" i="34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66" i="22"/>
  <c r="N66" i="22"/>
  <c r="P65" i="22"/>
  <c r="N65" i="22"/>
  <c r="F3" i="2"/>
  <c r="E3" i="2" s="1"/>
  <c r="N77" i="22"/>
  <c r="P77" i="22"/>
  <c r="N78" i="22"/>
  <c r="P78" i="22"/>
  <c r="N80" i="22"/>
  <c r="P80" i="22"/>
  <c r="N81" i="22"/>
  <c r="P81" i="22"/>
  <c r="P75" i="22"/>
  <c r="N75" i="22"/>
  <c r="P74" i="22"/>
  <c r="N74" i="22"/>
  <c r="N22" i="22"/>
  <c r="P22" i="22"/>
  <c r="N23" i="22"/>
  <c r="P23" i="22"/>
  <c r="P19" i="22"/>
  <c r="N19" i="22"/>
  <c r="P18" i="22"/>
  <c r="N18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K13" i="38" l="1"/>
  <c r="K14" i="38" s="1"/>
  <c r="C7" i="38"/>
  <c r="E7" i="38"/>
  <c r="B7" i="38"/>
  <c r="D14" i="31"/>
  <c r="E14" i="31"/>
  <c r="F14" i="31"/>
  <c r="F13" i="31"/>
  <c r="E12" i="31"/>
  <c r="F12" i="31"/>
  <c r="E4" i="36"/>
  <c r="E5" i="36"/>
  <c r="F5" i="36"/>
  <c r="D6" i="36"/>
  <c r="E6" i="36" s="1"/>
  <c r="C36" i="25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6" i="36" l="1"/>
  <c r="F33" i="30"/>
  <c r="F10" i="2" l="1"/>
  <c r="E10" i="2" s="1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M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N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<sst xmlns="http://schemas.openxmlformats.org/spreadsheetml/2006/main" count="1295" uniqueCount="431">
  <si>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</si>
  <si>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</si>
  <si>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</si>
  <si>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</si>
  <si>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</si>
  <si>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</si>
  <si>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</si>
  <si>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</si>
  <si>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</si>
  <si>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</si>
  <si>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</si>
  <si>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</si>
  <si>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</si>
  <si>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</si>
  <si>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</si>
  <si>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</si>
  <si>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</si>
  <si>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</si>
  <si>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</si>
  <si>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</si>
  <si>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</si>
  <si>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</si>
  <si>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</si>
  <si>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</si>
  <si>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</si>
  <si>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</si>
  <si>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</si>
  <si>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</si>
  <si>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</si>
  <si>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</si>
  <si>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</si>
  <si>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</si>
  <si>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</si>
  <si>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</si>
  <si>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</si>
  <si>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</si>
  <si>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</si>
  <si>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</si>
  <si>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</si>
  <si>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</si>
  <si>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</si>
  <si>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</si>
  <si>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</si>
  <si>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</si>
  <si>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</si>
  <si>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</si>
  <si>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</si>
  <si>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</si>
  <si>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</si>
  <si>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</si>
  <si>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</si>
  <si>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</si>
  <si>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</si>
  <si>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</si>
  <si>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</si>
  <si>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</si>
  <si>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</si>
  <si>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</si>
  <si>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</si>
  <si>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</si>
  <si>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</si>
  <si>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</si>
  <si>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</si>
  <si>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</si>
  <si>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</si>
  <si>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</si>
  <si>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</si>
  <si>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</si>
  <si>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</si>
  <si>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</si>
  <si>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</si>
  <si>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</si>
  <si>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</si>
  <si>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</si>
  <si>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</si>
  <si>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</si>
  <si>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</si>
  <si>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</si>
  <si>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</si>
  <si>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</si>
  <si>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</si>
  <si>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Special settings</t>
  </si>
  <si>
    <t>use_baselineUAAL</t>
  </si>
  <si>
    <t>sim_name_baseline</t>
  </si>
  <si>
    <t>use_baselineMA</t>
  </si>
  <si>
    <t>Calibration</t>
  </si>
  <si>
    <t>Initial terminated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</si>
  <si>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</si>
  <si>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</si>
  <si>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</si>
  <si>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</si>
  <si>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</si>
  <si>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</si>
  <si>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</si>
  <si>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</si>
  <si>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</si>
  <si>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</si>
  <si>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</si>
  <si>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</si>
  <si>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</si>
  <si>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</si>
  <si>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</si>
  <si>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</si>
  <si>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</si>
  <si>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</si>
  <si>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</si>
  <si>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</si>
  <si>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  <family val="1"/>
      </rPr>
      <t>Actua ria I L</t>
    </r>
    <r>
      <rPr>
        <sz val="9.5"/>
        <rFont val="Times New Roman"/>
        <family val="1"/>
      </rPr>
      <t xml:space="preserve">iability </t>
    </r>
    <r>
      <rPr>
        <sz val="9.5"/>
        <rFont val="Times New Roman"/>
        <family val="1"/>
      </rPr>
      <t>Fire</t>
    </r>
  </si>
  <si>
    <r>
      <rPr>
        <sz val="9.5"/>
        <rFont val="Times New Roman"/>
        <family val="1"/>
      </rPr>
      <t>Police</t>
    </r>
  </si>
  <si>
    <r>
      <rPr>
        <b/>
        <sz val="9.5"/>
        <rFont val="Times New Roman"/>
        <family val="1"/>
      </rPr>
      <t xml:space="preserve">Tier 1
</t>
    </r>
    <r>
      <rPr>
        <sz val="9.5"/>
        <rFont val="Times New Roman"/>
        <family val="1"/>
      </rPr>
      <t>Actives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</si>
  <si>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</si>
  <si>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</si>
  <si>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</si>
  <si>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</si>
  <si>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Total Actives</t>
    </r>
  </si>
  <si>
    <r>
      <rPr>
        <sz val="9.5"/>
        <rFont val="Times New Roman"/>
        <family val="1"/>
      </rPr>
      <t>Deferred Vested</t>
    </r>
  </si>
  <si>
    <r>
      <rPr>
        <sz val="9.5"/>
        <rFont val="Times New Roman"/>
        <family val="1"/>
      </rPr>
      <t>In Pay Status</t>
    </r>
  </si>
  <si>
    <r>
      <rPr>
        <sz val="9.5"/>
        <rFont val="Times New Roman"/>
        <family val="1"/>
      </rPr>
      <t>Service Retirees</t>
    </r>
  </si>
  <si>
    <r>
      <rPr>
        <sz val="9.5"/>
        <rFont val="Times New Roman"/>
        <family val="1"/>
      </rPr>
      <t>Beneficiaries</t>
    </r>
  </si>
  <si>
    <r>
      <rPr>
        <sz val="9.5"/>
        <rFont val="Times New Roman"/>
        <family val="1"/>
      </rPr>
      <t>Disabled Retirees</t>
    </r>
  </si>
  <si>
    <r>
      <rPr>
        <sz val="9.5"/>
        <rFont val="Times New Roman"/>
        <family val="1"/>
      </rPr>
      <t>Total In Pay Status</t>
    </r>
  </si>
  <si>
    <r>
      <rPr>
        <b/>
        <sz val="9.5"/>
        <rFont val="Times New Roman"/>
        <family val="1"/>
      </rPr>
      <t>Tier 1 Actuarial Liability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</si>
  <si>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</si>
  <si>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</si>
  <si>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sz val="9.5"/>
        <rFont val="Times New Roman"/>
        <family val="1"/>
      </rPr>
      <t>Actives</t>
    </r>
  </si>
  <si>
    <r>
      <rPr>
        <b/>
        <sz val="9.5"/>
        <rFont val="Times New Roman"/>
        <family val="1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</si>
  <si>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</si>
  <si>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</si>
  <si>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</si>
  <si>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</si>
  <si>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</si>
  <si>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</si>
  <si>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</si>
  <si>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</si>
  <si>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</si>
  <si>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</si>
  <si>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</si>
  <si>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</si>
  <si>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</si>
  <si>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</si>
  <si>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</si>
  <si>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</si>
  <si>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</si>
  <si>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</si>
  <si>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</si>
  <si>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</si>
  <si>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</si>
  <si>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</si>
  <si>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</si>
  <si>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</si>
  <si>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</si>
  <si>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</si>
  <si>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</si>
  <si>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</si>
  <si>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</si>
  <si>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</si>
  <si>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</si>
  <si>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</si>
  <si>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</si>
  <si>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</si>
  <si>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</si>
  <si>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</si>
  <si>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</si>
  <si>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</si>
  <si>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</si>
  <si>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</si>
  <si>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</si>
  <si>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</si>
  <si>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</si>
  <si>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</si>
  <si>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</si>
  <si>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</si>
  <si>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</si>
  <si>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</si>
  <si>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</si>
  <si>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</si>
  <si>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</si>
  <si>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</si>
  <si>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</si>
  <si>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</si>
  <si>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</si>
  <si>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</si>
  <si>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</si>
  <si>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</si>
  <si>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</si>
  <si>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</si>
  <si>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</si>
  <si>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</si>
  <si>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</si>
  <si>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</si>
  <si>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</si>
  <si>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</si>
  <si>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</si>
  <si>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</si>
  <si>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</si>
  <si>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</si>
  <si>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</si>
  <si>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</si>
  <si>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</si>
  <si>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</si>
  <si>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</si>
  <si>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</si>
  <si>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</si>
  <si>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</si>
  <si>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</si>
  <si>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</si>
  <si>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</si>
  <si>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</si>
  <si>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</si>
  <si>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</si>
  <si>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</si>
  <si>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</si>
  <si>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</si>
  <si>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</si>
  <si>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</si>
  <si>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</si>
  <si>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</si>
  <si>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</si>
  <si>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</si>
  <si>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</si>
  <si>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</si>
  <si>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</si>
  <si>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</si>
  <si>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</si>
  <si>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</si>
  <si>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</si>
  <si>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</si>
  <si>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</si>
  <si>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</si>
  <si>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</si>
  <si>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</si>
  <si>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</si>
  <si>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</si>
  <si>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</si>
  <si>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</si>
  <si>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</si>
  <si>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</si>
  <si>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</si>
  <si>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</si>
  <si>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</si>
  <si>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</si>
  <si>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</si>
  <si>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</si>
  <si>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</si>
  <si>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</si>
  <si>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</si>
  <si>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</si>
  <si>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</si>
  <si>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</si>
  <si>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</si>
  <si>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</si>
  <si>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</si>
  <si>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</si>
  <si>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</si>
  <si>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</si>
  <si>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</si>
  <si>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</si>
  <si>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</si>
  <si>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</si>
  <si>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</si>
  <si>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</si>
  <si>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</si>
  <si>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</si>
  <si>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</si>
  <si>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</si>
  <si>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</si>
  <si>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</si>
  <si>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</si>
  <si>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</si>
  <si>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</si>
  <si>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</si>
  <si>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</si>
  <si>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</si>
  <si>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</si>
  <si>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</si>
  <si>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</si>
  <si>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</si>
  <si>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</si>
  <si>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</si>
  <si>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</si>
  <si>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</si>
  <si>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</si>
  <si>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</si>
  <si>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</si>
  <si>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</si>
  <si>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</si>
  <si>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</si>
  <si>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</si>
  <si>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</si>
  <si>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</si>
  <si>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</si>
  <si>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</si>
  <si>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</si>
  <si>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</si>
  <si>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</si>
  <si>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</si>
  <si>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</si>
  <si>
    <t>fc_baseline</t>
  </si>
  <si>
    <t>fc_pre99</t>
  </si>
  <si>
    <t>fc_sharedCost</t>
  </si>
  <si>
    <t>fasyears_override_t1</t>
  </si>
  <si>
    <t>fc.t1_baseline</t>
  </si>
  <si>
    <t>fc.t2_baseline</t>
  </si>
  <si>
    <t>fc.t1_pre99_lowERC</t>
  </si>
  <si>
    <t>fc.t2_pre99_lowERC</t>
  </si>
  <si>
    <t>fc.t1_sharedCost</t>
  </si>
  <si>
    <t>fc.t2_sharedCost</t>
  </si>
  <si>
    <t>fc.t1_POB</t>
  </si>
  <si>
    <t>fc.t2_POB</t>
  </si>
  <si>
    <t>FC tier 1</t>
  </si>
  <si>
    <t>FC tier 2</t>
  </si>
  <si>
    <t>fc</t>
  </si>
  <si>
    <t>fc.t1_pre99_highERC</t>
  </si>
  <si>
    <t>fc.t2_pre99_highERC</t>
  </si>
  <si>
    <t>Federated tier 1; Baseline</t>
  </si>
  <si>
    <t>Federated tier 1; pre-1999 policy \nLow ERC</t>
  </si>
  <si>
    <t>Federated tier 2; pre-1999 policy \nLow ERC</t>
  </si>
  <si>
    <t>Federated tier 1; pre-1999 policy \nHigh ERC</t>
  </si>
  <si>
    <t>Federated tier 2; pre-1999 policy \nHigh ERC</t>
  </si>
  <si>
    <t>Federated tier 1; Shared cost \nLow ERC</t>
  </si>
  <si>
    <t>Federated tier 2; Shared cost \nLow ERC</t>
  </si>
  <si>
    <t>Federated tier 1; Baseline with POB</t>
  </si>
  <si>
    <t>PF t1</t>
  </si>
  <si>
    <t>PF t2</t>
  </si>
  <si>
    <t>PF total</t>
  </si>
  <si>
    <t>FC t1</t>
  </si>
  <si>
    <t>FC t2</t>
  </si>
  <si>
    <t>FC total</t>
  </si>
  <si>
    <t>AL actives</t>
  </si>
  <si>
    <t>ERC</t>
  </si>
  <si>
    <t>Targets based on AV2020 (thousand)</t>
  </si>
  <si>
    <t>AL pay status</t>
  </si>
  <si>
    <t>AL vested</t>
  </si>
  <si>
    <t>UAL</t>
  </si>
  <si>
    <t>FY2022 amounts</t>
  </si>
  <si>
    <t>NC_ER</t>
  </si>
  <si>
    <t>EEC</t>
  </si>
  <si>
    <t>Admin</t>
  </si>
  <si>
    <t>Grand total</t>
  </si>
  <si>
    <t>discount</t>
  </si>
  <si>
    <t>vested/active</t>
  </si>
  <si>
    <t>AL_defrRet_pctALactives.t1</t>
  </si>
  <si>
    <t>AL_defrRet_pctALactives.t2</t>
  </si>
  <si>
    <t>V-3</t>
  </si>
  <si>
    <t>Liability</t>
  </si>
  <si>
    <t>I5</t>
  </si>
  <si>
    <t>V2</t>
  </si>
  <si>
    <t>Expected payroll</t>
  </si>
  <si>
    <t>NC tot</t>
  </si>
  <si>
    <t>NC ret</t>
  </si>
  <si>
    <t>NC term</t>
  </si>
  <si>
    <t>NC disb</t>
  </si>
  <si>
    <t>NC death</t>
  </si>
  <si>
    <t>Does the expected payroll over expected new entrants?</t>
  </si>
  <si>
    <t>Benefit accrual</t>
  </si>
  <si>
    <t>Max benefit</t>
  </si>
  <si>
    <t>COLA</t>
  </si>
  <si>
    <t>Employee contribution</t>
  </si>
  <si>
    <t>Baseline (current policy)</t>
  </si>
  <si>
    <t>Tier1: 2.5%</t>
  </si>
  <si>
    <t>Tier2: 2%</t>
  </si>
  <si>
    <t>75%(Tier 1) or 70% (Tier 2) of final average salary</t>
  </si>
  <si>
    <t>Tier1: 3% fixed</t>
  </si>
  <si>
    <t>Tier2: CPI capped at 1.25% ~ 2% depending on years of service</t>
  </si>
  <si>
    <t>Tier1: 27.2% of normal cost</t>
  </si>
  <si>
    <t>Tier2: 50% ADC with limit on annual increase; no less than 50% of normal cost (city contribution no less than 50% of normal cost)</t>
  </si>
  <si>
    <t>Pre-1999 policy</t>
  </si>
  <si>
    <t>3-year average for tier 1</t>
  </si>
  <si>
    <t>Tier1: 2.25% fixed</t>
  </si>
  <si>
    <t>Tier2: no change</t>
  </si>
  <si>
    <t>Cost sharing</t>
  </si>
  <si>
    <t>Suspend COLA before reaching full funding</t>
  </si>
  <si>
    <t>Tier 2 shared-ADC policy applied to Tier 1</t>
  </si>
  <si>
    <t>POB of full UAAL</t>
  </si>
  <si>
    <t>POB of full UAAL, 20 years with 3% interest; equal annual debt service</t>
  </si>
  <si>
    <t>Tier1: 2.5%~4%</t>
  </si>
  <si>
    <t>Tier2: 2.4%~3.4%</t>
  </si>
  <si>
    <t>90% of final average salary</t>
  </si>
  <si>
    <t>Tier2: CPI capped at 2%</t>
  </si>
  <si>
    <t>Tier2: 50% ADC with limit on annual increase; no less than 50% of normal cost</t>
  </si>
  <si>
    <t>Constant 2.5%</t>
  </si>
  <si>
    <t>for new service only</t>
  </si>
  <si>
    <t>75% of final average salary</t>
  </si>
  <si>
    <t>Combination of Pre-1999 and Cost sharing</t>
  </si>
  <si>
    <t>Suspend COLA before reaching full funding.
COLA after reaching full funding for the first time:
Tier1: 2.25% fixed
Tier2: no change</t>
  </si>
  <si>
    <t>Combining Pre-1999 and cost sharing</t>
  </si>
  <si>
    <t>Constant 2.5%
for new service only</t>
  </si>
  <si>
    <t>pf.t1_combined</t>
  </si>
  <si>
    <t>pf.t2_combined</t>
  </si>
  <si>
    <t>fc.t1_combined</t>
  </si>
  <si>
    <t>fc.t2_combined</t>
  </si>
  <si>
    <t>P&amp;F tier 1; pre-1999 and shared cost combined</t>
  </si>
  <si>
    <t>P&amp;F tier 2; pre-1999 and shared cost combined</t>
  </si>
  <si>
    <t>combined</t>
  </si>
  <si>
    <t>Federated tier 1; pre-1999 and shared cost combined</t>
  </si>
  <si>
    <t>Federated tier 2; pre-1999 and shared cost combined</t>
  </si>
  <si>
    <t>pf_disb</t>
  </si>
  <si>
    <t>"pf.t1.disb","pf.t2.disb"</t>
  </si>
  <si>
    <t>pf.t1_disb</t>
  </si>
  <si>
    <t>pf.t2_disb</t>
  </si>
  <si>
    <t>pf.t1.disb</t>
  </si>
  <si>
    <t>pf.t2.disb</t>
  </si>
  <si>
    <t>pf_pre99disb</t>
  </si>
  <si>
    <t>pf.t1_pre99disb</t>
  </si>
  <si>
    <t>pf.t2_pre99disb</t>
  </si>
  <si>
    <t>P&amp;F tier 1; lower disability rates</t>
  </si>
  <si>
    <t>P&amp;F tier 2; lower disability rates</t>
  </si>
  <si>
    <t>P&amp;F tier 1; lower disb. rates &amp;\npre-1999 p</t>
  </si>
  <si>
    <t>P&amp;F tier 2; lower disb. rates &amp;\npre-1999 p</t>
  </si>
  <si>
    <t>disb</t>
  </si>
  <si>
    <t>pre99disb</t>
  </si>
  <si>
    <t>pf_disbUpper</t>
  </si>
  <si>
    <t>"pf.t1.disb.upper","pf.t2.disb.upper"</t>
  </si>
  <si>
    <t>pf.t1_disbUpper</t>
  </si>
  <si>
    <t>pf.t2_disbUpper</t>
  </si>
  <si>
    <t>pf.t1.disb.upper</t>
  </si>
  <si>
    <t>pf.t2.disb.upper</t>
  </si>
  <si>
    <t>disbUpper</t>
  </si>
  <si>
    <t>pf_baselineUpper</t>
  </si>
  <si>
    <t>"pf.t1.disbMort","pf.t2.disbMort"</t>
  </si>
  <si>
    <t>pf.t1_baselineUpper</t>
  </si>
  <si>
    <t>pf.t2_baselineUpper</t>
  </si>
  <si>
    <t>pf.t1.disbMort</t>
  </si>
  <si>
    <t>pf.t2.disbMort</t>
  </si>
  <si>
    <t>perf disb rate</t>
  </si>
  <si>
    <t>perf disb rate, all with disb mort</t>
  </si>
  <si>
    <t>sj disb rate, all with disb mort</t>
  </si>
  <si>
    <t>baselineUpper</t>
  </si>
  <si>
    <t>P&amp;F tier 1; Baseline, disb mort</t>
  </si>
  <si>
    <t>P&amp;F tier 1; lower disability rates, disb mort</t>
  </si>
  <si>
    <t>P&amp;F tier 2; lower disability rates, disb 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</si>
</sst>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"/>
    <numFmt numFmtId="169" formatCode="0.00000"/>
    <numFmt numFmtId="170" formatCode="mmmm\ d\,\ yyyy"/>
    <numFmt numFmtId="171" formatCode="0.000000"/>
    <numFmt numFmtId="172" formatCode="0.00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9.5"/>
      <name val="Times New Roman"/>
      <family val="1"/>
    </font>
    <font>
      <b/>
      <sz val="9.5"/>
      <name val="Times New Roman"/>
      <family val="1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72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2" xfId="0" applyBorder="1" applyAlignment="1">
      <alignment horizontal="left" vertical="top" wrapText="1"/>
    </xf>
    <xf numFmtId="0" fontId="10" fillId="0" borderId="2" xfId="0" applyFont="1" applyBorder="1" applyAlignment="1">
      <alignment horizont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3" fontId="10" fillId="0" borderId="0" xfId="0" applyNumberFormat="1" applyFont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" fontId="10" fillId="0" borderId="0" xfId="0" applyNumberFormat="1" applyFont="1" applyAlignment="1">
      <alignment horizontal="right" vertical="center" wrapText="1"/>
    </xf>
    <xf numFmtId="6" fontId="10" fillId="0" borderId="0" xfId="0" applyNumberFormat="1" applyFont="1" applyAlignment="1">
      <alignment horizontal="right" vertical="center" wrapText="1"/>
    </xf>
    <xf numFmtId="166" fontId="10" fillId="0" borderId="0" xfId="2" applyNumberFormat="1" applyFont="1" applyAlignment="1">
      <alignment horizontal="right" vertical="center" wrapText="1"/>
    </xf>
    <xf numFmtId="166" fontId="10" fillId="0" borderId="2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0" fillId="0" borderId="0" xfId="2" applyNumberFormat="1" applyFont="1" applyAlignment="1">
      <alignment horizontal="right" vertical="center" wrapText="1"/>
    </xf>
    <xf numFmtId="0" fontId="9" fillId="0" borderId="2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0" fillId="0" borderId="3" xfId="0" applyNumberFormat="1" applyFont="1" applyBorder="1" applyAlignment="1">
      <alignment horizontal="right" vertical="center" wrapText="1"/>
    </xf>
    <xf numFmtId="6" fontId="11" fillId="0" borderId="0" xfId="0" applyNumberFormat="1" applyFont="1" applyAlignment="1">
      <alignment horizontal="right" vertical="center" wrapText="1"/>
    </xf>
    <xf numFmtId="0" fontId="10" fillId="7" borderId="0" xfId="0" applyFont="1" applyFill="1" applyAlignment="1">
      <alignment horizontal="left" vertical="center" wrapText="1" indent="3"/>
    </xf>
    <xf numFmtId="6" fontId="10" fillId="7" borderId="3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0" fillId="7" borderId="3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1" fillId="14" borderId="0" xfId="0" applyFont="1" applyFill="1" applyAlignment="1">
      <alignment horizontal="left" vertical="center" wrapText="1" indent="1"/>
    </xf>
    <xf numFmtId="166" fontId="11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2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1" fontId="15" fillId="0" borderId="2" xfId="0" applyNumberFormat="1" applyFont="1" applyBorder="1" applyAlignment="1">
      <alignment horizontal="right" vertical="center" wrapText="1"/>
    </xf>
    <xf numFmtId="1" fontId="15" fillId="0" borderId="2" xfId="0" applyNumberFormat="1" applyFont="1" applyBorder="1" applyAlignment="1">
      <alignment horizontal="right" vertical="center" wrapText="1" indent="1"/>
    </xf>
    <xf numFmtId="3" fontId="15" fillId="0" borderId="2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 indent="3"/>
    </xf>
    <xf numFmtId="0" fontId="14" fillId="0" borderId="0" xfId="0" applyFont="1" applyAlignment="1">
      <alignment horizontal="left" vertical="center" wrapText="1" indent="2"/>
    </xf>
    <xf numFmtId="10" fontId="14" fillId="0" borderId="0" xfId="0" applyNumberFormat="1" applyFont="1" applyAlignment="1">
      <alignment horizontal="right" vertical="center" wrapText="1"/>
    </xf>
    <xf numFmtId="10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top" wrapText="1" indent="3"/>
    </xf>
    <xf numFmtId="10" fontId="15" fillId="0" borderId="0" xfId="0" applyNumberFormat="1" applyFont="1" applyAlignment="1">
      <alignment horizontal="right" vertical="top" wrapText="1"/>
    </xf>
    <xf numFmtId="6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 indent="1"/>
    </xf>
    <xf numFmtId="6" fontId="14" fillId="0" borderId="3" xfId="0" applyNumberFormat="1" applyFont="1" applyBorder="1" applyAlignment="1">
      <alignment horizontal="right" vertical="center" wrapText="1"/>
    </xf>
    <xf numFmtId="6" fontId="14" fillId="0" borderId="3" xfId="0" applyNumberFormat="1" applyFont="1" applyBorder="1" applyAlignment="1">
      <alignment horizontal="right" vertical="center" wrapText="1" indent="1"/>
    </xf>
    <xf numFmtId="6" fontId="14" fillId="0" borderId="0" xfId="0" applyNumberFormat="1" applyFont="1" applyAlignment="1">
      <alignment horizontal="right" vertical="center" wrapText="1"/>
    </xf>
    <xf numFmtId="14" fontId="12" fillId="0" borderId="3" xfId="0" applyNumberFormat="1" applyFont="1" applyBorder="1" applyAlignment="1">
      <alignment vertical="top" wrapText="1"/>
    </xf>
    <xf numFmtId="14" fontId="12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6" fontId="0" fillId="0" borderId="0" xfId="0" applyNumberFormat="1"/>
    <xf numFmtId="0" fontId="14" fillId="14" borderId="0" xfId="0" applyFont="1" applyFill="1" applyAlignment="1">
      <alignment horizontal="left" vertical="center" wrapText="1" indent="2"/>
    </xf>
    <xf numFmtId="10" fontId="14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4" fillId="7" borderId="0" xfId="0" applyFont="1" applyFill="1" applyAlignment="1">
      <alignment horizontal="left" vertical="center" wrapText="1" indent="2"/>
    </xf>
    <xf numFmtId="10" fontId="14" fillId="7" borderId="0" xfId="0" applyNumberFormat="1" applyFont="1" applyFill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2"/>
    </xf>
    <xf numFmtId="6" fontId="10" fillId="7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0" fontId="10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 indent="3"/>
    </xf>
    <xf numFmtId="2" fontId="10" fillId="7" borderId="0" xfId="2" applyNumberFormat="1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center" vertical="center" wrapText="1"/>
    </xf>
    <xf numFmtId="2" fontId="10" fillId="14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 indent="2"/>
    </xf>
    <xf numFmtId="0" fontId="14" fillId="7" borderId="0" xfId="0" applyFont="1" applyFill="1" applyAlignment="1">
      <alignment horizontal="right" vertical="center" wrapText="1" indent="2"/>
    </xf>
    <xf numFmtId="2" fontId="10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8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8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16" fillId="7" borderId="0" xfId="0" applyFont="1" applyFill="1"/>
    <xf numFmtId="0" fontId="17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8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16" fillId="16" borderId="0" xfId="0" applyFont="1" applyFill="1"/>
    <xf numFmtId="164" fontId="16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8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16" fillId="16" borderId="0" xfId="0" applyNumberFormat="1" applyFont="1" applyFill="1"/>
    <xf numFmtId="165" fontId="16" fillId="16" borderId="0" xfId="0" applyNumberFormat="1" applyFont="1" applyFill="1"/>
    <xf numFmtId="168" fontId="16" fillId="16" borderId="0" xfId="0" applyNumberFormat="1" applyFont="1" applyFill="1"/>
    <xf numFmtId="0" fontId="0" fillId="17" borderId="0" xfId="0" applyFill="1"/>
    <xf numFmtId="0" fontId="16" fillId="17" borderId="0" xfId="0" applyFont="1" applyFill="1"/>
    <xf numFmtId="0" fontId="18" fillId="17" borderId="0" xfId="0" applyFont="1" applyFill="1"/>
    <xf numFmtId="164" fontId="0" fillId="17" borderId="0" xfId="0" applyNumberFormat="1" applyFill="1"/>
    <xf numFmtId="2" fontId="16" fillId="17" borderId="0" xfId="0" applyNumberFormat="1" applyFont="1" applyFill="1"/>
    <xf numFmtId="165" fontId="16" fillId="17" borderId="0" xfId="0" applyNumberFormat="1" applyFont="1" applyFill="1"/>
    <xf numFmtId="168" fontId="18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8" fontId="16" fillId="17" borderId="0" xfId="0" applyNumberFormat="1" applyFon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164" fontId="0" fillId="0" borderId="0" xfId="0" applyNumberFormat="1" applyFill="1"/>
    <xf numFmtId="2" fontId="16" fillId="0" borderId="0" xfId="0" applyNumberFormat="1" applyFont="1" applyFill="1"/>
    <xf numFmtId="165" fontId="16" fillId="0" borderId="0" xfId="0" applyNumberFormat="1" applyFont="1" applyFill="1"/>
    <xf numFmtId="168" fontId="18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8" fontId="16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0" fontId="0" fillId="7" borderId="0" xfId="0" applyFont="1" applyFill="1"/>
    <xf numFmtId="169" fontId="0" fillId="0" borderId="0" xfId="0" applyNumberFormat="1"/>
    <xf numFmtId="0" fontId="19" fillId="0" borderId="0" xfId="0" applyFont="1" applyAlignment="1">
      <alignment horizontal="left" vertical="top"/>
    </xf>
    <xf numFmtId="170" fontId="20" fillId="0" borderId="2" xfId="0" applyNumberFormat="1" applyFont="1" applyBorder="1" applyAlignment="1">
      <alignment horizontal="right" vertical="center" wrapText="1"/>
    </xf>
    <xf numFmtId="170" fontId="20" fillId="0" borderId="2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 indent="1"/>
    </xf>
    <xf numFmtId="3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 indent="1"/>
    </xf>
    <xf numFmtId="1" fontId="21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horizontal="right" vertical="center" wrapText="1" indent="1"/>
    </xf>
    <xf numFmtId="1" fontId="21" fillId="0" borderId="2" xfId="0" applyNumberFormat="1" applyFont="1" applyBorder="1" applyAlignment="1">
      <alignment horizontal="right" vertical="center" wrapText="1"/>
    </xf>
    <xf numFmtId="1" fontId="21" fillId="0" borderId="2" xfId="0" applyNumberFormat="1" applyFont="1" applyBorder="1" applyAlignment="1">
      <alignment horizontal="right" vertical="center" wrapText="1" indent="1"/>
    </xf>
    <xf numFmtId="0" fontId="20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top" wrapText="1" indent="1"/>
    </xf>
    <xf numFmtId="10" fontId="20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 indent="1"/>
    </xf>
    <xf numFmtId="3" fontId="21" fillId="0" borderId="2" xfId="0" applyNumberFormat="1" applyFont="1" applyBorder="1" applyAlignment="1">
      <alignment horizontal="right" vertical="center" wrapText="1"/>
    </xf>
    <xf numFmtId="3" fontId="21" fillId="0" borderId="2" xfId="0" applyNumberFormat="1" applyFont="1" applyBorder="1" applyAlignment="1">
      <alignment horizontal="right" vertical="center" wrapText="1" indent="1"/>
    </xf>
    <xf numFmtId="0" fontId="20" fillId="0" borderId="2" xfId="0" applyFont="1" applyBorder="1" applyAlignment="1">
      <alignment horizontal="left" vertical="center" wrapText="1" indent="1"/>
    </xf>
    <xf numFmtId="10" fontId="20" fillId="0" borderId="2" xfId="0" applyNumberFormat="1" applyFont="1" applyBorder="1" applyAlignment="1">
      <alignment horizontal="right" vertical="center" wrapText="1"/>
    </xf>
    <xf numFmtId="10" fontId="20" fillId="0" borderId="2" xfId="0" applyNumberFormat="1" applyFont="1" applyBorder="1" applyAlignment="1">
      <alignment horizontal="right" vertical="center" wrapText="1" indent="1"/>
    </xf>
    <xf numFmtId="0" fontId="22" fillId="0" borderId="0" xfId="0" applyFont="1" applyAlignment="1">
      <alignment horizontal="left" vertical="top"/>
    </xf>
    <xf numFmtId="0" fontId="20" fillId="7" borderId="0" xfId="0" applyFont="1" applyFill="1" applyAlignment="1">
      <alignment horizontal="left" vertical="center" wrapText="1" indent="1"/>
    </xf>
    <xf numFmtId="0" fontId="21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1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4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 indent="1"/>
    </xf>
    <xf numFmtId="6" fontId="24" fillId="0" borderId="0" xfId="0" applyNumberFormat="1" applyFont="1" applyBorder="1" applyAlignment="1">
      <alignment horizontal="right" vertical="center" wrapText="1" indent="1"/>
    </xf>
    <xf numFmtId="3" fontId="24" fillId="0" borderId="0" xfId="0" applyNumberFormat="1" applyFont="1" applyBorder="1" applyAlignment="1">
      <alignment horizontal="right" vertical="center" wrapText="1" indent="1"/>
    </xf>
    <xf numFmtId="3" fontId="21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1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Border="1" applyAlignment="1">
      <alignment horizontal="right" vertical="center" wrapText="1" indent="1"/>
    </xf>
    <xf numFmtId="6" fontId="20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 indent="1"/>
    </xf>
    <xf numFmtId="6" fontId="23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0" fillId="18" borderId="0" xfId="0" applyFill="1"/>
    <xf numFmtId="2" fontId="0" fillId="18" borderId="0" xfId="2" applyNumberFormat="1" applyFont="1" applyFill="1"/>
    <xf numFmtId="0" fontId="16" fillId="18" borderId="0" xfId="0" applyFont="1" applyFill="1"/>
    <xf numFmtId="2" fontId="17" fillId="16" borderId="0" xfId="0" applyNumberFormat="1" applyFont="1" applyFill="1"/>
    <xf numFmtId="165" fontId="17" fillId="16" borderId="0" xfId="0" applyNumberFormat="1" applyFont="1" applyFill="1"/>
    <xf numFmtId="168" fontId="17" fillId="16" borderId="0" xfId="0" applyNumberFormat="1" applyFont="1" applyFill="1"/>
    <xf numFmtId="164" fontId="17" fillId="16" borderId="0" xfId="0" applyNumberFormat="1" applyFont="1" applyFill="1"/>
    <xf numFmtId="171" fontId="0" fillId="0" borderId="0" xfId="0" applyNumberFormat="1"/>
    <xf numFmtId="172" fontId="0" fillId="0" borderId="0" xfId="1" applyNumberFormat="1" applyFont="1"/>
    <xf numFmtId="0" fontId="8" fillId="3" borderId="0" xfId="0" applyFont="1" applyFill="1" applyAlignment="1">
      <alignment vertical="center" wrapText="1"/>
    </xf>
    <xf numFmtId="0" fontId="25" fillId="3" borderId="0" xfId="0" applyFont="1" applyFill="1"/>
    <xf numFmtId="166" fontId="0" fillId="0" borderId="0" xfId="2" applyNumberFormat="1" applyFont="1"/>
    <xf numFmtId="166" fontId="1" fillId="0" borderId="0" xfId="2" applyNumberFormat="1" applyFont="1"/>
    <xf numFmtId="10" fontId="1" fillId="0" borderId="0" xfId="1" applyNumberFormat="1" applyFont="1"/>
    <xf numFmtId="43" fontId="0" fillId="0" borderId="0" xfId="0" applyNumberFormat="1"/>
    <xf numFmtId="0" fontId="1" fillId="3" borderId="0" xfId="0" applyFont="1" applyFill="1" applyAlignment="1">
      <alignment wrapText="1"/>
    </xf>
    <xf numFmtId="0" fontId="26" fillId="0" borderId="0" xfId="0" applyFont="1"/>
    <xf numFmtId="0" fontId="28" fillId="19" borderId="5" xfId="0" applyFont="1" applyFill="1" applyBorder="1" applyAlignment="1">
      <alignment horizontal="left" vertical="center" wrapText="1"/>
    </xf>
    <xf numFmtId="0" fontId="28" fillId="19" borderId="5" xfId="0" applyFont="1" applyFill="1" applyBorder="1" applyAlignment="1">
      <alignment vertical="center" wrapText="1"/>
    </xf>
    <xf numFmtId="0" fontId="27" fillId="19" borderId="5" xfId="0" applyFont="1" applyFill="1" applyBorder="1" applyAlignment="1">
      <alignment horizontal="left" vertical="center" wrapText="1"/>
    </xf>
    <xf numFmtId="0" fontId="0" fillId="19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27" fillId="19" borderId="5" xfId="0" applyFont="1" applyFill="1" applyBorder="1" applyAlignment="1">
      <alignment vertical="center" wrapText="1"/>
    </xf>
    <xf numFmtId="0" fontId="27" fillId="19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19" borderId="0" xfId="0" applyFill="1" applyBorder="1" applyAlignment="1">
      <alignment horizontal="center" vertical="center"/>
    </xf>
    <xf numFmtId="0" fontId="0" fillId="20" borderId="0" xfId="0" applyFill="1"/>
    <xf numFmtId="0" fontId="16" fillId="20" borderId="0" xfId="0" applyFont="1" applyFill="1"/>
    <xf numFmtId="0" fontId="18" fillId="20" borderId="0" xfId="0" applyFont="1" applyFill="1"/>
    <xf numFmtId="164" fontId="0" fillId="20" borderId="0" xfId="0" applyNumberFormat="1" applyFill="1"/>
    <xf numFmtId="2" fontId="16" fillId="20" borderId="0" xfId="0" applyNumberFormat="1" applyFont="1" applyFill="1"/>
    <xf numFmtId="165" fontId="16" fillId="20" borderId="0" xfId="0" applyNumberFormat="1" applyFont="1" applyFill="1"/>
    <xf numFmtId="168" fontId="18" fillId="20" borderId="0" xfId="0" applyNumberFormat="1" applyFont="1" applyFill="1"/>
    <xf numFmtId="2" fontId="0" fillId="20" borderId="0" xfId="0" applyNumberFormat="1" applyFill="1" applyAlignment="1">
      <alignment horizontal="right"/>
    </xf>
    <xf numFmtId="164" fontId="0" fillId="20" borderId="0" xfId="0" applyNumberFormat="1" applyFill="1" applyAlignment="1">
      <alignment horizontal="right"/>
    </xf>
    <xf numFmtId="1" fontId="0" fillId="20" borderId="0" xfId="0" applyNumberFormat="1" applyFill="1" applyAlignment="1">
      <alignment horizontal="right"/>
    </xf>
    <xf numFmtId="2" fontId="0" fillId="20" borderId="0" xfId="2" applyNumberFormat="1" applyFont="1" applyFill="1"/>
    <xf numFmtId="0" fontId="0" fillId="20" borderId="0" xfId="0" applyFill="1" applyAlignment="1">
      <alignment horizontal="center"/>
    </xf>
    <xf numFmtId="168" fontId="16" fillId="20" borderId="0" xfId="0" applyNumberFormat="1" applyFont="1" applyFill="1"/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wrapText="1" indent="3"/>
    </xf>
    <xf numFmtId="0" fontId="27" fillId="19" borderId="5" xfId="0" applyFont="1" applyFill="1" applyBorder="1" applyAlignment="1">
      <alignment vertical="center" wrapText="1"/>
    </xf>
    <xf numFmtId="0" fontId="28" fillId="19" borderId="5" xfId="0" applyFont="1" applyFill="1" applyBorder="1" applyAlignment="1">
      <alignment horizontal="left" vertical="center" wrapText="1"/>
    </xf>
    <xf numFmtId="0" fontId="28" fillId="19" borderId="5" xfId="0" applyFont="1" applyFill="1" applyBorder="1" applyAlignment="1">
      <alignment vertical="center" wrapText="1"/>
    </xf>
    <xf numFmtId="0" fontId="17" fillId="16" borderId="0" xfId="0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7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2</xdr:row>
      <xdr:rowOff>19050</xdr:rowOff>
    </xdr:from>
    <xdr:to>
      <xdr:col>27</xdr:col>
      <xdr:colOff>600980</xdr:colOff>
      <xdr:row>45</xdr:row>
      <xdr:rowOff>86878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43B13-1ED8-47F9-BCBC-90AADE14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6487430" cy="825932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171450</xdr:rowOff>
    </xdr:from>
    <xdr:to>
      <xdr:col>17</xdr:col>
      <xdr:colOff>29472</xdr:colOff>
      <xdr:row>42</xdr:row>
      <xdr:rowOff>105882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6523C9-7AF1-4BB5-A7C6-8A295869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71450"/>
          <a:ext cx="6430272" cy="7935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419101</xdr:colOff>
      <xdr:row>25</xdr:row>
      <xdr:rowOff>38100</xdr:rowOff>
    </xdr:from>
    <xdr:to>
      <xdr:col>31</xdr:col>
      <xdr:colOff>114616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1" y="4800600"/>
          <a:ext cx="5181915" cy="4105275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5</xdr:row>
      <xdr:rowOff>133350</xdr:rowOff>
    </xdr:from>
    <xdr:to>
      <xdr:col>39</xdr:col>
      <xdr:colOff>105829</xdr:colOff>
      <xdr:row>50</xdr:row>
      <xdr:rowOff>29757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3950" y="1085850"/>
          <a:ext cx="7554379" cy="8468907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16</xdr:row>
      <xdr:rowOff>152400</xdr:rowOff>
    </xdr:from>
    <xdr:to>
      <xdr:col>11</xdr:col>
      <xdr:colOff>600970</xdr:colOff>
      <xdr:row>54</xdr:row>
      <xdr:rowOff>29568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E10E7D-0C3A-4204-89EC-AA97EEBA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3200400"/>
          <a:ext cx="6411220" cy="71161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467641</xdr:colOff>
      <xdr:row>45</xdr:row>
      <xdr:rowOff>125039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A6DF71-69EF-4220-8681-0F066A88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300" y="0"/>
          <a:ext cx="6563641" cy="8697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40</xdr:row>
      <xdr:rowOff>153229</xdr:rowOff>
    </xdr:from>
    <xdr:to>
      <xdr:col>4</xdr:col>
      <xdr:colOff>553097</xdr:colOff>
      <xdr:row>68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AA434-66CF-4091-8030-1EE5781A5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773229"/>
          <a:ext cx="4089770" cy="5180772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16</xdr:row>
      <xdr:rowOff>49698</xdr:rowOff>
    </xdr:from>
    <xdr:to>
      <xdr:col>4</xdr:col>
      <xdr:colOff>513533</xdr:colOff>
      <xdr:row>39</xdr:row>
      <xdr:rowOff>99393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C4B643-A2CA-45C7-B8B5-B960B7D3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79" y="3097698"/>
          <a:ext cx="3992228" cy="4431195"/>
        </a:xfrm>
        <a:prstGeom prst="rect">
          <a:avLst/>
        </a:prstGeom>
      </xdr:spPr>
    </xdr:pic>
    <xdr:clientData/>
  </xdr:twoCellAnchor>
  <xdr:twoCellAnchor editAs="oneCell">
    <xdr:from>
      <xdr:col>4</xdr:col>
      <xdr:colOff>770285</xdr:colOff>
      <xdr:row>15</xdr:row>
      <xdr:rowOff>149088</xdr:rowOff>
    </xdr:from>
    <xdr:to>
      <xdr:col>10</xdr:col>
      <xdr:colOff>403872</xdr:colOff>
      <xdr:row>37</xdr:row>
      <xdr:rowOff>16567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8753BC-D6D7-4A6B-BFD9-C86DB51D7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6959" y="3006588"/>
          <a:ext cx="4048217" cy="4058479"/>
        </a:xfrm>
        <a:prstGeom prst="rect">
          <a:avLst/>
        </a:prstGeom>
      </xdr:spPr>
    </xdr:pic>
    <xdr:clientData/>
  </xdr:twoCellAnchor>
  <xdr:twoCellAnchor editAs="oneCell">
    <xdr:from>
      <xdr:col>4</xdr:col>
      <xdr:colOff>704023</xdr:colOff>
      <xdr:row>38</xdr:row>
      <xdr:rowOff>140806</xdr:rowOff>
    </xdr:from>
    <xdr:to>
      <xdr:col>10</xdr:col>
      <xdr:colOff>406962</xdr:colOff>
      <xdr:row>58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51F68A-0593-465C-BC0B-6FD49EFD0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40697" y="7379806"/>
          <a:ext cx="4117569" cy="3669194"/>
        </a:xfrm>
        <a:prstGeom prst="rect">
          <a:avLst/>
        </a:prstGeom>
      </xdr:spPr>
    </xdr:pic>
    <xdr:clientData/>
  </xdr:twoCellAnchor>
  <xdr:twoCellAnchor editAs="oneCell">
    <xdr:from>
      <xdr:col>10</xdr:col>
      <xdr:colOff>579785</xdr:colOff>
      <xdr:row>15</xdr:row>
      <xdr:rowOff>157371</xdr:rowOff>
    </xdr:from>
    <xdr:to>
      <xdr:col>17</xdr:col>
      <xdr:colOff>369438</xdr:colOff>
      <xdr:row>38</xdr:row>
      <xdr:rowOff>33131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45BE56-4942-4C97-8FE4-4AC9FEE3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1089" y="3014871"/>
          <a:ext cx="4668110" cy="425726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414130</xdr:colOff>
      <xdr:row>39</xdr:row>
      <xdr:rowOff>91109</xdr:rowOff>
    </xdr:from>
    <xdr:to>
      <xdr:col>17</xdr:col>
      <xdr:colOff>359234</xdr:colOff>
      <xdr:row>60</xdr:row>
      <xdr:rowOff>182218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D9AF5A-48AE-4FEC-8E29-F90495E21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55326" y="7520609"/>
          <a:ext cx="4823561" cy="40916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7</xdr:col>
      <xdr:colOff>524924</xdr:colOff>
      <xdr:row>28</xdr:row>
      <xdr:rowOff>98922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924E3-C165-497E-B78F-5C3ECDD1C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650"/>
          <a:ext cx="4792124" cy="4804272"/>
        </a:xfrm>
        <a:prstGeom prst="rect">
          <a:avLst/>
        </a:prstGeom>
      </xdr:spPr>
    </xdr:pic>
    <xdr:clientData/>
  </xdr:twoCellAnchor>
  <xdr:twoCellAnchor editAs="oneCell">
    <xdr:from>
      <xdr:col>18</xdr:col>
      <xdr:colOff>419100</xdr:colOff>
      <xdr:row>3</xdr:row>
      <xdr:rowOff>114300</xdr:rowOff>
    </xdr:from>
    <xdr:to>
      <xdr:col>28</xdr:col>
      <xdr:colOff>524740</xdr:colOff>
      <xdr:row>34</xdr:row>
      <xdr:rowOff>162756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DE192-BC07-49DC-BADB-46E29269C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1900" y="685800"/>
          <a:ext cx="6201640" cy="5953956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1</xdr:row>
      <xdr:rowOff>95250</xdr:rowOff>
    </xdr:from>
    <xdr:to>
      <xdr:col>18</xdr:col>
      <xdr:colOff>239025</xdr:colOff>
      <xdr:row>34</xdr:row>
      <xdr:rowOff>67548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09B001-A2FB-4BE4-A09F-B230349BB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85750"/>
          <a:ext cx="6449325" cy="625879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39</xdr:row>
      <xdr:rowOff>38100</xdr:rowOff>
    </xdr:from>
    <xdr:to>
      <xdr:col>21</xdr:col>
      <xdr:colOff>67527</xdr:colOff>
      <xdr:row>60</xdr:row>
      <xdr:rowOff>29132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94FE5A-9074-451A-9667-CA1B0276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0" y="7467600"/>
          <a:ext cx="6106377" cy="3991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95250</xdr:rowOff>
    </xdr:from>
    <xdr:to>
      <xdr:col>10</xdr:col>
      <xdr:colOff>296167</xdr:colOff>
      <xdr:row>61</xdr:row>
      <xdr:rowOff>124494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779671-BCFB-41A0-830F-6B18614A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953250"/>
          <a:ext cx="6392167" cy="47917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152400</xdr:rowOff>
    </xdr:from>
    <xdr:to>
      <xdr:col>9</xdr:col>
      <xdr:colOff>117</xdr:colOff>
      <xdr:row>23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D0D2AA-1428-45E1-B851-09A3E1527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2900"/>
          <a:ext cx="4724517" cy="421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M4" dT="2020-08-13T20:45:58.44" personId="{00000000-0000-0000-0000-000000000000}" id="{F5769092-1632-411C-A719-C700B72F16AC}">
    <text>x% reduction of benefit factor</text>
  </threadedComment>
  <threadedComment ref="N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81"/>
  <sheetViews>
    <sheetView zoomScaleNormal="100" workbookViewId="0">
      <pane xSplit="3" ySplit="4" topLeftCell="D32" activePane="bottomRight" state="frozen"/>
      <selection pane="topRight" activeCell="E1" sqref="E1"/>
      <selection pane="bottomLeft" activeCell="A5" sqref="A5"/>
      <selection pane="bottomRight" activeCell="A47" sqref="A47"/>
    </sheetView>
  </sheetViews>
  <sheetFormatPr defaultRowHeight="15" x14ac:dyDescent="0.25"/>
  <cols>
    <col min="1" max="1" width="24.28515625" customWidth="1"/>
    <col min="2" max="2" width="28.5703125" customWidth="1"/>
    <col min="3" max="3" width="7.5703125" bestFit="1" customWidth="1"/>
    <col min="4" max="4" width="19.42578125" customWidth="1"/>
    <col min="5" max="5" width="22.7109375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 x14ac:dyDescent="0.25">
      <c r="AU2" s="20"/>
      <c r="AV2" s="20"/>
    </row>
    <row r="3" spans="1:58" s="18" customFormat="1" ht="18.75" x14ac:dyDescent="0.3">
      <c r="A3" s="11"/>
      <c r="B3" s="11"/>
      <c r="C3" s="11"/>
      <c r="D3" s="16" t="s">
        <v>70</v>
      </c>
      <c r="E3" s="16"/>
      <c r="F3" s="16"/>
      <c r="G3" s="28" t="s">
        <v>81</v>
      </c>
      <c r="H3" s="28"/>
      <c r="I3" s="28"/>
      <c r="J3" s="28"/>
      <c r="K3" s="28"/>
      <c r="L3" s="31" t="s">
        <v>106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237" t="s">
        <v>73</v>
      </c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15" customFormat="1" ht="33" customHeight="1" x14ac:dyDescent="0.25">
      <c r="A4" s="104" t="s">
        <v>72</v>
      </c>
      <c r="B4" s="104" t="s">
        <v>36</v>
      </c>
      <c r="C4" s="104" t="s">
        <v>13</v>
      </c>
      <c r="D4" s="105" t="s">
        <v>67</v>
      </c>
      <c r="E4" s="105" t="s">
        <v>157</v>
      </c>
      <c r="F4" s="105" t="s">
        <v>71</v>
      </c>
      <c r="G4" s="106" t="s">
        <v>83</v>
      </c>
      <c r="H4" s="106" t="s">
        <v>82</v>
      </c>
      <c r="I4" s="106" t="s">
        <v>87</v>
      </c>
      <c r="J4" s="106" t="s">
        <v>84</v>
      </c>
      <c r="K4" s="106" t="s">
        <v>231</v>
      </c>
      <c r="L4" s="107" t="s">
        <v>93</v>
      </c>
      <c r="M4" s="108" t="s">
        <v>99</v>
      </c>
      <c r="N4" s="108" t="s">
        <v>183</v>
      </c>
      <c r="O4" s="108" t="s">
        <v>184</v>
      </c>
      <c r="P4" s="108" t="s">
        <v>185</v>
      </c>
      <c r="Q4" s="108" t="s">
        <v>187</v>
      </c>
      <c r="R4" s="108" t="s">
        <v>186</v>
      </c>
      <c r="S4" s="108" t="s">
        <v>248</v>
      </c>
      <c r="T4" s="107" t="s">
        <v>95</v>
      </c>
      <c r="U4" s="109" t="s">
        <v>182</v>
      </c>
      <c r="V4" s="108" t="s">
        <v>102</v>
      </c>
      <c r="W4" s="108" t="s">
        <v>96</v>
      </c>
      <c r="X4" s="108" t="s">
        <v>97</v>
      </c>
      <c r="Y4" s="108" t="s">
        <v>236</v>
      </c>
      <c r="Z4" s="108" t="s">
        <v>235</v>
      </c>
      <c r="AA4" s="108" t="s">
        <v>237</v>
      </c>
      <c r="AB4" s="108" t="s">
        <v>238</v>
      </c>
      <c r="AC4" s="110" t="s">
        <v>11</v>
      </c>
      <c r="AD4" s="110" t="s">
        <v>34</v>
      </c>
      <c r="AE4" s="110" t="s">
        <v>9</v>
      </c>
      <c r="AF4" s="110" t="s">
        <v>10</v>
      </c>
      <c r="AG4" s="111" t="s">
        <v>12</v>
      </c>
      <c r="AH4" s="111" t="s">
        <v>50</v>
      </c>
      <c r="AI4" s="111" t="s">
        <v>51</v>
      </c>
      <c r="AJ4" s="111" t="s">
        <v>52</v>
      </c>
      <c r="AK4" s="111" t="s">
        <v>60</v>
      </c>
      <c r="AL4" s="105" t="s">
        <v>21</v>
      </c>
      <c r="AM4" s="105" t="s">
        <v>23</v>
      </c>
      <c r="AN4" s="236" t="s">
        <v>6</v>
      </c>
      <c r="AO4" s="105" t="s">
        <v>7</v>
      </c>
      <c r="AP4" s="105" t="s">
        <v>8</v>
      </c>
      <c r="AQ4" s="105" t="s">
        <v>45</v>
      </c>
      <c r="AR4" s="105" t="s">
        <v>74</v>
      </c>
      <c r="AS4" s="112" t="s">
        <v>54</v>
      </c>
      <c r="AT4" s="112" t="s">
        <v>55</v>
      </c>
      <c r="AU4" s="112" t="s">
        <v>29</v>
      </c>
      <c r="AV4" s="112" t="s">
        <v>30</v>
      </c>
      <c r="AW4" s="112" t="s">
        <v>32</v>
      </c>
      <c r="AX4" s="112" t="s">
        <v>33</v>
      </c>
      <c r="AY4" s="112" t="s">
        <v>78</v>
      </c>
      <c r="AZ4" s="113" t="s">
        <v>56</v>
      </c>
      <c r="BA4" s="113" t="s">
        <v>27</v>
      </c>
      <c r="BB4" s="113" t="s">
        <v>28</v>
      </c>
      <c r="BC4" s="113" t="s">
        <v>26</v>
      </c>
      <c r="BD4" s="113" t="s">
        <v>15</v>
      </c>
      <c r="BE4" s="113" t="s">
        <v>4</v>
      </c>
      <c r="BF4" s="114" t="s">
        <v>5</v>
      </c>
    </row>
    <row r="5" spans="1:58" x14ac:dyDescent="0.25">
      <c r="A5" t="s">
        <v>105</v>
      </c>
      <c r="C5" t="b">
        <v>0</v>
      </c>
      <c r="D5" t="s">
        <v>105</v>
      </c>
      <c r="E5" t="s">
        <v>161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100</v>
      </c>
      <c r="M5">
        <v>0.11</v>
      </c>
      <c r="N5" s="20">
        <f>3/11</f>
        <v>0.27272727272727271</v>
      </c>
      <c r="O5" s="32">
        <v>0.5</v>
      </c>
      <c r="P5" s="4">
        <f>1/300</f>
        <v>3.3333333333333335E-3</v>
      </c>
      <c r="Q5" s="116">
        <v>0</v>
      </c>
      <c r="R5" s="32">
        <v>0.5</v>
      </c>
      <c r="S5" s="32"/>
      <c r="T5" t="s">
        <v>98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92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103</v>
      </c>
      <c r="AK5" t="b">
        <v>1</v>
      </c>
      <c r="AL5" t="s">
        <v>77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22">
        <v>123</v>
      </c>
      <c r="AS5" t="s">
        <v>31</v>
      </c>
      <c r="AT5" t="s">
        <v>31</v>
      </c>
      <c r="AU5" s="20">
        <v>0.7</v>
      </c>
      <c r="AV5" s="20">
        <v>0.7</v>
      </c>
      <c r="AY5" s="27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 x14ac:dyDescent="0.25">
      <c r="A6" t="s">
        <v>154</v>
      </c>
      <c r="C6" t="b">
        <v>0</v>
      </c>
      <c r="D6" t="s">
        <v>154</v>
      </c>
      <c r="E6" t="s">
        <v>161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100</v>
      </c>
      <c r="M6">
        <v>0.11</v>
      </c>
      <c r="N6" s="20">
        <f t="shared" ref="N6:N81" si="0">3/11</f>
        <v>0.27272727272727271</v>
      </c>
      <c r="O6" s="32">
        <v>0.5</v>
      </c>
      <c r="P6" s="4">
        <f t="shared" ref="P6:P81" si="1">1/300</f>
        <v>3.3333333333333335E-3</v>
      </c>
      <c r="Q6" s="116">
        <v>0.5</v>
      </c>
      <c r="R6" s="32">
        <v>0.5</v>
      </c>
      <c r="S6" s="32"/>
      <c r="T6" t="s">
        <v>98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92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103</v>
      </c>
      <c r="AK6" t="b">
        <v>1</v>
      </c>
      <c r="AL6" t="s">
        <v>77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22">
        <v>123</v>
      </c>
      <c r="AS6" t="s">
        <v>31</v>
      </c>
      <c r="AT6" t="s">
        <v>31</v>
      </c>
      <c r="AU6" s="20">
        <v>1</v>
      </c>
      <c r="AV6" s="20">
        <v>1</v>
      </c>
      <c r="AY6" s="27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 x14ac:dyDescent="0.25">
      <c r="N7" s="20"/>
      <c r="O7" s="32"/>
      <c r="P7" s="4"/>
      <c r="Q7" s="116"/>
      <c r="R7" s="32"/>
      <c r="S7" s="32"/>
      <c r="AP7" s="3"/>
      <c r="AQ7" s="5"/>
      <c r="AR7" s="22"/>
      <c r="AU7" s="20"/>
      <c r="AV7" s="20"/>
      <c r="AY7" s="27"/>
      <c r="BF7" s="19"/>
    </row>
    <row r="8" spans="1:58" x14ac:dyDescent="0.25">
      <c r="A8" t="s">
        <v>105</v>
      </c>
      <c r="C8" t="b">
        <v>0</v>
      </c>
      <c r="D8" t="s">
        <v>156</v>
      </c>
      <c r="E8" t="s">
        <v>158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100</v>
      </c>
      <c r="M8">
        <v>0.11</v>
      </c>
      <c r="N8" s="20">
        <f t="shared" si="0"/>
        <v>0.27272727272727271</v>
      </c>
      <c r="O8" s="32">
        <v>0.5</v>
      </c>
      <c r="P8" s="4">
        <f t="shared" si="1"/>
        <v>3.3333333333333335E-3</v>
      </c>
      <c r="Q8" s="116">
        <v>0</v>
      </c>
      <c r="R8" s="32">
        <v>0.5</v>
      </c>
      <c r="S8" s="32"/>
      <c r="T8" t="s">
        <v>98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92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103</v>
      </c>
      <c r="AK8" t="b">
        <v>1</v>
      </c>
      <c r="AL8" t="s">
        <v>77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22">
        <v>123</v>
      </c>
      <c r="AS8" t="s">
        <v>31</v>
      </c>
      <c r="AT8" t="s">
        <v>31</v>
      </c>
      <c r="AU8" s="20">
        <v>0.7</v>
      </c>
      <c r="AV8" s="20">
        <v>0.7</v>
      </c>
      <c r="AY8" s="27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 x14ac:dyDescent="0.25">
      <c r="A9" t="s">
        <v>154</v>
      </c>
      <c r="C9" t="b">
        <v>0</v>
      </c>
      <c r="D9" t="s">
        <v>156</v>
      </c>
      <c r="E9" t="s">
        <v>160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100</v>
      </c>
      <c r="M9">
        <v>0.11</v>
      </c>
      <c r="N9" s="20">
        <f t="shared" si="0"/>
        <v>0.27272727272727271</v>
      </c>
      <c r="O9" s="32">
        <v>0.5</v>
      </c>
      <c r="P9" s="4">
        <f t="shared" si="1"/>
        <v>3.3333333333333335E-3</v>
      </c>
      <c r="Q9" s="116">
        <v>0.5</v>
      </c>
      <c r="R9" s="32">
        <v>0.5</v>
      </c>
      <c r="S9" s="32"/>
      <c r="T9" t="s">
        <v>98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92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103</v>
      </c>
      <c r="AK9" t="b">
        <v>1</v>
      </c>
      <c r="AL9" t="s">
        <v>77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22">
        <v>123</v>
      </c>
      <c r="AS9" t="s">
        <v>31</v>
      </c>
      <c r="AT9" t="s">
        <v>31</v>
      </c>
      <c r="AU9" s="20">
        <v>1</v>
      </c>
      <c r="AV9" s="20">
        <v>1</v>
      </c>
      <c r="AY9" s="27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 x14ac:dyDescent="0.25">
      <c r="N10" s="20"/>
      <c r="O10" s="32"/>
      <c r="P10" s="4"/>
      <c r="Q10" s="116"/>
      <c r="R10" s="32"/>
      <c r="S10" s="32"/>
      <c r="AP10" s="3"/>
      <c r="AQ10" s="5"/>
      <c r="AR10" s="22"/>
      <c r="AU10" s="20"/>
      <c r="AV10" s="20"/>
      <c r="AY10" s="27"/>
      <c r="BF10" s="19"/>
    </row>
    <row r="11" spans="1:58" x14ac:dyDescent="0.25">
      <c r="A11" t="s">
        <v>241</v>
      </c>
      <c r="C11" t="b">
        <v>0</v>
      </c>
      <c r="D11" t="s">
        <v>295</v>
      </c>
      <c r="E11" t="s">
        <v>245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59" t="b">
        <v>0</v>
      </c>
      <c r="L11" t="s">
        <v>101</v>
      </c>
      <c r="M11">
        <v>0.11</v>
      </c>
      <c r="N11" s="20">
        <f t="shared" si="0"/>
        <v>0.27272727272727271</v>
      </c>
      <c r="O11" s="32">
        <v>0.5</v>
      </c>
      <c r="P11" s="4">
        <f t="shared" si="1"/>
        <v>3.3333333333333335E-3</v>
      </c>
      <c r="Q11" s="116">
        <v>0</v>
      </c>
      <c r="R11" s="32">
        <v>0.5</v>
      </c>
      <c r="S11" s="32">
        <v>0</v>
      </c>
      <c r="T11" t="s">
        <v>98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92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103</v>
      </c>
      <c r="AK11" t="b">
        <v>0</v>
      </c>
      <c r="AL11" t="s">
        <v>77</v>
      </c>
      <c r="AM11" t="s">
        <v>246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22">
        <v>123</v>
      </c>
      <c r="AS11" t="s">
        <v>31</v>
      </c>
      <c r="AT11" t="s">
        <v>31</v>
      </c>
      <c r="AU11" s="20">
        <v>0.51</v>
      </c>
      <c r="AV11" s="20">
        <v>0.52</v>
      </c>
      <c r="AY11" s="27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 x14ac:dyDescent="0.25">
      <c r="A12" t="s">
        <v>242</v>
      </c>
      <c r="C12" t="b">
        <v>0</v>
      </c>
      <c r="D12" t="s">
        <v>295</v>
      </c>
      <c r="E12" t="s">
        <v>247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59" t="b">
        <v>0</v>
      </c>
      <c r="L12" t="s">
        <v>94</v>
      </c>
      <c r="M12">
        <v>0.11</v>
      </c>
      <c r="N12" s="20">
        <f t="shared" si="0"/>
        <v>0.27272727272727271</v>
      </c>
      <c r="O12" s="32">
        <v>0.5</v>
      </c>
      <c r="P12" s="4">
        <f t="shared" si="1"/>
        <v>3.3333333333333335E-3</v>
      </c>
      <c r="Q12" s="116">
        <v>0</v>
      </c>
      <c r="R12" s="32">
        <v>0.5</v>
      </c>
      <c r="S12" s="32">
        <v>0.5</v>
      </c>
      <c r="T12" t="s">
        <v>98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92</v>
      </c>
      <c r="AD12" t="s">
        <v>35</v>
      </c>
      <c r="AE12">
        <v>10</v>
      </c>
      <c r="AF12">
        <v>2.75E-2</v>
      </c>
      <c r="AG12">
        <v>5</v>
      </c>
      <c r="AH12">
        <v>999</v>
      </c>
      <c r="AI12">
        <v>0</v>
      </c>
      <c r="AJ12" t="s">
        <v>103</v>
      </c>
      <c r="AK12" t="b">
        <v>0</v>
      </c>
      <c r="AL12" t="s">
        <v>77</v>
      </c>
      <c r="AM12" t="s">
        <v>246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22">
        <v>123</v>
      </c>
      <c r="AS12" t="s">
        <v>31</v>
      </c>
      <c r="AT12" t="s">
        <v>31</v>
      </c>
      <c r="AU12" s="20">
        <v>0.99</v>
      </c>
      <c r="AV12" s="20">
        <v>0.99</v>
      </c>
      <c r="AY12" s="27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 x14ac:dyDescent="0.25">
      <c r="N13" s="20"/>
      <c r="O13" s="32"/>
      <c r="P13" s="4"/>
      <c r="Q13" s="116"/>
      <c r="R13" s="32"/>
      <c r="S13" s="32"/>
      <c r="AP13" s="3"/>
      <c r="AQ13" s="5"/>
      <c r="AR13" s="22"/>
      <c r="AU13" s="20"/>
      <c r="AV13" s="20"/>
      <c r="AY13" s="27"/>
      <c r="BF13" s="19"/>
    </row>
    <row r="14" spans="1:58" x14ac:dyDescent="0.25">
      <c r="N14" s="20"/>
      <c r="O14" s="32"/>
      <c r="P14" s="4"/>
      <c r="Q14" s="116"/>
      <c r="R14" s="32"/>
      <c r="S14" s="32"/>
      <c r="AP14" s="3"/>
      <c r="AQ14" s="5"/>
      <c r="AR14" s="22"/>
      <c r="AU14" s="20"/>
      <c r="AV14" s="20"/>
      <c r="AY14" s="27"/>
      <c r="BF14" s="19"/>
    </row>
    <row r="15" spans="1:58" s="119" customFormat="1" x14ac:dyDescent="0.25">
      <c r="A15" s="119" t="s">
        <v>171</v>
      </c>
      <c r="C15" s="119" t="b">
        <v>0</v>
      </c>
      <c r="D15" s="119" t="s">
        <v>166</v>
      </c>
      <c r="E15" s="119" t="s">
        <v>158</v>
      </c>
      <c r="F15" s="119" t="b">
        <v>0</v>
      </c>
      <c r="G15" s="119" t="s">
        <v>171</v>
      </c>
      <c r="H15" s="119" t="b">
        <v>0</v>
      </c>
      <c r="I15" s="119" t="b">
        <v>0</v>
      </c>
      <c r="J15" s="119" t="b">
        <v>0</v>
      </c>
      <c r="K15" s="119" t="b">
        <v>0</v>
      </c>
      <c r="L15" s="119" t="s">
        <v>101</v>
      </c>
      <c r="M15" s="119">
        <v>0.11</v>
      </c>
      <c r="N15" s="123">
        <f t="shared" si="0"/>
        <v>0.27272727272727271</v>
      </c>
      <c r="O15" s="124">
        <v>0.5</v>
      </c>
      <c r="P15" s="125">
        <f t="shared" si="1"/>
        <v>3.3333333333333335E-3</v>
      </c>
      <c r="Q15" s="126">
        <v>0</v>
      </c>
      <c r="R15" s="124">
        <v>0.5</v>
      </c>
      <c r="S15" s="124">
        <v>0</v>
      </c>
      <c r="T15" s="119" t="s">
        <v>98</v>
      </c>
      <c r="U15" s="119" t="b">
        <v>0</v>
      </c>
      <c r="V15" s="119">
        <v>0.03</v>
      </c>
      <c r="W15" s="119">
        <v>0.03</v>
      </c>
      <c r="X15" s="119">
        <v>0</v>
      </c>
      <c r="Y15" t="b">
        <v>0</v>
      </c>
      <c r="AC15" s="119" t="s">
        <v>92</v>
      </c>
      <c r="AD15" s="119" t="s">
        <v>35</v>
      </c>
      <c r="AE15" s="119">
        <v>15</v>
      </c>
      <c r="AF15" s="119">
        <v>2.5000000000000001E-2</v>
      </c>
      <c r="AG15" s="119">
        <v>5</v>
      </c>
      <c r="AH15" s="119">
        <v>1.2</v>
      </c>
      <c r="AI15" s="119">
        <v>0.8</v>
      </c>
      <c r="AJ15" s="119" t="s">
        <v>103</v>
      </c>
      <c r="AK15" s="119" t="b">
        <v>1</v>
      </c>
      <c r="AL15" s="119" t="s">
        <v>77</v>
      </c>
      <c r="AM15" s="119" t="s">
        <v>246</v>
      </c>
      <c r="AN15" s="119">
        <v>6.6250000000000003E-2</v>
      </c>
      <c r="AO15" s="119">
        <v>7.7200000000000005E-2</v>
      </c>
      <c r="AP15" s="127">
        <v>0.12</v>
      </c>
      <c r="AQ15" s="128">
        <v>2.5000000000000001E-2</v>
      </c>
      <c r="AR15" s="129">
        <v>123</v>
      </c>
      <c r="AS15" s="119" t="s">
        <v>31</v>
      </c>
      <c r="AT15" s="119" t="s">
        <v>31</v>
      </c>
      <c r="AU15" s="123">
        <v>0.70430136543757105</v>
      </c>
      <c r="AV15" s="123">
        <v>0.73294108984424244</v>
      </c>
      <c r="AY15" s="120">
        <v>0</v>
      </c>
      <c r="AZ15" s="119" t="b">
        <v>1</v>
      </c>
      <c r="BA15" s="119" t="b">
        <v>1</v>
      </c>
      <c r="BB15" s="119" t="b">
        <v>0</v>
      </c>
      <c r="BC15" s="119">
        <v>0</v>
      </c>
      <c r="BD15" s="119" t="s">
        <v>3</v>
      </c>
      <c r="BE15" s="119" t="b">
        <v>1</v>
      </c>
      <c r="BF15" s="130" t="b">
        <v>1</v>
      </c>
    </row>
    <row r="16" spans="1:58" s="119" customFormat="1" x14ac:dyDescent="0.25">
      <c r="A16" s="119" t="s">
        <v>173</v>
      </c>
      <c r="C16" s="119" t="b">
        <v>0</v>
      </c>
      <c r="D16" s="119" t="s">
        <v>166</v>
      </c>
      <c r="E16" s="119" t="s">
        <v>160</v>
      </c>
      <c r="F16" s="119" t="b">
        <v>0</v>
      </c>
      <c r="G16" s="119" t="s">
        <v>173</v>
      </c>
      <c r="H16" s="119" t="b">
        <v>0</v>
      </c>
      <c r="I16" s="119" t="b">
        <v>0</v>
      </c>
      <c r="J16" s="119" t="b">
        <v>0</v>
      </c>
      <c r="K16" s="119" t="b">
        <v>0</v>
      </c>
      <c r="L16" s="119" t="s">
        <v>94</v>
      </c>
      <c r="M16" s="119">
        <v>0.11</v>
      </c>
      <c r="N16" s="123">
        <f t="shared" si="0"/>
        <v>0.27272727272727271</v>
      </c>
      <c r="O16" s="124">
        <v>0.5</v>
      </c>
      <c r="P16" s="125">
        <f t="shared" si="1"/>
        <v>3.3333333333333335E-3</v>
      </c>
      <c r="Q16" s="126">
        <v>0.5</v>
      </c>
      <c r="R16" s="124">
        <v>0.5</v>
      </c>
      <c r="S16" s="124">
        <v>0</v>
      </c>
      <c r="T16" s="119" t="s">
        <v>98</v>
      </c>
      <c r="U16" s="119" t="b">
        <v>0</v>
      </c>
      <c r="V16" s="119">
        <v>0.02</v>
      </c>
      <c r="W16" s="119">
        <v>0.02</v>
      </c>
      <c r="X16" s="119">
        <v>0</v>
      </c>
      <c r="Y16" t="b">
        <v>0</v>
      </c>
      <c r="AC16" s="119" t="s">
        <v>92</v>
      </c>
      <c r="AD16" s="119" t="s">
        <v>35</v>
      </c>
      <c r="AE16" s="119">
        <v>15</v>
      </c>
      <c r="AF16" s="119">
        <v>2.5000000000000001E-2</v>
      </c>
      <c r="AG16" s="119">
        <v>5</v>
      </c>
      <c r="AH16" s="119">
        <v>1.2</v>
      </c>
      <c r="AI16" s="119">
        <v>0.8</v>
      </c>
      <c r="AJ16" s="119" t="s">
        <v>103</v>
      </c>
      <c r="AK16" s="119" t="b">
        <v>1</v>
      </c>
      <c r="AL16" s="119" t="s">
        <v>77</v>
      </c>
      <c r="AM16" s="119" t="s">
        <v>246</v>
      </c>
      <c r="AN16" s="119">
        <v>6.6250000000000003E-2</v>
      </c>
      <c r="AO16" s="119">
        <v>7.7200000000000005E-2</v>
      </c>
      <c r="AP16" s="127">
        <v>0.12</v>
      </c>
      <c r="AQ16" s="128">
        <v>2.5000000000000001E-2</v>
      </c>
      <c r="AR16" s="129">
        <v>123</v>
      </c>
      <c r="AS16" s="119" t="s">
        <v>31</v>
      </c>
      <c r="AT16" s="119" t="s">
        <v>31</v>
      </c>
      <c r="AU16" s="123">
        <v>1.0159071729957805</v>
      </c>
      <c r="AV16" s="123">
        <v>1.0442616033755274</v>
      </c>
      <c r="AY16" s="120">
        <v>0</v>
      </c>
      <c r="AZ16" s="119" t="b">
        <v>1</v>
      </c>
      <c r="BA16" s="119" t="b">
        <v>1</v>
      </c>
      <c r="BB16" s="119" t="b">
        <v>0</v>
      </c>
      <c r="BC16" s="119">
        <v>0</v>
      </c>
      <c r="BD16" s="119" t="s">
        <v>3</v>
      </c>
      <c r="BE16" s="119" t="b">
        <v>1</v>
      </c>
      <c r="BF16" s="130" t="b">
        <v>1</v>
      </c>
    </row>
    <row r="17" spans="1:58" s="159" customFormat="1" x14ac:dyDescent="0.25">
      <c r="C17" s="119"/>
      <c r="N17" s="162"/>
      <c r="O17" s="172"/>
      <c r="P17" s="173"/>
      <c r="Q17" s="174"/>
      <c r="R17" s="172"/>
      <c r="S17" s="172"/>
      <c r="Y17"/>
      <c r="AP17" s="166"/>
      <c r="AQ17" s="167"/>
      <c r="AR17" s="168"/>
      <c r="AU17" s="162"/>
      <c r="AV17" s="162"/>
      <c r="AY17" s="169"/>
      <c r="BF17" s="170"/>
    </row>
    <row r="18" spans="1:58" s="131" customFormat="1" x14ac:dyDescent="0.25">
      <c r="A18" s="271" t="s">
        <v>197</v>
      </c>
      <c r="C18" s="119" t="b">
        <v>0</v>
      </c>
      <c r="D18" s="131" t="s">
        <v>188</v>
      </c>
      <c r="E18" s="131" t="s">
        <v>158</v>
      </c>
      <c r="F18" s="131" t="b">
        <v>0</v>
      </c>
      <c r="G18" s="131" t="s">
        <v>171</v>
      </c>
      <c r="H18" s="131" t="b">
        <v>1</v>
      </c>
      <c r="I18" s="132" t="b">
        <v>1</v>
      </c>
      <c r="J18" s="131" t="b">
        <v>1</v>
      </c>
      <c r="K18" s="131" t="b">
        <v>0</v>
      </c>
      <c r="L18" s="131" t="s">
        <v>101</v>
      </c>
      <c r="M18" s="131">
        <v>0.11</v>
      </c>
      <c r="N18" s="133">
        <f t="shared" si="0"/>
        <v>0.27272727272727271</v>
      </c>
      <c r="O18" s="134">
        <v>0.5</v>
      </c>
      <c r="P18" s="135">
        <f t="shared" si="1"/>
        <v>3.3333333333333335E-3</v>
      </c>
      <c r="Q18" s="136">
        <v>0</v>
      </c>
      <c r="R18" s="134">
        <v>0.5</v>
      </c>
      <c r="S18" s="134">
        <v>0</v>
      </c>
      <c r="T18" s="131" t="s">
        <v>98</v>
      </c>
      <c r="U18" s="131" t="b">
        <v>0</v>
      </c>
      <c r="V18" s="132">
        <v>2.2499999999999999E-2</v>
      </c>
      <c r="W18" s="131">
        <v>0.03</v>
      </c>
      <c r="X18" s="131">
        <v>0</v>
      </c>
      <c r="Y18" t="b">
        <v>0</v>
      </c>
      <c r="AC18" s="131" t="s">
        <v>92</v>
      </c>
      <c r="AD18" s="131" t="s">
        <v>35</v>
      </c>
      <c r="AE18" s="131">
        <v>15</v>
      </c>
      <c r="AF18" s="131">
        <v>2.5000000000000001E-2</v>
      </c>
      <c r="AG18" s="131">
        <v>5</v>
      </c>
      <c r="AH18" s="131">
        <v>1.2</v>
      </c>
      <c r="AI18" s="131">
        <v>0.8</v>
      </c>
      <c r="AJ18" s="131" t="s">
        <v>103</v>
      </c>
      <c r="AK18" s="131" t="b">
        <v>1</v>
      </c>
      <c r="AL18" s="131" t="s">
        <v>77</v>
      </c>
      <c r="AM18" s="131" t="s">
        <v>246</v>
      </c>
      <c r="AN18" s="131">
        <v>6.6250000000000003E-2</v>
      </c>
      <c r="AO18" s="131">
        <v>7.7200000000000005E-2</v>
      </c>
      <c r="AP18" s="137">
        <v>0.12</v>
      </c>
      <c r="AQ18" s="138">
        <v>2.5000000000000001E-2</v>
      </c>
      <c r="AR18" s="139">
        <v>123</v>
      </c>
      <c r="AS18" s="131" t="s">
        <v>31</v>
      </c>
      <c r="AT18" s="131" t="s">
        <v>31</v>
      </c>
      <c r="AU18" s="140">
        <v>0.70430136543757105</v>
      </c>
      <c r="AV18" s="140">
        <v>0.73294108984424244</v>
      </c>
      <c r="AY18" s="141">
        <v>0</v>
      </c>
      <c r="AZ18" s="131" t="b">
        <v>1</v>
      </c>
      <c r="BA18" s="131" t="b">
        <v>1</v>
      </c>
      <c r="BB18" s="131" t="b">
        <v>0</v>
      </c>
      <c r="BC18" s="131">
        <v>0</v>
      </c>
      <c r="BD18" s="131" t="s">
        <v>3</v>
      </c>
      <c r="BE18" s="131" t="b">
        <v>1</v>
      </c>
      <c r="BF18" s="142" t="b">
        <v>1</v>
      </c>
    </row>
    <row r="19" spans="1:58" s="131" customFormat="1" x14ac:dyDescent="0.25">
      <c r="A19" s="131" t="s">
        <v>198</v>
      </c>
      <c r="C19" s="119" t="b">
        <v>0</v>
      </c>
      <c r="D19" s="131" t="s">
        <v>188</v>
      </c>
      <c r="E19" s="131" t="s">
        <v>160</v>
      </c>
      <c r="F19" s="131" t="b">
        <v>0</v>
      </c>
      <c r="G19" s="131" t="s">
        <v>173</v>
      </c>
      <c r="H19" s="131" t="b">
        <v>1</v>
      </c>
      <c r="I19" s="132" t="b">
        <v>1</v>
      </c>
      <c r="J19" s="131" t="b">
        <v>1</v>
      </c>
      <c r="K19" s="131" t="b">
        <v>0</v>
      </c>
      <c r="L19" s="131" t="s">
        <v>94</v>
      </c>
      <c r="M19" s="131">
        <v>0.11</v>
      </c>
      <c r="N19" s="140">
        <f t="shared" si="0"/>
        <v>0.27272727272727271</v>
      </c>
      <c r="O19" s="143">
        <v>0.5</v>
      </c>
      <c r="P19" s="144">
        <f t="shared" si="1"/>
        <v>3.3333333333333335E-3</v>
      </c>
      <c r="Q19" s="145">
        <v>0.5</v>
      </c>
      <c r="R19" s="143">
        <v>0.5</v>
      </c>
      <c r="S19" s="143">
        <v>0</v>
      </c>
      <c r="T19" s="131" t="s">
        <v>98</v>
      </c>
      <c r="U19" s="131" t="b">
        <v>0</v>
      </c>
      <c r="V19" s="132">
        <v>0.02</v>
      </c>
      <c r="W19" s="131">
        <v>0.02</v>
      </c>
      <c r="X19" s="131">
        <v>0</v>
      </c>
      <c r="Y19" t="b">
        <v>0</v>
      </c>
      <c r="AC19" s="131" t="s">
        <v>92</v>
      </c>
      <c r="AD19" s="131" t="s">
        <v>35</v>
      </c>
      <c r="AE19" s="131">
        <v>15</v>
      </c>
      <c r="AF19" s="131">
        <v>2.5000000000000001E-2</v>
      </c>
      <c r="AG19" s="131">
        <v>5</v>
      </c>
      <c r="AH19" s="131">
        <v>1.2</v>
      </c>
      <c r="AI19" s="131">
        <v>0.8</v>
      </c>
      <c r="AJ19" s="131" t="s">
        <v>103</v>
      </c>
      <c r="AK19" s="131" t="b">
        <v>1</v>
      </c>
      <c r="AL19" s="131" t="s">
        <v>77</v>
      </c>
      <c r="AM19" s="131" t="s">
        <v>246</v>
      </c>
      <c r="AN19" s="131">
        <v>6.6250000000000003E-2</v>
      </c>
      <c r="AO19" s="131">
        <v>7.7200000000000005E-2</v>
      </c>
      <c r="AP19" s="137">
        <v>0.12</v>
      </c>
      <c r="AQ19" s="138">
        <v>2.5000000000000001E-2</v>
      </c>
      <c r="AR19" s="139">
        <v>123</v>
      </c>
      <c r="AS19" s="131" t="s">
        <v>31</v>
      </c>
      <c r="AT19" s="131" t="s">
        <v>31</v>
      </c>
      <c r="AU19" s="140">
        <v>1.0159071729957805</v>
      </c>
      <c r="AV19" s="140">
        <v>1.0442616033755274</v>
      </c>
      <c r="AY19" s="141">
        <v>0</v>
      </c>
      <c r="AZ19" s="131" t="b">
        <v>1</v>
      </c>
      <c r="BA19" s="131" t="b">
        <v>1</v>
      </c>
      <c r="BB19" s="131" t="b">
        <v>0</v>
      </c>
      <c r="BC19" s="131">
        <v>0</v>
      </c>
      <c r="BD19" s="131" t="s">
        <v>3</v>
      </c>
      <c r="BE19" s="131" t="b">
        <v>1</v>
      </c>
      <c r="BF19" s="142" t="b">
        <v>1</v>
      </c>
    </row>
    <row r="20" spans="1:58" s="131" customFormat="1" x14ac:dyDescent="0.25">
      <c r="C20" s="119"/>
      <c r="N20" s="140"/>
      <c r="O20" s="134"/>
      <c r="P20" s="135"/>
      <c r="Q20" s="136"/>
      <c r="R20" s="134"/>
      <c r="S20" s="134"/>
      <c r="Y20" t="b">
        <v>0</v>
      </c>
      <c r="AP20" s="137"/>
      <c r="AQ20" s="138"/>
      <c r="AR20" s="139"/>
      <c r="AU20" s="140"/>
      <c r="AV20" s="140"/>
      <c r="AY20" s="141"/>
      <c r="BF20" s="142"/>
    </row>
    <row r="21" spans="1:58" x14ac:dyDescent="0.25">
      <c r="C21" s="119"/>
      <c r="N21" s="20"/>
      <c r="O21" s="32"/>
      <c r="P21" s="4"/>
      <c r="Q21" s="116"/>
      <c r="R21" s="32"/>
      <c r="S21" s="32"/>
      <c r="AP21" s="3"/>
      <c r="AQ21" s="5"/>
      <c r="AR21" s="22"/>
      <c r="AU21" s="20"/>
      <c r="AV21" s="20"/>
      <c r="AY21" s="27"/>
      <c r="BF21" s="19"/>
    </row>
    <row r="22" spans="1:58" s="146" customFormat="1" x14ac:dyDescent="0.25">
      <c r="A22" s="146" t="s">
        <v>225</v>
      </c>
      <c r="C22" s="119" t="b">
        <v>0</v>
      </c>
      <c r="D22" s="146" t="s">
        <v>227</v>
      </c>
      <c r="E22" s="146" t="s">
        <v>158</v>
      </c>
      <c r="F22" s="146" t="b">
        <v>0</v>
      </c>
      <c r="G22" s="146" t="s">
        <v>171</v>
      </c>
      <c r="H22" s="146" t="b">
        <v>1</v>
      </c>
      <c r="I22" s="147" t="b">
        <v>0</v>
      </c>
      <c r="J22" s="146" t="b">
        <v>1</v>
      </c>
      <c r="K22" s="119" t="b">
        <v>0</v>
      </c>
      <c r="L22" s="148" t="s">
        <v>94</v>
      </c>
      <c r="M22" s="146">
        <v>0.11</v>
      </c>
      <c r="N22" s="149">
        <f t="shared" si="0"/>
        <v>0.27272727272727271</v>
      </c>
      <c r="O22" s="150">
        <v>0.5</v>
      </c>
      <c r="P22" s="151">
        <f t="shared" si="1"/>
        <v>3.3333333333333335E-3</v>
      </c>
      <c r="Q22" s="152">
        <v>0</v>
      </c>
      <c r="R22" s="150">
        <v>0.5</v>
      </c>
      <c r="S22" s="150">
        <v>0</v>
      </c>
      <c r="T22" s="146" t="s">
        <v>98</v>
      </c>
      <c r="U22" s="147" t="b">
        <v>1</v>
      </c>
      <c r="V22" s="147">
        <v>0</v>
      </c>
      <c r="W22" s="146">
        <v>0.03</v>
      </c>
      <c r="X22" s="146">
        <v>0</v>
      </c>
      <c r="Y22" t="b">
        <v>0</v>
      </c>
      <c r="AC22" s="146" t="s">
        <v>92</v>
      </c>
      <c r="AD22" s="146" t="s">
        <v>35</v>
      </c>
      <c r="AE22" s="146">
        <v>15</v>
      </c>
      <c r="AF22" s="146">
        <v>2.5000000000000001E-2</v>
      </c>
      <c r="AG22" s="146">
        <v>5</v>
      </c>
      <c r="AH22" s="146">
        <v>1.2</v>
      </c>
      <c r="AI22" s="146">
        <v>0.8</v>
      </c>
      <c r="AJ22" s="146" t="s">
        <v>103</v>
      </c>
      <c r="AK22" s="146" t="b">
        <v>1</v>
      </c>
      <c r="AL22" s="146" t="s">
        <v>77</v>
      </c>
      <c r="AM22" s="146" t="s">
        <v>246</v>
      </c>
      <c r="AN22" s="146">
        <v>6.6250000000000003E-2</v>
      </c>
      <c r="AO22" s="146">
        <v>7.7200000000000005E-2</v>
      </c>
      <c r="AP22" s="153">
        <v>0.12</v>
      </c>
      <c r="AQ22" s="154">
        <v>2.5000000000000001E-2</v>
      </c>
      <c r="AR22" s="155">
        <v>123</v>
      </c>
      <c r="AS22" s="146" t="s">
        <v>31</v>
      </c>
      <c r="AT22" s="146" t="s">
        <v>31</v>
      </c>
      <c r="AU22" s="149">
        <v>0.70430136543757105</v>
      </c>
      <c r="AV22" s="149">
        <v>0.73294108984424244</v>
      </c>
      <c r="AY22" s="156">
        <v>0</v>
      </c>
      <c r="AZ22" s="146" t="b">
        <v>1</v>
      </c>
      <c r="BA22" s="146" t="b">
        <v>1</v>
      </c>
      <c r="BB22" s="146" t="b">
        <v>0</v>
      </c>
      <c r="BC22" s="146">
        <v>0</v>
      </c>
      <c r="BD22" s="146" t="s">
        <v>3</v>
      </c>
      <c r="BE22" s="146" t="b">
        <v>1</v>
      </c>
      <c r="BF22" s="157" t="b">
        <v>1</v>
      </c>
    </row>
    <row r="23" spans="1:58" s="146" customFormat="1" x14ac:dyDescent="0.25">
      <c r="A23" s="146" t="s">
        <v>226</v>
      </c>
      <c r="C23" s="119" t="b">
        <v>0</v>
      </c>
      <c r="D23" s="146" t="s">
        <v>227</v>
      </c>
      <c r="E23" s="146" t="s">
        <v>160</v>
      </c>
      <c r="F23" s="146" t="b">
        <v>0</v>
      </c>
      <c r="G23" s="146" t="s">
        <v>173</v>
      </c>
      <c r="H23" s="146" t="b">
        <v>1</v>
      </c>
      <c r="I23" s="147" t="b">
        <v>0</v>
      </c>
      <c r="J23" s="146" t="b">
        <v>1</v>
      </c>
      <c r="K23" s="119" t="b">
        <v>0</v>
      </c>
      <c r="L23" s="147" t="s">
        <v>94</v>
      </c>
      <c r="M23" s="146">
        <v>0.11</v>
      </c>
      <c r="N23" s="149">
        <f t="shared" si="0"/>
        <v>0.27272727272727271</v>
      </c>
      <c r="O23" s="150">
        <v>0.5</v>
      </c>
      <c r="P23" s="151">
        <f t="shared" si="1"/>
        <v>3.3333333333333335E-3</v>
      </c>
      <c r="Q23" s="158">
        <v>0.5</v>
      </c>
      <c r="R23" s="150">
        <v>0.5</v>
      </c>
      <c r="S23" s="150">
        <v>0</v>
      </c>
      <c r="T23" s="146" t="s">
        <v>98</v>
      </c>
      <c r="U23" s="147" t="b">
        <v>1</v>
      </c>
      <c r="V23" s="147">
        <v>0</v>
      </c>
      <c r="W23" s="146">
        <v>0.02</v>
      </c>
      <c r="X23" s="146">
        <v>0</v>
      </c>
      <c r="Y23" t="b">
        <v>0</v>
      </c>
      <c r="AC23" s="146" t="s">
        <v>92</v>
      </c>
      <c r="AD23" s="146" t="s">
        <v>35</v>
      </c>
      <c r="AE23" s="146">
        <v>15</v>
      </c>
      <c r="AF23" s="146">
        <v>2.5000000000000001E-2</v>
      </c>
      <c r="AG23" s="146">
        <v>5</v>
      </c>
      <c r="AH23" s="146">
        <v>1.2</v>
      </c>
      <c r="AI23" s="146">
        <v>0.8</v>
      </c>
      <c r="AJ23" s="146" t="s">
        <v>103</v>
      </c>
      <c r="AK23" s="146" t="b">
        <v>1</v>
      </c>
      <c r="AL23" s="146" t="s">
        <v>77</v>
      </c>
      <c r="AM23" s="146" t="s">
        <v>246</v>
      </c>
      <c r="AN23" s="146">
        <v>6.6250000000000003E-2</v>
      </c>
      <c r="AO23" s="146">
        <v>7.7200000000000005E-2</v>
      </c>
      <c r="AP23" s="153">
        <v>0.12</v>
      </c>
      <c r="AQ23" s="154">
        <v>2.5000000000000001E-2</v>
      </c>
      <c r="AR23" s="155">
        <v>123</v>
      </c>
      <c r="AS23" s="146" t="s">
        <v>31</v>
      </c>
      <c r="AT23" s="146" t="s">
        <v>31</v>
      </c>
      <c r="AU23" s="149">
        <v>1.0159071729957805</v>
      </c>
      <c r="AV23" s="149">
        <v>1.0442616033755274</v>
      </c>
      <c r="AY23" s="156">
        <v>0</v>
      </c>
      <c r="AZ23" s="146" t="b">
        <v>1</v>
      </c>
      <c r="BA23" s="146" t="b">
        <v>1</v>
      </c>
      <c r="BB23" s="146" t="b">
        <v>0</v>
      </c>
      <c r="BC23" s="146">
        <v>0</v>
      </c>
      <c r="BD23" s="146" t="s">
        <v>3</v>
      </c>
      <c r="BE23" s="146" t="b">
        <v>1</v>
      </c>
      <c r="BF23" s="157" t="b">
        <v>1</v>
      </c>
    </row>
    <row r="24" spans="1:58" x14ac:dyDescent="0.25">
      <c r="C24" s="119"/>
    </row>
    <row r="25" spans="1:58" s="253" customFormat="1" x14ac:dyDescent="0.25">
      <c r="A25" s="253" t="s">
        <v>387</v>
      </c>
      <c r="C25" s="119" t="b">
        <v>0</v>
      </c>
      <c r="D25" s="253" t="s">
        <v>188</v>
      </c>
      <c r="E25" s="253" t="s">
        <v>158</v>
      </c>
      <c r="F25" s="253" t="b">
        <v>0</v>
      </c>
      <c r="G25" s="253" t="s">
        <v>171</v>
      </c>
      <c r="H25" s="253" t="b">
        <v>1</v>
      </c>
      <c r="I25" s="254" t="b">
        <v>1</v>
      </c>
      <c r="J25" s="253" t="b">
        <v>1</v>
      </c>
      <c r="K25" s="253" t="b">
        <v>0</v>
      </c>
      <c r="L25" s="255" t="s">
        <v>94</v>
      </c>
      <c r="M25" s="253">
        <v>0.11</v>
      </c>
      <c r="N25" s="256">
        <f t="shared" si="0"/>
        <v>0.27272727272727271</v>
      </c>
      <c r="O25" s="257">
        <v>0.5</v>
      </c>
      <c r="P25" s="258">
        <f t="shared" si="1"/>
        <v>3.3333333333333335E-3</v>
      </c>
      <c r="Q25" s="259">
        <v>0</v>
      </c>
      <c r="R25" s="257">
        <v>0.5</v>
      </c>
      <c r="S25" s="257">
        <v>0</v>
      </c>
      <c r="T25" s="253" t="s">
        <v>98</v>
      </c>
      <c r="U25" s="254" t="b">
        <v>1</v>
      </c>
      <c r="V25" s="254">
        <v>0</v>
      </c>
      <c r="W25" s="254">
        <v>2.2499999999999999E-2</v>
      </c>
      <c r="X25" s="253">
        <v>0</v>
      </c>
      <c r="Y25" s="253" t="b">
        <v>0</v>
      </c>
      <c r="AC25" s="253" t="s">
        <v>92</v>
      </c>
      <c r="AD25" s="253" t="s">
        <v>35</v>
      </c>
      <c r="AE25" s="253">
        <v>15</v>
      </c>
      <c r="AF25" s="253">
        <v>2.5000000000000001E-2</v>
      </c>
      <c r="AG25" s="253">
        <v>5</v>
      </c>
      <c r="AH25" s="253">
        <v>1.2</v>
      </c>
      <c r="AI25" s="253">
        <v>0.8</v>
      </c>
      <c r="AJ25" s="253" t="s">
        <v>103</v>
      </c>
      <c r="AK25" s="253" t="b">
        <v>1</v>
      </c>
      <c r="AL25" s="253" t="s">
        <v>77</v>
      </c>
      <c r="AM25" s="253" t="s">
        <v>246</v>
      </c>
      <c r="AN25" s="253">
        <v>6.6250000000000003E-2</v>
      </c>
      <c r="AO25" s="253">
        <v>7.7200000000000005E-2</v>
      </c>
      <c r="AP25" s="260">
        <v>0.12</v>
      </c>
      <c r="AQ25" s="261">
        <v>2.5000000000000001E-2</v>
      </c>
      <c r="AR25" s="262">
        <v>123</v>
      </c>
      <c r="AS25" s="253" t="s">
        <v>31</v>
      </c>
      <c r="AT25" s="253" t="s">
        <v>31</v>
      </c>
      <c r="AU25" s="256">
        <v>0.70430136543757105</v>
      </c>
      <c r="AV25" s="256">
        <v>0.73294108984424244</v>
      </c>
      <c r="AY25" s="263">
        <v>0</v>
      </c>
      <c r="AZ25" s="253" t="b">
        <v>1</v>
      </c>
      <c r="BA25" s="253" t="b">
        <v>1</v>
      </c>
      <c r="BB25" s="253" t="b">
        <v>0</v>
      </c>
      <c r="BC25" s="253">
        <v>0</v>
      </c>
      <c r="BD25" s="253" t="s">
        <v>3</v>
      </c>
      <c r="BE25" s="253" t="b">
        <v>1</v>
      </c>
      <c r="BF25" s="264" t="b">
        <v>1</v>
      </c>
    </row>
    <row r="26" spans="1:58" s="253" customFormat="1" x14ac:dyDescent="0.25">
      <c r="A26" s="253" t="s">
        <v>388</v>
      </c>
      <c r="C26" s="119" t="b">
        <v>0</v>
      </c>
      <c r="D26" s="253" t="s">
        <v>188</v>
      </c>
      <c r="E26" s="253" t="s">
        <v>160</v>
      </c>
      <c r="F26" s="253" t="b">
        <v>0</v>
      </c>
      <c r="G26" s="253" t="s">
        <v>173</v>
      </c>
      <c r="H26" s="253" t="b">
        <v>1</v>
      </c>
      <c r="I26" s="254" t="b">
        <v>1</v>
      </c>
      <c r="J26" s="253" t="b">
        <v>1</v>
      </c>
      <c r="K26" s="253" t="b">
        <v>0</v>
      </c>
      <c r="L26" s="254" t="s">
        <v>94</v>
      </c>
      <c r="M26" s="253">
        <v>0.11</v>
      </c>
      <c r="N26" s="256">
        <f t="shared" si="0"/>
        <v>0.27272727272727271</v>
      </c>
      <c r="O26" s="257">
        <v>0.5</v>
      </c>
      <c r="P26" s="258">
        <f t="shared" si="1"/>
        <v>3.3333333333333335E-3</v>
      </c>
      <c r="Q26" s="265">
        <v>0.5</v>
      </c>
      <c r="R26" s="257">
        <v>0.5</v>
      </c>
      <c r="S26" s="257">
        <v>0</v>
      </c>
      <c r="T26" s="253" t="s">
        <v>98</v>
      </c>
      <c r="U26" s="254" t="b">
        <v>1</v>
      </c>
      <c r="V26" s="254">
        <v>0</v>
      </c>
      <c r="W26" s="254">
        <v>0.02</v>
      </c>
      <c r="X26" s="253">
        <v>0</v>
      </c>
      <c r="Y26" s="253" t="b">
        <v>0</v>
      </c>
      <c r="AC26" s="253" t="s">
        <v>92</v>
      </c>
      <c r="AD26" s="253" t="s">
        <v>35</v>
      </c>
      <c r="AE26" s="253">
        <v>15</v>
      </c>
      <c r="AF26" s="253">
        <v>2.5000000000000001E-2</v>
      </c>
      <c r="AG26" s="253">
        <v>5</v>
      </c>
      <c r="AH26" s="253">
        <v>1.2</v>
      </c>
      <c r="AI26" s="253">
        <v>0.8</v>
      </c>
      <c r="AJ26" s="253" t="s">
        <v>103</v>
      </c>
      <c r="AK26" s="253" t="b">
        <v>1</v>
      </c>
      <c r="AL26" s="253" t="s">
        <v>77</v>
      </c>
      <c r="AM26" s="253" t="s">
        <v>246</v>
      </c>
      <c r="AN26" s="253">
        <v>6.6250000000000003E-2</v>
      </c>
      <c r="AO26" s="253">
        <v>7.7200000000000005E-2</v>
      </c>
      <c r="AP26" s="260">
        <v>0.12</v>
      </c>
      <c r="AQ26" s="261">
        <v>2.5000000000000001E-2</v>
      </c>
      <c r="AR26" s="262">
        <v>123</v>
      </c>
      <c r="AS26" s="253" t="s">
        <v>31</v>
      </c>
      <c r="AT26" s="253" t="s">
        <v>31</v>
      </c>
      <c r="AU26" s="256">
        <v>1.0159071729957805</v>
      </c>
      <c r="AV26" s="256">
        <v>1.0442616033755274</v>
      </c>
      <c r="AY26" s="263">
        <v>0</v>
      </c>
      <c r="AZ26" s="253" t="b">
        <v>1</v>
      </c>
      <c r="BA26" s="253" t="b">
        <v>1</v>
      </c>
      <c r="BB26" s="253" t="b">
        <v>0</v>
      </c>
      <c r="BC26" s="253">
        <v>0</v>
      </c>
      <c r="BD26" s="253" t="s">
        <v>3</v>
      </c>
      <c r="BE26" s="253" t="b">
        <v>1</v>
      </c>
      <c r="BF26" s="264" t="b">
        <v>1</v>
      </c>
    </row>
    <row r="27" spans="1:58" x14ac:dyDescent="0.25">
      <c r="C27" s="119"/>
    </row>
    <row r="28" spans="1:58" x14ac:dyDescent="0.25">
      <c r="C28" s="119"/>
      <c r="N28" s="20"/>
      <c r="O28" s="32"/>
      <c r="P28" s="4"/>
      <c r="Q28" s="116"/>
      <c r="R28" s="32"/>
      <c r="S28" s="32"/>
      <c r="AP28" s="3"/>
      <c r="AQ28" s="5"/>
      <c r="AR28" s="22"/>
      <c r="AU28" s="20"/>
      <c r="AV28" s="20"/>
      <c r="AY28" s="27"/>
      <c r="BF28" s="19"/>
    </row>
    <row r="29" spans="1:58" s="119" customFormat="1" x14ac:dyDescent="0.25">
      <c r="H29" s="121"/>
      <c r="I29" s="121"/>
      <c r="J29" s="121"/>
      <c r="N29" s="123"/>
      <c r="O29" s="124"/>
      <c r="P29" s="125"/>
      <c r="Q29" s="126"/>
      <c r="R29" s="124"/>
      <c r="S29" s="124"/>
      <c r="Y29"/>
      <c r="AP29" s="127"/>
      <c r="AQ29" s="128"/>
      <c r="AR29" s="129"/>
      <c r="AU29" s="123"/>
      <c r="AV29" s="123"/>
      <c r="AY29" s="120"/>
      <c r="BF29" s="130"/>
    </row>
    <row r="30" spans="1:58" s="131" customFormat="1" x14ac:dyDescent="0.25">
      <c r="A30" s="271" t="s">
        <v>403</v>
      </c>
      <c r="C30" s="119" t="b">
        <v>0</v>
      </c>
      <c r="D30" s="131" t="s">
        <v>402</v>
      </c>
      <c r="E30" s="131" t="s">
        <v>400</v>
      </c>
      <c r="F30" s="131" t="b">
        <v>0</v>
      </c>
      <c r="G30" s="131" t="s">
        <v>171</v>
      </c>
      <c r="H30" s="131" t="b">
        <v>1</v>
      </c>
      <c r="I30" s="132" t="b">
        <v>1</v>
      </c>
      <c r="J30" s="131" t="b">
        <v>1</v>
      </c>
      <c r="K30" s="131" t="b">
        <v>0</v>
      </c>
      <c r="L30" s="131" t="s">
        <v>101</v>
      </c>
      <c r="M30" s="131">
        <v>0.11</v>
      </c>
      <c r="N30" s="133">
        <f t="shared" si="0"/>
        <v>0.27272727272727271</v>
      </c>
      <c r="O30" s="134">
        <v>0.5</v>
      </c>
      <c r="P30" s="135">
        <f t="shared" si="1"/>
        <v>3.3333333333333335E-3</v>
      </c>
      <c r="Q30" s="136">
        <v>0</v>
      </c>
      <c r="R30" s="134">
        <v>0.5</v>
      </c>
      <c r="S30" s="134">
        <v>0</v>
      </c>
      <c r="T30" s="131" t="s">
        <v>98</v>
      </c>
      <c r="U30" s="131" t="b">
        <v>0</v>
      </c>
      <c r="V30" s="132">
        <v>2.2499999999999999E-2</v>
      </c>
      <c r="W30" s="131">
        <v>0.03</v>
      </c>
      <c r="X30" s="131">
        <v>0</v>
      </c>
      <c r="Y30" t="b">
        <v>0</v>
      </c>
      <c r="AC30" s="131" t="s">
        <v>92</v>
      </c>
      <c r="AD30" s="131" t="s">
        <v>35</v>
      </c>
      <c r="AE30" s="131">
        <v>15</v>
      </c>
      <c r="AF30" s="131">
        <v>2.5000000000000001E-2</v>
      </c>
      <c r="AG30" s="131">
        <v>5</v>
      </c>
      <c r="AH30" s="131">
        <v>1.2</v>
      </c>
      <c r="AI30" s="131">
        <v>0.8</v>
      </c>
      <c r="AJ30" s="131" t="s">
        <v>103</v>
      </c>
      <c r="AK30" s="131" t="b">
        <v>1</v>
      </c>
      <c r="AL30" s="131" t="s">
        <v>77</v>
      </c>
      <c r="AM30" s="131" t="s">
        <v>246</v>
      </c>
      <c r="AN30" s="131">
        <v>6.6250000000000003E-2</v>
      </c>
      <c r="AO30" s="131">
        <v>7.7200000000000005E-2</v>
      </c>
      <c r="AP30" s="137">
        <v>0.12</v>
      </c>
      <c r="AQ30" s="138">
        <v>2.5000000000000001E-2</v>
      </c>
      <c r="AR30" s="139">
        <v>123</v>
      </c>
      <c r="AS30" s="131" t="s">
        <v>31</v>
      </c>
      <c r="AT30" s="131" t="s">
        <v>31</v>
      </c>
      <c r="AU30" s="140">
        <v>0.70430136543757105</v>
      </c>
      <c r="AV30" s="140">
        <v>0.73294108984424244</v>
      </c>
      <c r="AY30" s="141">
        <v>0</v>
      </c>
      <c r="AZ30" s="131" t="b">
        <v>1</v>
      </c>
      <c r="BA30" s="131" t="b">
        <v>1</v>
      </c>
      <c r="BB30" s="131" t="b">
        <v>0</v>
      </c>
      <c r="BC30" s="131">
        <v>0</v>
      </c>
      <c r="BD30" s="131" t="s">
        <v>3</v>
      </c>
      <c r="BE30" s="131" t="b">
        <v>1</v>
      </c>
      <c r="BF30" s="142" t="b">
        <v>1</v>
      </c>
    </row>
    <row r="31" spans="1:58" s="131" customFormat="1" x14ac:dyDescent="0.25">
      <c r="A31" s="131" t="s">
        <v>404</v>
      </c>
      <c r="C31" s="119" t="b">
        <v>0</v>
      </c>
      <c r="D31" s="131" t="s">
        <v>402</v>
      </c>
      <c r="E31" s="131" t="s">
        <v>401</v>
      </c>
      <c r="F31" s="131" t="b">
        <v>0</v>
      </c>
      <c r="G31" s="131" t="s">
        <v>173</v>
      </c>
      <c r="H31" s="131" t="b">
        <v>1</v>
      </c>
      <c r="I31" s="132" t="b">
        <v>1</v>
      </c>
      <c r="J31" s="131" t="b">
        <v>1</v>
      </c>
      <c r="K31" s="131" t="b">
        <v>0</v>
      </c>
      <c r="L31" s="131" t="s">
        <v>94</v>
      </c>
      <c r="M31" s="131">
        <v>0.11</v>
      </c>
      <c r="N31" s="140">
        <f t="shared" si="0"/>
        <v>0.27272727272727271</v>
      </c>
      <c r="O31" s="143">
        <v>0.5</v>
      </c>
      <c r="P31" s="144">
        <f t="shared" si="1"/>
        <v>3.3333333333333335E-3</v>
      </c>
      <c r="Q31" s="145">
        <v>0.5</v>
      </c>
      <c r="R31" s="143">
        <v>0.5</v>
      </c>
      <c r="S31" s="143">
        <v>0</v>
      </c>
      <c r="T31" s="131" t="s">
        <v>98</v>
      </c>
      <c r="U31" s="131" t="b">
        <v>0</v>
      </c>
      <c r="V31" s="132">
        <v>0.02</v>
      </c>
      <c r="W31" s="131">
        <v>0.02</v>
      </c>
      <c r="X31" s="131">
        <v>0</v>
      </c>
      <c r="Y31" t="b">
        <v>0</v>
      </c>
      <c r="AC31" s="131" t="s">
        <v>92</v>
      </c>
      <c r="AD31" s="131" t="s">
        <v>35</v>
      </c>
      <c r="AE31" s="131">
        <v>15</v>
      </c>
      <c r="AF31" s="131">
        <v>2.5000000000000001E-2</v>
      </c>
      <c r="AG31" s="131">
        <v>5</v>
      </c>
      <c r="AH31" s="131">
        <v>1.2</v>
      </c>
      <c r="AI31" s="131">
        <v>0.8</v>
      </c>
      <c r="AJ31" s="131" t="s">
        <v>103</v>
      </c>
      <c r="AK31" s="131" t="b">
        <v>1</v>
      </c>
      <c r="AL31" s="131" t="s">
        <v>77</v>
      </c>
      <c r="AM31" s="131" t="s">
        <v>246</v>
      </c>
      <c r="AN31" s="131">
        <v>6.6250000000000003E-2</v>
      </c>
      <c r="AO31" s="131">
        <v>7.7200000000000005E-2</v>
      </c>
      <c r="AP31" s="137">
        <v>0.12</v>
      </c>
      <c r="AQ31" s="138">
        <v>2.5000000000000001E-2</v>
      </c>
      <c r="AR31" s="139">
        <v>123</v>
      </c>
      <c r="AS31" s="131" t="s">
        <v>31</v>
      </c>
      <c r="AT31" s="131" t="s">
        <v>31</v>
      </c>
      <c r="AU31" s="140">
        <v>1.0159071729957805</v>
      </c>
      <c r="AV31" s="140">
        <v>1.0442616033755274</v>
      </c>
      <c r="AY31" s="141">
        <v>0</v>
      </c>
      <c r="AZ31" s="131" t="b">
        <v>1</v>
      </c>
      <c r="BA31" s="131" t="b">
        <v>1</v>
      </c>
      <c r="BB31" s="131" t="b">
        <v>0</v>
      </c>
      <c r="BC31" s="131">
        <v>0</v>
      </c>
      <c r="BD31" s="131" t="s">
        <v>3</v>
      </c>
      <c r="BE31" s="131" t="b">
        <v>1</v>
      </c>
      <c r="BF31" s="142" t="b">
        <v>1</v>
      </c>
    </row>
    <row r="32" spans="1:58" x14ac:dyDescent="0.25">
      <c r="C32" s="119"/>
      <c r="N32" s="20"/>
      <c r="O32" s="32"/>
      <c r="P32" s="4"/>
      <c r="Q32" s="116"/>
      <c r="R32" s="32"/>
      <c r="S32" s="32"/>
      <c r="AP32" s="3"/>
      <c r="AQ32" s="5"/>
      <c r="AR32" s="22"/>
      <c r="AU32" s="20"/>
      <c r="AV32" s="20"/>
      <c r="AY32" s="27"/>
      <c r="BF32" s="19"/>
    </row>
    <row r="33" spans="1:58" x14ac:dyDescent="0.25">
      <c r="C33" s="119"/>
      <c r="N33" s="20"/>
      <c r="O33" s="32"/>
      <c r="P33" s="4"/>
      <c r="Q33" s="116"/>
      <c r="R33" s="32"/>
      <c r="S33" s="32"/>
      <c r="AP33" s="3"/>
      <c r="AQ33" s="5"/>
      <c r="AR33" s="22"/>
      <c r="AU33" s="20"/>
      <c r="AV33" s="20"/>
      <c r="AY33" s="27"/>
      <c r="BF33" s="19"/>
    </row>
    <row r="34" spans="1:58" s="119" customFormat="1" x14ac:dyDescent="0.25">
      <c r="A34" s="119" t="s">
        <v>301</v>
      </c>
      <c r="C34" s="119" t="b">
        <v>0</v>
      </c>
      <c r="D34" s="119" t="s">
        <v>297</v>
      </c>
      <c r="E34" s="119" t="s">
        <v>245</v>
      </c>
      <c r="F34" s="119" t="b">
        <v>0</v>
      </c>
      <c r="G34" s="119" t="s">
        <v>301</v>
      </c>
      <c r="H34" s="119" t="b">
        <v>0</v>
      </c>
      <c r="I34" s="119" t="b">
        <v>0</v>
      </c>
      <c r="J34" s="119" t="b">
        <v>0</v>
      </c>
      <c r="K34" s="119" t="b">
        <v>0</v>
      </c>
      <c r="L34" s="119" t="s">
        <v>101</v>
      </c>
      <c r="M34" s="119">
        <v>0.11</v>
      </c>
      <c r="N34" s="123">
        <f t="shared" si="0"/>
        <v>0.27272727272727271</v>
      </c>
      <c r="O34" s="124">
        <v>0.5</v>
      </c>
      <c r="P34" s="125">
        <f t="shared" si="1"/>
        <v>3.3333333333333335E-3</v>
      </c>
      <c r="Q34" s="126">
        <v>0</v>
      </c>
      <c r="R34" s="124">
        <v>0.5</v>
      </c>
      <c r="S34" s="124">
        <v>0</v>
      </c>
      <c r="T34" s="119" t="s">
        <v>98</v>
      </c>
      <c r="U34" s="119" t="b">
        <v>0</v>
      </c>
      <c r="V34" s="119">
        <v>0.03</v>
      </c>
      <c r="W34" s="119">
        <v>0.03</v>
      </c>
      <c r="X34" s="119">
        <v>0</v>
      </c>
      <c r="Y34" t="b">
        <v>0</v>
      </c>
      <c r="AC34" s="119" t="s">
        <v>92</v>
      </c>
      <c r="AD34" s="119" t="s">
        <v>35</v>
      </c>
      <c r="AE34" s="119">
        <v>20</v>
      </c>
      <c r="AF34" s="119">
        <v>2.75E-2</v>
      </c>
      <c r="AG34" s="119">
        <v>5</v>
      </c>
      <c r="AH34" s="119">
        <v>1.2</v>
      </c>
      <c r="AI34" s="119">
        <v>0.8</v>
      </c>
      <c r="AJ34" s="119" t="s">
        <v>103</v>
      </c>
      <c r="AK34" s="119" t="b">
        <v>1</v>
      </c>
      <c r="AL34" s="119" t="s">
        <v>77</v>
      </c>
      <c r="AM34" s="119" t="s">
        <v>246</v>
      </c>
      <c r="AN34" s="119">
        <v>6.6250000000000003E-2</v>
      </c>
      <c r="AO34" s="119">
        <v>7.7200000000000005E-2</v>
      </c>
      <c r="AP34" s="127">
        <v>0.12</v>
      </c>
      <c r="AQ34" s="128">
        <v>2.5000000000000001E-2</v>
      </c>
      <c r="AR34" s="129">
        <v>123</v>
      </c>
      <c r="AS34" s="119" t="s">
        <v>31</v>
      </c>
      <c r="AT34" s="119" t="s">
        <v>31</v>
      </c>
      <c r="AU34" s="123">
        <v>0.49181956819187989</v>
      </c>
      <c r="AV34" s="123">
        <v>0.51298615267558034</v>
      </c>
      <c r="AY34" s="120">
        <v>0</v>
      </c>
      <c r="AZ34" s="119" t="b">
        <v>1</v>
      </c>
      <c r="BA34" s="119" t="b">
        <v>1</v>
      </c>
      <c r="BB34" s="119" t="b">
        <v>0</v>
      </c>
      <c r="BC34" s="119">
        <v>0</v>
      </c>
      <c r="BD34" s="119" t="s">
        <v>3</v>
      </c>
      <c r="BE34" s="119" t="b">
        <v>1</v>
      </c>
      <c r="BF34" s="130" t="b">
        <v>1</v>
      </c>
    </row>
    <row r="35" spans="1:58" s="119" customFormat="1" x14ac:dyDescent="0.25">
      <c r="A35" s="119" t="s">
        <v>302</v>
      </c>
      <c r="C35" s="119" t="b">
        <v>0</v>
      </c>
      <c r="D35" s="119" t="s">
        <v>297</v>
      </c>
      <c r="E35" s="119" t="s">
        <v>247</v>
      </c>
      <c r="F35" s="119" t="b">
        <v>0</v>
      </c>
      <c r="G35" s="119" t="s">
        <v>302</v>
      </c>
      <c r="H35" s="119" t="b">
        <v>0</v>
      </c>
      <c r="I35" s="119" t="b">
        <v>0</v>
      </c>
      <c r="J35" s="119" t="b">
        <v>0</v>
      </c>
      <c r="K35" s="119" t="b">
        <v>0</v>
      </c>
      <c r="L35" s="119" t="s">
        <v>94</v>
      </c>
      <c r="M35" s="119">
        <v>0.11</v>
      </c>
      <c r="N35" s="123">
        <f t="shared" si="0"/>
        <v>0.27272727272727271</v>
      </c>
      <c r="O35" s="124">
        <v>0.5</v>
      </c>
      <c r="P35" s="125">
        <f t="shared" si="1"/>
        <v>3.3333333333333335E-3</v>
      </c>
      <c r="Q35" s="126">
        <v>0.5</v>
      </c>
      <c r="R35" s="124">
        <v>0.5</v>
      </c>
      <c r="S35" s="124">
        <v>0.5</v>
      </c>
      <c r="T35" s="119" t="s">
        <v>98</v>
      </c>
      <c r="U35" s="119" t="b">
        <v>0</v>
      </c>
      <c r="V35" s="119">
        <v>1.7500000000000002E-2</v>
      </c>
      <c r="W35" s="119">
        <v>1.7500000000000002E-2</v>
      </c>
      <c r="X35" s="119">
        <v>0</v>
      </c>
      <c r="Y35" t="b">
        <v>0</v>
      </c>
      <c r="AC35" s="119" t="s">
        <v>92</v>
      </c>
      <c r="AD35" s="119" t="s">
        <v>35</v>
      </c>
      <c r="AE35" s="119">
        <v>10</v>
      </c>
      <c r="AF35" s="119">
        <v>2.75E-2</v>
      </c>
      <c r="AG35" s="119">
        <v>5</v>
      </c>
      <c r="AH35" s="119">
        <v>1.2</v>
      </c>
      <c r="AI35" s="119">
        <v>0.8</v>
      </c>
      <c r="AJ35" s="119" t="s">
        <v>103</v>
      </c>
      <c r="AK35" s="119" t="b">
        <v>1</v>
      </c>
      <c r="AL35" s="119" t="s">
        <v>77</v>
      </c>
      <c r="AM35" s="119" t="s">
        <v>246</v>
      </c>
      <c r="AN35" s="119">
        <v>6.6250000000000003E-2</v>
      </c>
      <c r="AO35" s="119">
        <v>7.7200000000000005E-2</v>
      </c>
      <c r="AP35" s="127">
        <v>0.12</v>
      </c>
      <c r="AQ35" s="128">
        <v>2.5000000000000001E-2</v>
      </c>
      <c r="AR35" s="129">
        <v>123</v>
      </c>
      <c r="AS35" s="119" t="s">
        <v>31</v>
      </c>
      <c r="AT35" s="119" t="s">
        <v>31</v>
      </c>
      <c r="AU35" s="123">
        <v>0.87353052212008675</v>
      </c>
      <c r="AV35" s="123">
        <v>0.89731433437810026</v>
      </c>
      <c r="AY35" s="120">
        <v>0</v>
      </c>
      <c r="AZ35" s="119" t="b">
        <v>1</v>
      </c>
      <c r="BA35" s="119" t="b">
        <v>1</v>
      </c>
      <c r="BB35" s="119" t="b">
        <v>0</v>
      </c>
      <c r="BC35" s="119">
        <v>0</v>
      </c>
      <c r="BD35" s="119" t="s">
        <v>3</v>
      </c>
      <c r="BE35" s="119" t="b">
        <v>1</v>
      </c>
      <c r="BF35" s="130" t="b">
        <v>1</v>
      </c>
    </row>
    <row r="36" spans="1:58" s="159" customFormat="1" x14ac:dyDescent="0.25">
      <c r="C36" s="119"/>
      <c r="N36" s="162"/>
      <c r="O36" s="172"/>
      <c r="P36" s="173"/>
      <c r="Q36" s="174"/>
      <c r="R36" s="172"/>
      <c r="S36" s="172"/>
      <c r="Y36"/>
      <c r="AP36" s="166"/>
      <c r="AQ36" s="167"/>
      <c r="AR36" s="168"/>
      <c r="AU36" s="162"/>
      <c r="AV36" s="162"/>
      <c r="AY36" s="169"/>
      <c r="BF36" s="170"/>
    </row>
    <row r="37" spans="1:58" s="131" customFormat="1" x14ac:dyDescent="0.25">
      <c r="A37" s="131" t="s">
        <v>303</v>
      </c>
      <c r="C37" s="119" t="b">
        <v>0</v>
      </c>
      <c r="D37" s="131" t="s">
        <v>298</v>
      </c>
      <c r="E37" s="131" t="s">
        <v>245</v>
      </c>
      <c r="F37" s="131" t="b">
        <v>0</v>
      </c>
      <c r="G37" s="131" t="s">
        <v>301</v>
      </c>
      <c r="H37" s="131" t="b">
        <v>1</v>
      </c>
      <c r="I37" s="132" t="b">
        <v>1</v>
      </c>
      <c r="J37" s="131" t="b">
        <v>1</v>
      </c>
      <c r="K37" s="131" t="b">
        <v>0</v>
      </c>
      <c r="L37" s="131" t="s">
        <v>101</v>
      </c>
      <c r="M37" s="131">
        <v>0.11</v>
      </c>
      <c r="N37" s="233">
        <f t="shared" si="0"/>
        <v>0.27272727272727271</v>
      </c>
      <c r="O37" s="134">
        <v>0.5</v>
      </c>
      <c r="P37" s="135">
        <f t="shared" si="1"/>
        <v>3.3333333333333335E-3</v>
      </c>
      <c r="Q37" s="136">
        <v>0</v>
      </c>
      <c r="R37" s="134">
        <v>0.5</v>
      </c>
      <c r="S37" s="134">
        <v>0</v>
      </c>
      <c r="T37" s="131" t="s">
        <v>98</v>
      </c>
      <c r="U37" s="131" t="b">
        <v>0</v>
      </c>
      <c r="V37" s="132">
        <v>2.2499999999999999E-2</v>
      </c>
      <c r="W37" s="131">
        <v>0.03</v>
      </c>
      <c r="X37" s="131">
        <v>0</v>
      </c>
      <c r="Y37" t="b">
        <v>0</v>
      </c>
      <c r="AC37" s="131" t="s">
        <v>92</v>
      </c>
      <c r="AD37" s="131" t="s">
        <v>35</v>
      </c>
      <c r="AE37" s="131">
        <v>20</v>
      </c>
      <c r="AF37" s="131">
        <v>2.75E-2</v>
      </c>
      <c r="AG37" s="131">
        <v>5</v>
      </c>
      <c r="AH37" s="131">
        <v>1.2</v>
      </c>
      <c r="AI37" s="131">
        <v>0.8</v>
      </c>
      <c r="AJ37" s="131" t="s">
        <v>103</v>
      </c>
      <c r="AK37" s="131" t="b">
        <v>1</v>
      </c>
      <c r="AL37" s="131" t="s">
        <v>77</v>
      </c>
      <c r="AM37" s="131" t="s">
        <v>246</v>
      </c>
      <c r="AN37" s="131">
        <v>6.6250000000000003E-2</v>
      </c>
      <c r="AO37" s="131">
        <v>7.7200000000000005E-2</v>
      </c>
      <c r="AP37" s="137">
        <v>0.12</v>
      </c>
      <c r="AQ37" s="138">
        <v>2.5000000000000001E-2</v>
      </c>
      <c r="AR37" s="139">
        <v>123</v>
      </c>
      <c r="AS37" s="131" t="s">
        <v>31</v>
      </c>
      <c r="AT37" s="131" t="s">
        <v>31</v>
      </c>
      <c r="AU37" s="140">
        <v>0.49181956819187989</v>
      </c>
      <c r="AV37" s="140">
        <v>0.51298615267558034</v>
      </c>
      <c r="AY37" s="141">
        <v>0</v>
      </c>
      <c r="AZ37" s="131" t="b">
        <v>1</v>
      </c>
      <c r="BA37" s="131" t="b">
        <v>1</v>
      </c>
      <c r="BB37" s="131" t="b">
        <v>0</v>
      </c>
      <c r="BC37" s="131">
        <v>0</v>
      </c>
      <c r="BD37" s="131" t="s">
        <v>3</v>
      </c>
      <c r="BE37" s="131" t="b">
        <v>1</v>
      </c>
      <c r="BF37" s="142" t="b">
        <v>1</v>
      </c>
    </row>
    <row r="38" spans="1:58" s="131" customFormat="1" x14ac:dyDescent="0.25">
      <c r="A38" s="131" t="s">
        <v>304</v>
      </c>
      <c r="C38" s="119" t="b">
        <v>0</v>
      </c>
      <c r="D38" s="131" t="s">
        <v>298</v>
      </c>
      <c r="E38" s="131" t="s">
        <v>247</v>
      </c>
      <c r="F38" s="131" t="b">
        <v>0</v>
      </c>
      <c r="G38" s="131" t="s">
        <v>302</v>
      </c>
      <c r="H38" s="131" t="b">
        <v>1</v>
      </c>
      <c r="I38" s="132" t="b">
        <v>1</v>
      </c>
      <c r="J38" s="131" t="b">
        <v>1</v>
      </c>
      <c r="K38" s="131" t="b">
        <v>0</v>
      </c>
      <c r="L38" s="131" t="s">
        <v>94</v>
      </c>
      <c r="M38" s="131">
        <v>0.11</v>
      </c>
      <c r="N38" s="140">
        <f t="shared" si="0"/>
        <v>0.27272727272727271</v>
      </c>
      <c r="O38" s="230">
        <v>0.5</v>
      </c>
      <c r="P38" s="231">
        <f t="shared" si="1"/>
        <v>3.3333333333333335E-3</v>
      </c>
      <c r="Q38" s="232">
        <v>0.5</v>
      </c>
      <c r="R38" s="230">
        <v>0.5</v>
      </c>
      <c r="S38" s="230">
        <v>0.5</v>
      </c>
      <c r="T38" s="131" t="s">
        <v>98</v>
      </c>
      <c r="U38" s="131" t="b">
        <v>0</v>
      </c>
      <c r="V38" s="132">
        <v>1.7500000000000002E-2</v>
      </c>
      <c r="W38" s="131">
        <v>0.02</v>
      </c>
      <c r="X38" s="131">
        <v>0</v>
      </c>
      <c r="Y38" t="b">
        <v>0</v>
      </c>
      <c r="AC38" s="131" t="s">
        <v>92</v>
      </c>
      <c r="AD38" s="131" t="s">
        <v>35</v>
      </c>
      <c r="AE38" s="131">
        <v>10</v>
      </c>
      <c r="AF38" s="131">
        <v>2.75E-2</v>
      </c>
      <c r="AG38" s="131">
        <v>5</v>
      </c>
      <c r="AH38" s="131">
        <v>1.2</v>
      </c>
      <c r="AI38" s="131">
        <v>0.8</v>
      </c>
      <c r="AJ38" s="131" t="s">
        <v>103</v>
      </c>
      <c r="AK38" s="131" t="b">
        <v>1</v>
      </c>
      <c r="AL38" s="131" t="s">
        <v>77</v>
      </c>
      <c r="AM38" s="131" t="s">
        <v>246</v>
      </c>
      <c r="AN38" s="131">
        <v>6.6250000000000003E-2</v>
      </c>
      <c r="AO38" s="131">
        <v>7.7200000000000005E-2</v>
      </c>
      <c r="AP38" s="137">
        <v>0.12</v>
      </c>
      <c r="AQ38" s="138">
        <v>2.5000000000000001E-2</v>
      </c>
      <c r="AR38" s="139">
        <v>123</v>
      </c>
      <c r="AS38" s="131" t="s">
        <v>31</v>
      </c>
      <c r="AT38" s="131" t="s">
        <v>31</v>
      </c>
      <c r="AU38" s="140">
        <v>0.87353052212008675</v>
      </c>
      <c r="AV38" s="140">
        <v>0.89731433437810026</v>
      </c>
      <c r="AY38" s="141">
        <v>0</v>
      </c>
      <c r="AZ38" s="131" t="b">
        <v>1</v>
      </c>
      <c r="BA38" s="131" t="b">
        <v>1</v>
      </c>
      <c r="BB38" s="131" t="b">
        <v>0</v>
      </c>
      <c r="BC38" s="131">
        <v>0</v>
      </c>
      <c r="BD38" s="131" t="s">
        <v>3</v>
      </c>
      <c r="BE38" s="131" t="b">
        <v>1</v>
      </c>
      <c r="BF38" s="142" t="b">
        <v>1</v>
      </c>
    </row>
    <row r="39" spans="1:58" s="131" customFormat="1" x14ac:dyDescent="0.25">
      <c r="C39" s="119"/>
      <c r="N39" s="140"/>
      <c r="O39" s="134"/>
      <c r="P39" s="135"/>
      <c r="Q39" s="136"/>
      <c r="R39" s="134"/>
      <c r="S39" s="134"/>
      <c r="Y39" t="b">
        <v>0</v>
      </c>
      <c r="AP39" s="137"/>
      <c r="AQ39" s="138"/>
      <c r="AR39" s="139"/>
      <c r="AU39" s="140"/>
      <c r="AV39" s="140"/>
      <c r="AY39" s="141"/>
      <c r="BF39" s="142"/>
    </row>
    <row r="40" spans="1:58" x14ac:dyDescent="0.25">
      <c r="C40" s="119"/>
      <c r="N40" s="20"/>
      <c r="O40" s="32"/>
      <c r="P40" s="4"/>
      <c r="Q40" s="116"/>
      <c r="R40" s="32"/>
      <c r="S40" s="32"/>
      <c r="AP40" s="3"/>
      <c r="AQ40" s="5"/>
      <c r="AR40" s="22"/>
      <c r="AU40" s="20"/>
      <c r="AV40" s="20"/>
      <c r="AY40" s="27"/>
      <c r="BF40" s="19"/>
    </row>
    <row r="41" spans="1:58" s="146" customFormat="1" x14ac:dyDescent="0.25">
      <c r="A41" s="146" t="s">
        <v>305</v>
      </c>
      <c r="C41" s="119" t="b">
        <v>0</v>
      </c>
      <c r="D41" s="146" t="s">
        <v>299</v>
      </c>
      <c r="E41" s="146" t="s">
        <v>245</v>
      </c>
      <c r="F41" s="146" t="b">
        <v>0</v>
      </c>
      <c r="G41" s="146" t="s">
        <v>301</v>
      </c>
      <c r="H41" s="146" t="b">
        <v>1</v>
      </c>
      <c r="I41" s="147" t="b">
        <v>0</v>
      </c>
      <c r="J41" s="146" t="b">
        <v>1</v>
      </c>
      <c r="K41" s="119" t="b">
        <v>0</v>
      </c>
      <c r="L41" s="148" t="s">
        <v>94</v>
      </c>
      <c r="M41" s="146">
        <v>0.11</v>
      </c>
      <c r="N41" s="149">
        <f t="shared" si="0"/>
        <v>0.27272727272727271</v>
      </c>
      <c r="O41" s="150">
        <v>0.5</v>
      </c>
      <c r="P41" s="151">
        <f t="shared" si="1"/>
        <v>3.3333333333333335E-3</v>
      </c>
      <c r="Q41" s="152">
        <v>0</v>
      </c>
      <c r="R41" s="150">
        <v>0.5</v>
      </c>
      <c r="S41" s="150">
        <v>0.5</v>
      </c>
      <c r="T41" s="146" t="s">
        <v>98</v>
      </c>
      <c r="U41" s="147" t="b">
        <v>1</v>
      </c>
      <c r="V41" s="147">
        <v>0</v>
      </c>
      <c r="W41" s="146">
        <v>0.03</v>
      </c>
      <c r="X41" s="146">
        <v>0</v>
      </c>
      <c r="Y41" t="b">
        <v>0</v>
      </c>
      <c r="AC41" s="146" t="s">
        <v>92</v>
      </c>
      <c r="AD41" s="146" t="s">
        <v>35</v>
      </c>
      <c r="AE41" s="146">
        <v>20</v>
      </c>
      <c r="AF41" s="146">
        <v>2.75E-2</v>
      </c>
      <c r="AG41" s="146">
        <v>5</v>
      </c>
      <c r="AH41" s="146">
        <v>1.2</v>
      </c>
      <c r="AI41" s="146">
        <v>0.8</v>
      </c>
      <c r="AJ41" s="146" t="s">
        <v>103</v>
      </c>
      <c r="AK41" s="146" t="b">
        <v>1</v>
      </c>
      <c r="AL41" s="146" t="s">
        <v>77</v>
      </c>
      <c r="AM41" s="146" t="s">
        <v>246</v>
      </c>
      <c r="AN41" s="146">
        <v>6.6250000000000003E-2</v>
      </c>
      <c r="AO41" s="146">
        <v>7.7200000000000005E-2</v>
      </c>
      <c r="AP41" s="153">
        <v>0.12</v>
      </c>
      <c r="AQ41" s="154">
        <v>2.5000000000000001E-2</v>
      </c>
      <c r="AR41" s="155">
        <v>123</v>
      </c>
      <c r="AS41" s="146" t="s">
        <v>31</v>
      </c>
      <c r="AT41" s="146" t="s">
        <v>31</v>
      </c>
      <c r="AU41" s="149">
        <v>0.49181956819187989</v>
      </c>
      <c r="AV41" s="149">
        <v>0.51298615267558034</v>
      </c>
      <c r="AY41" s="156">
        <v>0</v>
      </c>
      <c r="AZ41" s="146" t="b">
        <v>1</v>
      </c>
      <c r="BA41" s="146" t="b">
        <v>1</v>
      </c>
      <c r="BB41" s="146" t="b">
        <v>0</v>
      </c>
      <c r="BC41" s="146">
        <v>0</v>
      </c>
      <c r="BD41" s="146" t="s">
        <v>3</v>
      </c>
      <c r="BE41" s="146" t="b">
        <v>1</v>
      </c>
      <c r="BF41" s="157" t="b">
        <v>1</v>
      </c>
    </row>
    <row r="42" spans="1:58" s="146" customFormat="1" x14ac:dyDescent="0.25">
      <c r="A42" s="146" t="s">
        <v>306</v>
      </c>
      <c r="C42" s="119" t="b">
        <v>0</v>
      </c>
      <c r="D42" s="146" t="s">
        <v>299</v>
      </c>
      <c r="E42" s="146" t="s">
        <v>247</v>
      </c>
      <c r="F42" s="146" t="b">
        <v>0</v>
      </c>
      <c r="G42" s="146" t="s">
        <v>302</v>
      </c>
      <c r="H42" s="146" t="b">
        <v>1</v>
      </c>
      <c r="I42" s="147" t="b">
        <v>0</v>
      </c>
      <c r="J42" s="146" t="b">
        <v>1</v>
      </c>
      <c r="K42" s="119" t="b">
        <v>0</v>
      </c>
      <c r="L42" s="147" t="s">
        <v>94</v>
      </c>
      <c r="M42" s="146">
        <v>0.11</v>
      </c>
      <c r="N42" s="149">
        <f t="shared" si="0"/>
        <v>0.27272727272727271</v>
      </c>
      <c r="O42" s="150">
        <v>0.5</v>
      </c>
      <c r="P42" s="151">
        <f t="shared" si="1"/>
        <v>3.3333333333333335E-3</v>
      </c>
      <c r="Q42" s="158">
        <v>0.5</v>
      </c>
      <c r="R42" s="150">
        <v>0.5</v>
      </c>
      <c r="S42" s="150">
        <v>0.5</v>
      </c>
      <c r="T42" s="146" t="s">
        <v>98</v>
      </c>
      <c r="U42" s="147" t="b">
        <v>1</v>
      </c>
      <c r="V42" s="147">
        <v>0</v>
      </c>
      <c r="W42" s="146">
        <v>1.7500000000000002E-2</v>
      </c>
      <c r="X42" s="146">
        <v>0</v>
      </c>
      <c r="Y42" t="b">
        <v>0</v>
      </c>
      <c r="AC42" s="146" t="s">
        <v>92</v>
      </c>
      <c r="AD42" s="146" t="s">
        <v>35</v>
      </c>
      <c r="AE42" s="146">
        <v>10</v>
      </c>
      <c r="AF42" s="146">
        <v>2.75E-2</v>
      </c>
      <c r="AG42" s="146">
        <v>5</v>
      </c>
      <c r="AH42" s="146">
        <v>1.2</v>
      </c>
      <c r="AI42" s="146">
        <v>0.8</v>
      </c>
      <c r="AJ42" s="146" t="s">
        <v>103</v>
      </c>
      <c r="AK42" s="146" t="b">
        <v>1</v>
      </c>
      <c r="AL42" s="146" t="s">
        <v>77</v>
      </c>
      <c r="AM42" s="146" t="s">
        <v>246</v>
      </c>
      <c r="AN42" s="146">
        <v>6.6250000000000003E-2</v>
      </c>
      <c r="AO42" s="146">
        <v>7.7200000000000005E-2</v>
      </c>
      <c r="AP42" s="153">
        <v>0.12</v>
      </c>
      <c r="AQ42" s="154">
        <v>2.5000000000000001E-2</v>
      </c>
      <c r="AR42" s="155">
        <v>123</v>
      </c>
      <c r="AS42" s="146" t="s">
        <v>31</v>
      </c>
      <c r="AT42" s="146" t="s">
        <v>31</v>
      </c>
      <c r="AU42" s="149">
        <v>0.87353052212008675</v>
      </c>
      <c r="AV42" s="149">
        <v>0.89731433437810026</v>
      </c>
      <c r="AY42" s="156">
        <v>0</v>
      </c>
      <c r="AZ42" s="146" t="b">
        <v>1</v>
      </c>
      <c r="BA42" s="146" t="b">
        <v>1</v>
      </c>
      <c r="BB42" s="146" t="b">
        <v>0</v>
      </c>
      <c r="BC42" s="146">
        <v>0</v>
      </c>
      <c r="BD42" s="146" t="s">
        <v>3</v>
      </c>
      <c r="BE42" s="146" t="b">
        <v>1</v>
      </c>
      <c r="BF42" s="157" t="b">
        <v>1</v>
      </c>
    </row>
    <row r="43" spans="1:58" x14ac:dyDescent="0.25">
      <c r="C43" s="119"/>
    </row>
    <row r="44" spans="1:58" s="253" customFormat="1" x14ac:dyDescent="0.25">
      <c r="A44" s="253" t="s">
        <v>389</v>
      </c>
      <c r="C44" s="119" t="b">
        <v>0</v>
      </c>
      <c r="D44" s="253" t="s">
        <v>298</v>
      </c>
      <c r="E44" s="253" t="s">
        <v>245</v>
      </c>
      <c r="F44" s="253" t="b">
        <v>0</v>
      </c>
      <c r="G44" s="253" t="s">
        <v>301</v>
      </c>
      <c r="H44" s="253" t="b">
        <v>1</v>
      </c>
      <c r="I44" s="254" t="b">
        <v>1</v>
      </c>
      <c r="J44" s="253" t="b">
        <v>1</v>
      </c>
      <c r="K44" s="253" t="b">
        <v>0</v>
      </c>
      <c r="L44" s="255" t="s">
        <v>94</v>
      </c>
      <c r="M44" s="253">
        <v>0.11</v>
      </c>
      <c r="N44" s="256">
        <f t="shared" si="0"/>
        <v>0.27272727272727271</v>
      </c>
      <c r="O44" s="257">
        <v>0.5</v>
      </c>
      <c r="P44" s="258">
        <f t="shared" si="1"/>
        <v>3.3333333333333335E-3</v>
      </c>
      <c r="Q44" s="259">
        <v>0</v>
      </c>
      <c r="R44" s="257">
        <v>0.5</v>
      </c>
      <c r="S44" s="257">
        <v>0.5</v>
      </c>
      <c r="T44" s="253" t="s">
        <v>98</v>
      </c>
      <c r="U44" s="254" t="b">
        <v>1</v>
      </c>
      <c r="V44" s="254">
        <v>0</v>
      </c>
      <c r="W44" s="254">
        <v>2.2499999999999999E-2</v>
      </c>
      <c r="X44" s="253">
        <v>0</v>
      </c>
      <c r="Y44" s="253" t="b">
        <v>0</v>
      </c>
      <c r="AC44" s="253" t="s">
        <v>92</v>
      </c>
      <c r="AD44" s="253" t="s">
        <v>35</v>
      </c>
      <c r="AE44" s="253">
        <v>20</v>
      </c>
      <c r="AF44" s="253">
        <v>2.75E-2</v>
      </c>
      <c r="AG44" s="253">
        <v>5</v>
      </c>
      <c r="AH44" s="253">
        <v>1.2</v>
      </c>
      <c r="AI44" s="253">
        <v>0.8</v>
      </c>
      <c r="AJ44" s="253" t="s">
        <v>103</v>
      </c>
      <c r="AK44" s="253" t="b">
        <v>1</v>
      </c>
      <c r="AL44" s="253" t="s">
        <v>77</v>
      </c>
      <c r="AM44" s="253" t="s">
        <v>246</v>
      </c>
      <c r="AN44" s="253">
        <v>6.6250000000000003E-2</v>
      </c>
      <c r="AO44" s="253">
        <v>7.7200000000000005E-2</v>
      </c>
      <c r="AP44" s="260">
        <v>0.12</v>
      </c>
      <c r="AQ44" s="261">
        <v>2.5000000000000001E-2</v>
      </c>
      <c r="AR44" s="262">
        <v>123</v>
      </c>
      <c r="AS44" s="253" t="s">
        <v>31</v>
      </c>
      <c r="AT44" s="253" t="s">
        <v>31</v>
      </c>
      <c r="AU44" s="256">
        <v>0.49181956819187989</v>
      </c>
      <c r="AV44" s="256">
        <v>0.51298615267558034</v>
      </c>
      <c r="AY44" s="263">
        <v>0</v>
      </c>
      <c r="AZ44" s="253" t="b">
        <v>1</v>
      </c>
      <c r="BA44" s="253" t="b">
        <v>1</v>
      </c>
      <c r="BB44" s="253" t="b">
        <v>0</v>
      </c>
      <c r="BC44" s="253">
        <v>0</v>
      </c>
      <c r="BD44" s="253" t="s">
        <v>3</v>
      </c>
      <c r="BE44" s="253" t="b">
        <v>1</v>
      </c>
      <c r="BF44" s="264" t="b">
        <v>1</v>
      </c>
    </row>
    <row r="45" spans="1:58" s="253" customFormat="1" x14ac:dyDescent="0.25">
      <c r="A45" s="253" t="s">
        <v>390</v>
      </c>
      <c r="C45" s="119" t="b">
        <v>0</v>
      </c>
      <c r="D45" s="253" t="s">
        <v>298</v>
      </c>
      <c r="E45" s="253" t="s">
        <v>247</v>
      </c>
      <c r="F45" s="253" t="b">
        <v>0</v>
      </c>
      <c r="G45" s="253" t="s">
        <v>302</v>
      </c>
      <c r="H45" s="253" t="b">
        <v>1</v>
      </c>
      <c r="I45" s="254" t="b">
        <v>1</v>
      </c>
      <c r="J45" s="253" t="b">
        <v>1</v>
      </c>
      <c r="K45" s="253" t="b">
        <v>0</v>
      </c>
      <c r="L45" s="254" t="s">
        <v>94</v>
      </c>
      <c r="M45" s="253">
        <v>0.11</v>
      </c>
      <c r="N45" s="256">
        <f t="shared" si="0"/>
        <v>0.27272727272727271</v>
      </c>
      <c r="O45" s="257">
        <v>0.5</v>
      </c>
      <c r="P45" s="258">
        <f t="shared" si="1"/>
        <v>3.3333333333333335E-3</v>
      </c>
      <c r="Q45" s="265">
        <v>0.5</v>
      </c>
      <c r="R45" s="257">
        <v>0.5</v>
      </c>
      <c r="S45" s="257">
        <v>0.5</v>
      </c>
      <c r="T45" s="253" t="s">
        <v>98</v>
      </c>
      <c r="U45" s="254" t="b">
        <v>1</v>
      </c>
      <c r="V45" s="254">
        <v>0</v>
      </c>
      <c r="W45" s="254">
        <v>1.7500000000000002E-2</v>
      </c>
      <c r="X45" s="253">
        <v>0</v>
      </c>
      <c r="Y45" s="253" t="b">
        <v>0</v>
      </c>
      <c r="AC45" s="253" t="s">
        <v>92</v>
      </c>
      <c r="AD45" s="253" t="s">
        <v>35</v>
      </c>
      <c r="AE45" s="253">
        <v>10</v>
      </c>
      <c r="AF45" s="253">
        <v>2.75E-2</v>
      </c>
      <c r="AG45" s="253">
        <v>5</v>
      </c>
      <c r="AH45" s="253">
        <v>1.2</v>
      </c>
      <c r="AI45" s="253">
        <v>0.8</v>
      </c>
      <c r="AJ45" s="253" t="s">
        <v>103</v>
      </c>
      <c r="AK45" s="253" t="b">
        <v>1</v>
      </c>
      <c r="AL45" s="253" t="s">
        <v>77</v>
      </c>
      <c r="AM45" s="253" t="s">
        <v>246</v>
      </c>
      <c r="AN45" s="253">
        <v>6.6250000000000003E-2</v>
      </c>
      <c r="AO45" s="253">
        <v>7.7200000000000005E-2</v>
      </c>
      <c r="AP45" s="260">
        <v>0.12</v>
      </c>
      <c r="AQ45" s="261">
        <v>2.5000000000000001E-2</v>
      </c>
      <c r="AR45" s="262">
        <v>123</v>
      </c>
      <c r="AS45" s="253" t="s">
        <v>31</v>
      </c>
      <c r="AT45" s="253" t="s">
        <v>31</v>
      </c>
      <c r="AU45" s="256">
        <v>0.87353052212008675</v>
      </c>
      <c r="AV45" s="256">
        <v>0.89731433437810026</v>
      </c>
      <c r="AY45" s="263">
        <v>0</v>
      </c>
      <c r="AZ45" s="253" t="b">
        <v>1</v>
      </c>
      <c r="BA45" s="253" t="b">
        <v>1</v>
      </c>
      <c r="BB45" s="253" t="b">
        <v>0</v>
      </c>
      <c r="BC45" s="253">
        <v>0</v>
      </c>
      <c r="BD45" s="253" t="s">
        <v>3</v>
      </c>
      <c r="BE45" s="253" t="b">
        <v>1</v>
      </c>
      <c r="BF45" s="264" t="b">
        <v>1</v>
      </c>
    </row>
    <row r="46" spans="1:58" s="159" customFormat="1" x14ac:dyDescent="0.25">
      <c r="I46" s="160"/>
      <c r="L46" s="160"/>
      <c r="N46" s="162"/>
      <c r="O46" s="163"/>
      <c r="P46" s="164"/>
      <c r="Q46" s="171"/>
      <c r="R46" s="163"/>
      <c r="S46" s="163"/>
      <c r="U46" s="160"/>
      <c r="V46" s="160"/>
      <c r="W46" s="160"/>
      <c r="AP46" s="166"/>
      <c r="AQ46" s="167"/>
      <c r="AR46" s="168"/>
      <c r="AU46" s="162"/>
      <c r="AV46" s="162"/>
      <c r="AY46" s="169"/>
      <c r="BF46" s="170"/>
    </row>
    <row r="47" spans="1:58" s="159" customFormat="1" x14ac:dyDescent="0.25">
      <c r="I47" s="160"/>
      <c r="L47" s="160"/>
      <c r="N47" s="162"/>
      <c r="O47" s="163"/>
      <c r="P47" s="164"/>
      <c r="Q47" s="171"/>
      <c r="R47" s="163"/>
      <c r="S47" s="163"/>
      <c r="U47" s="160"/>
      <c r="V47" s="160"/>
      <c r="W47" s="160"/>
      <c r="AP47" s="166"/>
      <c r="AQ47" s="167"/>
      <c r="AR47" s="168"/>
      <c r="AU47" s="162"/>
      <c r="AV47" s="162"/>
      <c r="AY47" s="169"/>
      <c r="BF47" s="170"/>
    </row>
    <row r="48" spans="1:58" s="159" customFormat="1" x14ac:dyDescent="0.25">
      <c r="I48" s="160"/>
      <c r="L48" s="160"/>
      <c r="N48" s="162"/>
      <c r="O48" s="163"/>
      <c r="P48" s="164"/>
      <c r="Q48" s="171"/>
      <c r="R48" s="163"/>
      <c r="S48" s="163"/>
      <c r="U48" s="160"/>
      <c r="V48" s="160"/>
      <c r="W48" s="160"/>
      <c r="AP48" s="166"/>
      <c r="AQ48" s="167"/>
      <c r="AR48" s="168"/>
      <c r="AU48" s="162"/>
      <c r="AV48" s="162"/>
      <c r="AY48" s="169"/>
      <c r="BF48" s="170"/>
    </row>
    <row r="49" spans="1:58" s="159" customFormat="1" x14ac:dyDescent="0.25">
      <c r="I49" s="160"/>
      <c r="L49" s="160"/>
      <c r="N49" s="162"/>
      <c r="O49" s="163"/>
      <c r="P49" s="164"/>
      <c r="Q49" s="171"/>
      <c r="R49" s="163"/>
      <c r="S49" s="163"/>
      <c r="U49" s="160"/>
      <c r="V49" s="160"/>
      <c r="W49" s="160"/>
      <c r="AP49" s="166"/>
      <c r="AQ49" s="167"/>
      <c r="AR49" s="168"/>
      <c r="AU49" s="162"/>
      <c r="AV49" s="162"/>
      <c r="AY49" s="169"/>
      <c r="BF49" s="170"/>
    </row>
    <row r="50" spans="1:58" s="119" customFormat="1" x14ac:dyDescent="0.25">
      <c r="A50" s="119" t="s">
        <v>398</v>
      </c>
      <c r="B50" s="119" t="s">
        <v>424</v>
      </c>
      <c r="C50" s="119" t="b">
        <v>0</v>
      </c>
      <c r="D50" s="119" t="s">
        <v>396</v>
      </c>
      <c r="E50" s="119" t="s">
        <v>400</v>
      </c>
      <c r="F50" s="119" t="b">
        <v>0</v>
      </c>
      <c r="G50" s="119" t="s">
        <v>171</v>
      </c>
      <c r="H50" s="121" t="b">
        <v>1</v>
      </c>
      <c r="I50" s="121" t="b">
        <v>1</v>
      </c>
      <c r="J50" s="121" t="b">
        <v>1</v>
      </c>
      <c r="K50" s="119" t="b">
        <v>0</v>
      </c>
      <c r="L50" s="119" t="s">
        <v>101</v>
      </c>
      <c r="M50" s="119">
        <v>0.11</v>
      </c>
      <c r="N50" s="123">
        <f t="shared" si="0"/>
        <v>0.27272727272727271</v>
      </c>
      <c r="O50" s="124">
        <v>0.5</v>
      </c>
      <c r="P50" s="125">
        <f t="shared" si="1"/>
        <v>3.3333333333333335E-3</v>
      </c>
      <c r="Q50" s="126">
        <v>0</v>
      </c>
      <c r="R50" s="124">
        <v>0.5</v>
      </c>
      <c r="S50" s="124">
        <v>0</v>
      </c>
      <c r="T50" s="119" t="s">
        <v>98</v>
      </c>
      <c r="U50" s="119" t="b">
        <v>0</v>
      </c>
      <c r="V50" s="119">
        <v>0.03</v>
      </c>
      <c r="W50" s="119">
        <v>0.03</v>
      </c>
      <c r="X50" s="119">
        <v>0</v>
      </c>
      <c r="Y50" t="b">
        <v>0</v>
      </c>
      <c r="AC50" s="119" t="s">
        <v>92</v>
      </c>
      <c r="AD50" s="119" t="s">
        <v>35</v>
      </c>
      <c r="AE50" s="119">
        <v>15</v>
      </c>
      <c r="AF50" s="119">
        <v>2.5000000000000001E-2</v>
      </c>
      <c r="AG50" s="119">
        <v>5</v>
      </c>
      <c r="AH50" s="119">
        <v>1.2</v>
      </c>
      <c r="AI50" s="119">
        <v>0.8</v>
      </c>
      <c r="AJ50" s="119" t="s">
        <v>103</v>
      </c>
      <c r="AK50" s="119" t="b">
        <v>1</v>
      </c>
      <c r="AL50" s="119" t="s">
        <v>77</v>
      </c>
      <c r="AM50" s="119" t="s">
        <v>246</v>
      </c>
      <c r="AN50" s="119">
        <v>6.6250000000000003E-2</v>
      </c>
      <c r="AO50" s="119">
        <v>7.7200000000000005E-2</v>
      </c>
      <c r="AP50" s="127">
        <v>0.12</v>
      </c>
      <c r="AQ50" s="128">
        <v>2.5000000000000001E-2</v>
      </c>
      <c r="AR50" s="129">
        <v>123</v>
      </c>
      <c r="AS50" s="119" t="s">
        <v>31</v>
      </c>
      <c r="AT50" s="119" t="s">
        <v>31</v>
      </c>
      <c r="AU50" s="123">
        <v>0.70430136543757105</v>
      </c>
      <c r="AV50" s="123">
        <v>0.73294108984424244</v>
      </c>
      <c r="AY50" s="120">
        <v>0</v>
      </c>
      <c r="AZ50" s="119" t="b">
        <v>1</v>
      </c>
      <c r="BA50" s="119" t="b">
        <v>1</v>
      </c>
      <c r="BB50" s="119" t="b">
        <v>0</v>
      </c>
      <c r="BC50" s="119">
        <v>0</v>
      </c>
      <c r="BD50" s="119" t="s">
        <v>3</v>
      </c>
      <c r="BE50" s="119" t="b">
        <v>1</v>
      </c>
      <c r="BF50" s="130" t="b">
        <v>1</v>
      </c>
    </row>
    <row r="51" spans="1:58" s="119" customFormat="1" x14ac:dyDescent="0.25">
      <c r="A51" s="119" t="s">
        <v>399</v>
      </c>
      <c r="B51" s="119" t="s">
        <v>424</v>
      </c>
      <c r="C51" s="119" t="b">
        <v>0</v>
      </c>
      <c r="D51" s="119" t="s">
        <v>396</v>
      </c>
      <c r="E51" s="119" t="s">
        <v>401</v>
      </c>
      <c r="F51" s="119" t="b">
        <v>0</v>
      </c>
      <c r="G51" s="119" t="s">
        <v>173</v>
      </c>
      <c r="H51" s="121" t="b">
        <v>1</v>
      </c>
      <c r="I51" s="121" t="b">
        <v>1</v>
      </c>
      <c r="J51" s="121" t="b">
        <v>1</v>
      </c>
      <c r="K51" s="119" t="b">
        <v>0</v>
      </c>
      <c r="L51" s="119" t="s">
        <v>94</v>
      </c>
      <c r="M51" s="119">
        <v>0.11</v>
      </c>
      <c r="N51" s="123">
        <f t="shared" si="0"/>
        <v>0.27272727272727271</v>
      </c>
      <c r="O51" s="124">
        <v>0.5</v>
      </c>
      <c r="P51" s="125">
        <f t="shared" si="1"/>
        <v>3.3333333333333335E-3</v>
      </c>
      <c r="Q51" s="126">
        <v>0.5</v>
      </c>
      <c r="R51" s="124">
        <v>0.5</v>
      </c>
      <c r="S51" s="124">
        <v>0</v>
      </c>
      <c r="T51" s="119" t="s">
        <v>98</v>
      </c>
      <c r="U51" s="119" t="b">
        <v>0</v>
      </c>
      <c r="V51" s="119">
        <v>0.02</v>
      </c>
      <c r="W51" s="119">
        <v>0.02</v>
      </c>
      <c r="X51" s="119">
        <v>0</v>
      </c>
      <c r="Y51" t="b">
        <v>0</v>
      </c>
      <c r="AC51" s="119" t="s">
        <v>92</v>
      </c>
      <c r="AD51" s="119" t="s">
        <v>35</v>
      </c>
      <c r="AE51" s="119">
        <v>15</v>
      </c>
      <c r="AF51" s="119">
        <v>2.5000000000000001E-2</v>
      </c>
      <c r="AG51" s="119">
        <v>5</v>
      </c>
      <c r="AH51" s="119">
        <v>1.2</v>
      </c>
      <c r="AI51" s="119">
        <v>0.8</v>
      </c>
      <c r="AJ51" s="119" t="s">
        <v>103</v>
      </c>
      <c r="AK51" s="119" t="b">
        <v>1</v>
      </c>
      <c r="AL51" s="119" t="s">
        <v>77</v>
      </c>
      <c r="AM51" s="119" t="s">
        <v>246</v>
      </c>
      <c r="AN51" s="119">
        <v>6.6250000000000003E-2</v>
      </c>
      <c r="AO51" s="119">
        <v>7.7200000000000005E-2</v>
      </c>
      <c r="AP51" s="127">
        <v>0.12</v>
      </c>
      <c r="AQ51" s="128">
        <v>2.5000000000000001E-2</v>
      </c>
      <c r="AR51" s="129">
        <v>123</v>
      </c>
      <c r="AS51" s="119" t="s">
        <v>31</v>
      </c>
      <c r="AT51" s="119" t="s">
        <v>31</v>
      </c>
      <c r="AU51" s="123">
        <v>1.0159071729957805</v>
      </c>
      <c r="AV51" s="123">
        <v>1.0442616033755274</v>
      </c>
      <c r="AY51" s="120">
        <v>0</v>
      </c>
      <c r="AZ51" s="119" t="b">
        <v>1</v>
      </c>
      <c r="BA51" s="119" t="b">
        <v>1</v>
      </c>
      <c r="BB51" s="119" t="b">
        <v>0</v>
      </c>
      <c r="BC51" s="119">
        <v>0</v>
      </c>
      <c r="BD51" s="119" t="s">
        <v>3</v>
      </c>
      <c r="BE51" s="119" t="b">
        <v>1</v>
      </c>
      <c r="BF51" s="130" t="b">
        <v>1</v>
      </c>
    </row>
    <row r="52" spans="1:58" s="159" customFormat="1" x14ac:dyDescent="0.25">
      <c r="I52" s="160"/>
      <c r="L52" s="160"/>
      <c r="N52" s="162"/>
      <c r="O52" s="163"/>
      <c r="P52" s="164"/>
      <c r="Q52" s="171"/>
      <c r="R52" s="163"/>
      <c r="S52" s="163"/>
      <c r="U52" s="160"/>
      <c r="V52" s="160"/>
      <c r="W52" s="160"/>
      <c r="AP52" s="166"/>
      <c r="AQ52" s="167"/>
      <c r="AR52" s="168"/>
      <c r="AU52" s="162"/>
      <c r="AV52" s="162"/>
      <c r="AY52" s="169"/>
      <c r="BF52" s="170"/>
    </row>
    <row r="53" spans="1:58" s="119" customFormat="1" x14ac:dyDescent="0.25">
      <c r="A53" s="119" t="s">
        <v>413</v>
      </c>
      <c r="B53" s="119" t="s">
        <v>425</v>
      </c>
      <c r="C53" s="119" t="b">
        <v>0</v>
      </c>
      <c r="D53" s="119" t="s">
        <v>411</v>
      </c>
      <c r="E53" s="119" t="s">
        <v>415</v>
      </c>
      <c r="F53" s="119" t="b">
        <v>0</v>
      </c>
      <c r="G53" s="119" t="s">
        <v>171</v>
      </c>
      <c r="H53" s="121" t="b">
        <v>1</v>
      </c>
      <c r="I53" s="121" t="b">
        <v>1</v>
      </c>
      <c r="J53" s="121" t="b">
        <v>1</v>
      </c>
      <c r="K53" s="119" t="b">
        <v>0</v>
      </c>
      <c r="L53" s="119" t="s">
        <v>101</v>
      </c>
      <c r="M53" s="119">
        <v>0.11</v>
      </c>
      <c r="N53" s="123">
        <f t="shared" si="0"/>
        <v>0.27272727272727271</v>
      </c>
      <c r="O53" s="124">
        <v>0.5</v>
      </c>
      <c r="P53" s="125">
        <f t="shared" si="1"/>
        <v>3.3333333333333335E-3</v>
      </c>
      <c r="Q53" s="126">
        <v>0</v>
      </c>
      <c r="R53" s="124">
        <v>0.5</v>
      </c>
      <c r="S53" s="124">
        <v>0</v>
      </c>
      <c r="T53" s="119" t="s">
        <v>98</v>
      </c>
      <c r="U53" s="119" t="b">
        <v>0</v>
      </c>
      <c r="V53" s="119">
        <v>0.03</v>
      </c>
      <c r="W53" s="119">
        <v>0.03</v>
      </c>
      <c r="X53" s="119">
        <v>0</v>
      </c>
      <c r="Y53" t="b">
        <v>0</v>
      </c>
      <c r="AC53" s="119" t="s">
        <v>92</v>
      </c>
      <c r="AD53" s="119" t="s">
        <v>35</v>
      </c>
      <c r="AE53" s="119">
        <v>15</v>
      </c>
      <c r="AF53" s="119">
        <v>2.5000000000000001E-2</v>
      </c>
      <c r="AG53" s="119">
        <v>5</v>
      </c>
      <c r="AH53" s="119">
        <v>1.2</v>
      </c>
      <c r="AI53" s="119">
        <v>0.8</v>
      </c>
      <c r="AJ53" s="119" t="s">
        <v>103</v>
      </c>
      <c r="AK53" s="119" t="b">
        <v>1</v>
      </c>
      <c r="AL53" s="119" t="s">
        <v>77</v>
      </c>
      <c r="AM53" s="119" t="s">
        <v>246</v>
      </c>
      <c r="AN53" s="119">
        <v>6.6250000000000003E-2</v>
      </c>
      <c r="AO53" s="119">
        <v>7.7200000000000005E-2</v>
      </c>
      <c r="AP53" s="127">
        <v>0.12</v>
      </c>
      <c r="AQ53" s="128">
        <v>2.5000000000000001E-2</v>
      </c>
      <c r="AR53" s="129">
        <v>123</v>
      </c>
      <c r="AS53" s="119" t="s">
        <v>31</v>
      </c>
      <c r="AT53" s="119" t="s">
        <v>31</v>
      </c>
      <c r="AU53" s="123">
        <v>0.70430136543757105</v>
      </c>
      <c r="AV53" s="123">
        <v>0.73294108984424244</v>
      </c>
      <c r="AY53" s="120">
        <v>0</v>
      </c>
      <c r="AZ53" s="119" t="b">
        <v>1</v>
      </c>
      <c r="BA53" s="119" t="b">
        <v>1</v>
      </c>
      <c r="BB53" s="119" t="b">
        <v>0</v>
      </c>
      <c r="BC53" s="119">
        <v>0</v>
      </c>
      <c r="BD53" s="119" t="s">
        <v>3</v>
      </c>
      <c r="BE53" s="119" t="b">
        <v>1</v>
      </c>
      <c r="BF53" s="130" t="b">
        <v>1</v>
      </c>
    </row>
    <row r="54" spans="1:58" s="119" customFormat="1" x14ac:dyDescent="0.25">
      <c r="A54" s="119" t="s">
        <v>414</v>
      </c>
      <c r="B54" s="119" t="s">
        <v>425</v>
      </c>
      <c r="C54" s="119" t="b">
        <v>0</v>
      </c>
      <c r="D54" s="119" t="s">
        <v>411</v>
      </c>
      <c r="E54" s="119" t="s">
        <v>416</v>
      </c>
      <c r="F54" s="119" t="b">
        <v>0</v>
      </c>
      <c r="G54" s="119" t="s">
        <v>173</v>
      </c>
      <c r="H54" s="121" t="b">
        <v>1</v>
      </c>
      <c r="I54" s="121" t="b">
        <v>1</v>
      </c>
      <c r="J54" s="121" t="b">
        <v>1</v>
      </c>
      <c r="K54" s="119" t="b">
        <v>0</v>
      </c>
      <c r="L54" s="119" t="s">
        <v>94</v>
      </c>
      <c r="M54" s="119">
        <v>0.11</v>
      </c>
      <c r="N54" s="123">
        <f t="shared" si="0"/>
        <v>0.27272727272727271</v>
      </c>
      <c r="O54" s="124">
        <v>0.5</v>
      </c>
      <c r="P54" s="125">
        <f t="shared" si="1"/>
        <v>3.3333333333333335E-3</v>
      </c>
      <c r="Q54" s="126">
        <v>0.5</v>
      </c>
      <c r="R54" s="124">
        <v>0.5</v>
      </c>
      <c r="S54" s="124">
        <v>0</v>
      </c>
      <c r="T54" s="119" t="s">
        <v>98</v>
      </c>
      <c r="U54" s="119" t="b">
        <v>0</v>
      </c>
      <c r="V54" s="119">
        <v>0.02</v>
      </c>
      <c r="W54" s="119">
        <v>0.02</v>
      </c>
      <c r="X54" s="119">
        <v>0</v>
      </c>
      <c r="Y54" t="b">
        <v>0</v>
      </c>
      <c r="AC54" s="119" t="s">
        <v>92</v>
      </c>
      <c r="AD54" s="119" t="s">
        <v>35</v>
      </c>
      <c r="AE54" s="119">
        <v>15</v>
      </c>
      <c r="AF54" s="119">
        <v>2.5000000000000001E-2</v>
      </c>
      <c r="AG54" s="119">
        <v>5</v>
      </c>
      <c r="AH54" s="119">
        <v>1.2</v>
      </c>
      <c r="AI54" s="119">
        <v>0.8</v>
      </c>
      <c r="AJ54" s="119" t="s">
        <v>103</v>
      </c>
      <c r="AK54" s="119" t="b">
        <v>1</v>
      </c>
      <c r="AL54" s="119" t="s">
        <v>77</v>
      </c>
      <c r="AM54" s="119" t="s">
        <v>246</v>
      </c>
      <c r="AN54" s="119">
        <v>6.6250000000000003E-2</v>
      </c>
      <c r="AO54" s="119">
        <v>7.7200000000000005E-2</v>
      </c>
      <c r="AP54" s="127">
        <v>0.12</v>
      </c>
      <c r="AQ54" s="128">
        <v>2.5000000000000001E-2</v>
      </c>
      <c r="AR54" s="129">
        <v>123</v>
      </c>
      <c r="AS54" s="119" t="s">
        <v>31</v>
      </c>
      <c r="AT54" s="119" t="s">
        <v>31</v>
      </c>
      <c r="AU54" s="123">
        <v>1.0159071729957805</v>
      </c>
      <c r="AV54" s="123">
        <v>1.0442616033755274</v>
      </c>
      <c r="AY54" s="120">
        <v>0</v>
      </c>
      <c r="AZ54" s="119" t="b">
        <v>1</v>
      </c>
      <c r="BA54" s="119" t="b">
        <v>1</v>
      </c>
      <c r="BB54" s="119" t="b">
        <v>0</v>
      </c>
      <c r="BC54" s="119">
        <v>0</v>
      </c>
      <c r="BD54" s="119" t="s">
        <v>3</v>
      </c>
      <c r="BE54" s="119" t="b">
        <v>1</v>
      </c>
      <c r="BF54" s="130" t="b">
        <v>1</v>
      </c>
    </row>
    <row r="55" spans="1:58" x14ac:dyDescent="0.25">
      <c r="C55" s="119"/>
      <c r="N55" s="20"/>
      <c r="O55" s="32"/>
      <c r="P55" s="4"/>
      <c r="Q55" s="116"/>
      <c r="R55" s="32"/>
      <c r="S55" s="32"/>
      <c r="AP55" s="3"/>
      <c r="AQ55" s="5"/>
      <c r="AR55" s="22"/>
      <c r="AU55" s="20"/>
      <c r="AV55" s="20"/>
      <c r="AY55" s="27"/>
      <c r="BF55" s="19"/>
    </row>
    <row r="56" spans="1:58" s="119" customFormat="1" x14ac:dyDescent="0.25">
      <c r="A56" s="119" t="s">
        <v>420</v>
      </c>
      <c r="B56" s="119" t="s">
        <v>426</v>
      </c>
      <c r="C56" s="119" t="b">
        <v>1</v>
      </c>
      <c r="D56" s="119" t="s">
        <v>418</v>
      </c>
      <c r="E56" s="119" t="s">
        <v>422</v>
      </c>
      <c r="F56" s="119" t="b">
        <v>0</v>
      </c>
      <c r="G56" s="119" t="s">
        <v>171</v>
      </c>
      <c r="H56" s="121" t="b">
        <v>1</v>
      </c>
      <c r="I56" s="121" t="b">
        <v>1</v>
      </c>
      <c r="J56" s="121" t="b">
        <v>1</v>
      </c>
      <c r="K56" s="119" t="b">
        <v>0</v>
      </c>
      <c r="L56" s="119" t="s">
        <v>101</v>
      </c>
      <c r="M56" s="119">
        <v>0.11</v>
      </c>
      <c r="N56" s="123">
        <f t="shared" si="0"/>
        <v>0.27272727272727271</v>
      </c>
      <c r="O56" s="124">
        <v>0.5</v>
      </c>
      <c r="P56" s="125">
        <f t="shared" si="1"/>
        <v>3.3333333333333335E-3</v>
      </c>
      <c r="Q56" s="126">
        <v>0</v>
      </c>
      <c r="R56" s="124">
        <v>0.5</v>
      </c>
      <c r="S56" s="124">
        <v>0</v>
      </c>
      <c r="T56" s="119" t="s">
        <v>98</v>
      </c>
      <c r="U56" s="119" t="b">
        <v>0</v>
      </c>
      <c r="V56" s="119">
        <v>0.03</v>
      </c>
      <c r="W56" s="119">
        <v>0.03</v>
      </c>
      <c r="X56" s="119">
        <v>0</v>
      </c>
      <c r="Y56" t="b">
        <v>0</v>
      </c>
      <c r="AC56" s="119" t="s">
        <v>92</v>
      </c>
      <c r="AD56" s="119" t="s">
        <v>35</v>
      </c>
      <c r="AE56" s="119">
        <v>15</v>
      </c>
      <c r="AF56" s="119">
        <v>2.5000000000000001E-2</v>
      </c>
      <c r="AG56" s="119">
        <v>5</v>
      </c>
      <c r="AH56" s="119">
        <v>1.2</v>
      </c>
      <c r="AI56" s="119">
        <v>0.8</v>
      </c>
      <c r="AJ56" s="119" t="s">
        <v>103</v>
      </c>
      <c r="AK56" s="119" t="b">
        <v>1</v>
      </c>
      <c r="AL56" s="119" t="s">
        <v>77</v>
      </c>
      <c r="AM56" s="119" t="s">
        <v>246</v>
      </c>
      <c r="AN56" s="119">
        <v>6.6250000000000003E-2</v>
      </c>
      <c r="AO56" s="119">
        <v>7.7200000000000005E-2</v>
      </c>
      <c r="AP56" s="127">
        <v>0.12</v>
      </c>
      <c r="AQ56" s="128">
        <v>2.5000000000000001E-2</v>
      </c>
      <c r="AR56" s="129">
        <v>123</v>
      </c>
      <c r="AS56" s="119" t="s">
        <v>31</v>
      </c>
      <c r="AT56" s="119" t="s">
        <v>31</v>
      </c>
      <c r="AU56" s="123">
        <v>0.70430136543757105</v>
      </c>
      <c r="AV56" s="123">
        <v>0.73294108984424244</v>
      </c>
      <c r="AY56" s="120">
        <v>0</v>
      </c>
      <c r="AZ56" s="119" t="b">
        <v>1</v>
      </c>
      <c r="BA56" s="119" t="b">
        <v>1</v>
      </c>
      <c r="BB56" s="119" t="b">
        <v>0</v>
      </c>
      <c r="BC56" s="119">
        <v>0</v>
      </c>
      <c r="BD56" s="119" t="s">
        <v>3</v>
      </c>
      <c r="BE56" s="119" t="b">
        <v>1</v>
      </c>
      <c r="BF56" s="130" t="b">
        <v>1</v>
      </c>
    </row>
    <row r="57" spans="1:58" s="119" customFormat="1" x14ac:dyDescent="0.25">
      <c r="A57" s="119" t="s">
        <v>421</v>
      </c>
      <c r="B57" s="119" t="s">
        <v>426</v>
      </c>
      <c r="C57" s="119" t="b">
        <v>1</v>
      </c>
      <c r="D57" s="119" t="s">
        <v>418</v>
      </c>
      <c r="E57" s="119" t="s">
        <v>423</v>
      </c>
      <c r="F57" s="119" t="b">
        <v>0</v>
      </c>
      <c r="G57" s="119" t="s">
        <v>173</v>
      </c>
      <c r="H57" s="121" t="b">
        <v>1</v>
      </c>
      <c r="I57" s="121" t="b">
        <v>1</v>
      </c>
      <c r="J57" s="121" t="b">
        <v>1</v>
      </c>
      <c r="K57" s="119" t="b">
        <v>0</v>
      </c>
      <c r="L57" s="119" t="s">
        <v>94</v>
      </c>
      <c r="M57" s="119">
        <v>0.11</v>
      </c>
      <c r="N57" s="123">
        <f t="shared" si="0"/>
        <v>0.27272727272727271</v>
      </c>
      <c r="O57" s="124">
        <v>0.5</v>
      </c>
      <c r="P57" s="125">
        <f t="shared" si="1"/>
        <v>3.3333333333333335E-3</v>
      </c>
      <c r="Q57" s="126">
        <v>0.5</v>
      </c>
      <c r="R57" s="124">
        <v>0.5</v>
      </c>
      <c r="S57" s="124">
        <v>0</v>
      </c>
      <c r="T57" s="119" t="s">
        <v>98</v>
      </c>
      <c r="U57" s="119" t="b">
        <v>0</v>
      </c>
      <c r="V57" s="119">
        <v>0.02</v>
      </c>
      <c r="W57" s="119">
        <v>0.02</v>
      </c>
      <c r="X57" s="119">
        <v>0</v>
      </c>
      <c r="Y57" t="b">
        <v>0</v>
      </c>
      <c r="AC57" s="119" t="s">
        <v>92</v>
      </c>
      <c r="AD57" s="119" t="s">
        <v>35</v>
      </c>
      <c r="AE57" s="119">
        <v>15</v>
      </c>
      <c r="AF57" s="119">
        <v>2.5000000000000001E-2</v>
      </c>
      <c r="AG57" s="119">
        <v>5</v>
      </c>
      <c r="AH57" s="119">
        <v>1.2</v>
      </c>
      <c r="AI57" s="119">
        <v>0.8</v>
      </c>
      <c r="AJ57" s="119" t="s">
        <v>103</v>
      </c>
      <c r="AK57" s="119" t="b">
        <v>1</v>
      </c>
      <c r="AL57" s="119" t="s">
        <v>77</v>
      </c>
      <c r="AM57" s="119" t="s">
        <v>246</v>
      </c>
      <c r="AN57" s="119">
        <v>6.6250000000000003E-2</v>
      </c>
      <c r="AO57" s="119">
        <v>7.7200000000000005E-2</v>
      </c>
      <c r="AP57" s="127">
        <v>0.12</v>
      </c>
      <c r="AQ57" s="128">
        <v>2.5000000000000001E-2</v>
      </c>
      <c r="AR57" s="129">
        <v>123</v>
      </c>
      <c r="AS57" s="119" t="s">
        <v>31</v>
      </c>
      <c r="AT57" s="119" t="s">
        <v>31</v>
      </c>
      <c r="AU57" s="123">
        <v>1.0159071729957805</v>
      </c>
      <c r="AV57" s="123">
        <v>1.0442616033755274</v>
      </c>
      <c r="AY57" s="120">
        <v>0</v>
      </c>
      <c r="AZ57" s="119" t="b">
        <v>1</v>
      </c>
      <c r="BA57" s="119" t="b">
        <v>1</v>
      </c>
      <c r="BB57" s="119" t="b">
        <v>0</v>
      </c>
      <c r="BC57" s="119">
        <v>0</v>
      </c>
      <c r="BD57" s="119" t="s">
        <v>3</v>
      </c>
      <c r="BE57" s="119" t="b">
        <v>1</v>
      </c>
      <c r="BF57" s="130" t="b">
        <v>1</v>
      </c>
    </row>
    <row r="58" spans="1:58" x14ac:dyDescent="0.25">
      <c r="C58" s="119"/>
      <c r="N58" s="20"/>
      <c r="O58" s="32"/>
      <c r="P58" s="4"/>
      <c r="Q58" s="116"/>
      <c r="R58" s="32"/>
      <c r="S58" s="32"/>
      <c r="AP58" s="3"/>
      <c r="AQ58" s="5"/>
      <c r="AR58" s="22"/>
      <c r="AU58" s="20"/>
      <c r="AV58" s="20"/>
      <c r="AY58" s="27"/>
      <c r="BF58" s="19"/>
    </row>
    <row r="59" spans="1:58" x14ac:dyDescent="0.25">
      <c r="C59" s="119"/>
      <c r="N59" s="20"/>
      <c r="O59" s="32"/>
      <c r="P59" s="4"/>
      <c r="Q59" s="116"/>
      <c r="R59" s="32"/>
      <c r="S59" s="32"/>
      <c r="AP59" s="3"/>
      <c r="AQ59" s="5"/>
      <c r="AR59" s="22"/>
      <c r="AU59" s="20"/>
      <c r="AV59" s="20"/>
      <c r="AY59" s="27"/>
      <c r="BF59" s="19"/>
    </row>
    <row r="60" spans="1:58" x14ac:dyDescent="0.25">
      <c r="C60" s="119"/>
      <c r="N60" s="20"/>
      <c r="O60" s="32"/>
      <c r="P60" s="4"/>
      <c r="Q60" s="116"/>
      <c r="R60" s="32"/>
      <c r="S60" s="32"/>
      <c r="AP60" s="3"/>
      <c r="AQ60" s="5"/>
      <c r="AR60" s="22"/>
      <c r="AU60" s="20"/>
      <c r="AV60" s="20"/>
      <c r="AY60" s="27"/>
      <c r="BF60" s="19"/>
    </row>
    <row r="61" spans="1:58" x14ac:dyDescent="0.25">
      <c r="C61" s="119"/>
    </row>
    <row r="62" spans="1:58" s="119" customFormat="1" x14ac:dyDescent="0.25">
      <c r="A62" s="119" t="s">
        <v>307</v>
      </c>
      <c r="C62" s="119" t="b">
        <v>0</v>
      </c>
      <c r="D62" s="119" t="s">
        <v>297</v>
      </c>
      <c r="E62" s="119" t="s">
        <v>245</v>
      </c>
      <c r="F62" s="119" t="b">
        <v>0</v>
      </c>
      <c r="G62" s="119" t="s">
        <v>301</v>
      </c>
      <c r="H62" s="119" t="b">
        <v>0</v>
      </c>
      <c r="I62" s="119" t="b">
        <v>0</v>
      </c>
      <c r="J62" s="119" t="b">
        <v>0</v>
      </c>
      <c r="K62" s="119" t="b">
        <v>0</v>
      </c>
      <c r="L62" s="119" t="s">
        <v>101</v>
      </c>
      <c r="M62" s="119">
        <v>0.11</v>
      </c>
      <c r="N62" s="123">
        <f t="shared" si="0"/>
        <v>0.27272727272727271</v>
      </c>
      <c r="O62" s="124">
        <v>0.5</v>
      </c>
      <c r="P62" s="125">
        <f t="shared" si="1"/>
        <v>3.3333333333333335E-3</v>
      </c>
      <c r="Q62" s="126">
        <v>0</v>
      </c>
      <c r="R62" s="124">
        <v>0.5</v>
      </c>
      <c r="S62" s="124">
        <v>0</v>
      </c>
      <c r="T62" s="119" t="s">
        <v>98</v>
      </c>
      <c r="U62" s="119" t="b">
        <v>0</v>
      </c>
      <c r="V62" s="119">
        <v>0.03</v>
      </c>
      <c r="W62" s="119">
        <v>0.03</v>
      </c>
      <c r="X62" s="119">
        <v>0</v>
      </c>
      <c r="Y62" t="b">
        <v>1</v>
      </c>
      <c r="Z62" s="119">
        <v>1</v>
      </c>
      <c r="AA62" s="119">
        <v>20</v>
      </c>
      <c r="AB62" s="119">
        <v>0.03</v>
      </c>
      <c r="AC62" s="119" t="s">
        <v>92</v>
      </c>
      <c r="AD62" s="119" t="s">
        <v>35</v>
      </c>
      <c r="AE62" s="119">
        <v>20</v>
      </c>
      <c r="AF62" s="119">
        <v>2.75E-2</v>
      </c>
      <c r="AG62" s="119">
        <v>5</v>
      </c>
      <c r="AH62" s="119">
        <v>1.2</v>
      </c>
      <c r="AI62" s="119">
        <v>0.8</v>
      </c>
      <c r="AJ62" s="119" t="s">
        <v>103</v>
      </c>
      <c r="AK62" s="119" t="b">
        <v>1</v>
      </c>
      <c r="AL62" s="119" t="s">
        <v>77</v>
      </c>
      <c r="AM62" s="119" t="s">
        <v>246</v>
      </c>
      <c r="AN62" s="119">
        <v>6.6250000000000003E-2</v>
      </c>
      <c r="AO62" s="119">
        <v>7.7200000000000005E-2</v>
      </c>
      <c r="AP62" s="127">
        <v>0.12</v>
      </c>
      <c r="AQ62" s="128">
        <v>2.5000000000000001E-2</v>
      </c>
      <c r="AR62" s="129">
        <v>123</v>
      </c>
      <c r="AS62" s="119" t="s">
        <v>31</v>
      </c>
      <c r="AT62" s="119" t="s">
        <v>31</v>
      </c>
      <c r="AU62" s="123">
        <v>0.49181956819187989</v>
      </c>
      <c r="AV62" s="123">
        <v>0.51298615267558034</v>
      </c>
      <c r="AY62" s="120">
        <v>0</v>
      </c>
      <c r="AZ62" s="119" t="b">
        <v>1</v>
      </c>
      <c r="BA62" s="119" t="b">
        <v>1</v>
      </c>
      <c r="BB62" s="119" t="b">
        <v>0</v>
      </c>
      <c r="BC62" s="119">
        <v>0</v>
      </c>
      <c r="BD62" s="119" t="s">
        <v>3</v>
      </c>
      <c r="BE62" s="119" t="b">
        <v>1</v>
      </c>
      <c r="BF62" s="130" t="b">
        <v>1</v>
      </c>
    </row>
    <row r="63" spans="1:58" s="119" customFormat="1" x14ac:dyDescent="0.25">
      <c r="A63" s="119" t="s">
        <v>308</v>
      </c>
      <c r="C63" s="119" t="b">
        <v>0</v>
      </c>
      <c r="D63" s="119" t="s">
        <v>297</v>
      </c>
      <c r="E63" s="119" t="s">
        <v>247</v>
      </c>
      <c r="F63" s="119" t="b">
        <v>0</v>
      </c>
      <c r="G63" s="119" t="s">
        <v>302</v>
      </c>
      <c r="H63" s="119" t="b">
        <v>0</v>
      </c>
      <c r="I63" s="119" t="b">
        <v>0</v>
      </c>
      <c r="J63" s="119" t="b">
        <v>0</v>
      </c>
      <c r="K63" s="119" t="b">
        <v>0</v>
      </c>
      <c r="L63" s="119" t="s">
        <v>94</v>
      </c>
      <c r="M63" s="119">
        <v>0.11</v>
      </c>
      <c r="N63" s="123">
        <f t="shared" si="0"/>
        <v>0.27272727272727271</v>
      </c>
      <c r="O63" s="124">
        <v>0.5</v>
      </c>
      <c r="P63" s="125">
        <f t="shared" si="1"/>
        <v>3.3333333333333335E-3</v>
      </c>
      <c r="Q63" s="126">
        <v>0.5</v>
      </c>
      <c r="R63" s="124">
        <v>0.5</v>
      </c>
      <c r="S63" s="124">
        <v>0.5</v>
      </c>
      <c r="T63" s="119" t="s">
        <v>98</v>
      </c>
      <c r="U63" s="119" t="b">
        <v>0</v>
      </c>
      <c r="V63" s="119">
        <v>1.7500000000000002E-2</v>
      </c>
      <c r="W63" s="119">
        <v>1.7500000000000002E-2</v>
      </c>
      <c r="X63" s="119">
        <v>0</v>
      </c>
      <c r="Y63" t="b">
        <v>1</v>
      </c>
      <c r="Z63" s="119">
        <v>1</v>
      </c>
      <c r="AA63" s="119">
        <v>20</v>
      </c>
      <c r="AB63" s="119">
        <v>0.03</v>
      </c>
      <c r="AC63" s="119" t="s">
        <v>92</v>
      </c>
      <c r="AD63" s="119" t="s">
        <v>35</v>
      </c>
      <c r="AE63" s="119">
        <v>10</v>
      </c>
      <c r="AF63" s="119">
        <v>2.75E-2</v>
      </c>
      <c r="AG63" s="119">
        <v>5</v>
      </c>
      <c r="AH63" s="119">
        <v>1.2</v>
      </c>
      <c r="AI63" s="119">
        <v>0.8</v>
      </c>
      <c r="AJ63" s="119" t="s">
        <v>103</v>
      </c>
      <c r="AK63" s="119" t="b">
        <v>1</v>
      </c>
      <c r="AL63" s="119" t="s">
        <v>77</v>
      </c>
      <c r="AM63" s="119" t="s">
        <v>246</v>
      </c>
      <c r="AN63" s="119">
        <v>6.6250000000000003E-2</v>
      </c>
      <c r="AO63" s="119">
        <v>7.7200000000000005E-2</v>
      </c>
      <c r="AP63" s="127">
        <v>0.12</v>
      </c>
      <c r="AQ63" s="128">
        <v>2.5000000000000001E-2</v>
      </c>
      <c r="AR63" s="129">
        <v>123</v>
      </c>
      <c r="AS63" s="119" t="s">
        <v>31</v>
      </c>
      <c r="AT63" s="119" t="s">
        <v>31</v>
      </c>
      <c r="AU63" s="123">
        <v>0.87353052212008675</v>
      </c>
      <c r="AV63" s="123">
        <v>0.89731433437810026</v>
      </c>
      <c r="AY63" s="120">
        <v>0</v>
      </c>
      <c r="AZ63" s="119" t="b">
        <v>1</v>
      </c>
      <c r="BA63" s="119" t="b">
        <v>1</v>
      </c>
      <c r="BB63" s="119" t="b">
        <v>0</v>
      </c>
      <c r="BC63" s="119">
        <v>0</v>
      </c>
      <c r="BD63" s="119" t="s">
        <v>3</v>
      </c>
      <c r="BE63" s="119" t="b">
        <v>1</v>
      </c>
      <c r="BF63" s="130" t="b">
        <v>1</v>
      </c>
    </row>
    <row r="64" spans="1:58" x14ac:dyDescent="0.25">
      <c r="N64" s="20"/>
      <c r="O64" s="32"/>
      <c r="P64" s="4"/>
      <c r="Q64" s="116"/>
      <c r="R64" s="32"/>
      <c r="S64" s="32"/>
      <c r="AP64" s="3"/>
      <c r="AQ64" s="5"/>
      <c r="AR64" s="22"/>
      <c r="AU64" s="20"/>
      <c r="AV64" s="20"/>
      <c r="AY64" s="27"/>
      <c r="BF64" s="19"/>
    </row>
    <row r="65" spans="1:58" s="119" customFormat="1" x14ac:dyDescent="0.25">
      <c r="A65" s="119" t="s">
        <v>233</v>
      </c>
      <c r="C65" s="119" t="b">
        <v>0</v>
      </c>
      <c r="D65" s="119" t="s">
        <v>166</v>
      </c>
      <c r="E65" s="119" t="s">
        <v>158</v>
      </c>
      <c r="F65" s="119" t="b">
        <v>0</v>
      </c>
      <c r="G65" s="119" t="s">
        <v>171</v>
      </c>
      <c r="H65" s="119" t="b">
        <v>0</v>
      </c>
      <c r="I65" s="119" t="b">
        <v>0</v>
      </c>
      <c r="J65" s="119" t="b">
        <v>0</v>
      </c>
      <c r="K65" s="119" t="b">
        <v>0</v>
      </c>
      <c r="L65" s="119" t="s">
        <v>101</v>
      </c>
      <c r="M65" s="119">
        <v>0.11</v>
      </c>
      <c r="N65" s="123">
        <f t="shared" si="0"/>
        <v>0.27272727272727271</v>
      </c>
      <c r="O65" s="124">
        <v>0.5</v>
      </c>
      <c r="P65" s="125">
        <f t="shared" si="1"/>
        <v>3.3333333333333335E-3</v>
      </c>
      <c r="Q65" s="126">
        <v>0</v>
      </c>
      <c r="R65" s="124">
        <v>0.5</v>
      </c>
      <c r="S65" s="124">
        <v>0</v>
      </c>
      <c r="T65" s="119" t="s">
        <v>98</v>
      </c>
      <c r="U65" s="119" t="b">
        <v>0</v>
      </c>
      <c r="V65" s="119">
        <v>0.03</v>
      </c>
      <c r="W65" s="119">
        <v>0.03</v>
      </c>
      <c r="X65" s="119">
        <v>0</v>
      </c>
      <c r="Y65" t="b">
        <v>1</v>
      </c>
      <c r="Z65" s="119">
        <v>1</v>
      </c>
      <c r="AA65" s="119">
        <v>20</v>
      </c>
      <c r="AB65" s="119">
        <v>0.03</v>
      </c>
      <c r="AC65" s="119" t="s">
        <v>92</v>
      </c>
      <c r="AD65" s="119" t="s">
        <v>35</v>
      </c>
      <c r="AE65" s="119">
        <v>15</v>
      </c>
      <c r="AF65" s="119">
        <v>2.5000000000000001E-2</v>
      </c>
      <c r="AG65" s="119">
        <v>5</v>
      </c>
      <c r="AH65" s="119">
        <v>1.2</v>
      </c>
      <c r="AI65" s="119">
        <v>0.8</v>
      </c>
      <c r="AJ65" s="119" t="s">
        <v>103</v>
      </c>
      <c r="AK65" s="119" t="b">
        <v>1</v>
      </c>
      <c r="AL65" s="119" t="s">
        <v>77</v>
      </c>
      <c r="AM65" s="119" t="s">
        <v>246</v>
      </c>
      <c r="AN65" s="119">
        <v>6.6250000000000003E-2</v>
      </c>
      <c r="AO65" s="119">
        <v>7.7200000000000005E-2</v>
      </c>
      <c r="AP65" s="127">
        <v>0.12</v>
      </c>
      <c r="AQ65" s="128">
        <v>2.5000000000000001E-2</v>
      </c>
      <c r="AR65" s="129">
        <v>123</v>
      </c>
      <c r="AS65" s="119" t="s">
        <v>31</v>
      </c>
      <c r="AT65" s="119" t="s">
        <v>31</v>
      </c>
      <c r="AU65" s="123">
        <v>0.70430136543757105</v>
      </c>
      <c r="AV65" s="123">
        <v>0.73294108984424244</v>
      </c>
      <c r="AY65" s="120">
        <v>0</v>
      </c>
      <c r="AZ65" s="119" t="b">
        <v>1</v>
      </c>
      <c r="BA65" s="119" t="b">
        <v>1</v>
      </c>
      <c r="BB65" s="119" t="b">
        <v>0</v>
      </c>
      <c r="BC65" s="119">
        <v>0</v>
      </c>
      <c r="BD65" s="119" t="s">
        <v>3</v>
      </c>
      <c r="BE65" s="119" t="b">
        <v>1</v>
      </c>
      <c r="BF65" s="130" t="b">
        <v>1</v>
      </c>
    </row>
    <row r="66" spans="1:58" s="119" customFormat="1" x14ac:dyDescent="0.25">
      <c r="A66" s="119" t="s">
        <v>234</v>
      </c>
      <c r="C66" s="119" t="b">
        <v>0</v>
      </c>
      <c r="D66" s="119" t="s">
        <v>166</v>
      </c>
      <c r="E66" s="119" t="s">
        <v>160</v>
      </c>
      <c r="F66" s="119" t="b">
        <v>0</v>
      </c>
      <c r="G66" s="119" t="s">
        <v>173</v>
      </c>
      <c r="H66" s="119" t="b">
        <v>0</v>
      </c>
      <c r="I66" s="119" t="b">
        <v>0</v>
      </c>
      <c r="J66" s="119" t="b">
        <v>0</v>
      </c>
      <c r="K66" s="119" t="b">
        <v>0</v>
      </c>
      <c r="L66" s="119" t="s">
        <v>94</v>
      </c>
      <c r="M66" s="119">
        <v>0.11</v>
      </c>
      <c r="N66" s="123">
        <f t="shared" si="0"/>
        <v>0.27272727272727271</v>
      </c>
      <c r="O66" s="124">
        <v>0.5</v>
      </c>
      <c r="P66" s="125">
        <f t="shared" si="1"/>
        <v>3.3333333333333335E-3</v>
      </c>
      <c r="Q66" s="126">
        <v>0.5</v>
      </c>
      <c r="R66" s="124">
        <v>0.5</v>
      </c>
      <c r="S66" s="124">
        <v>0</v>
      </c>
      <c r="T66" s="119" t="s">
        <v>98</v>
      </c>
      <c r="U66" s="119" t="b">
        <v>0</v>
      </c>
      <c r="V66" s="119">
        <v>0.02</v>
      </c>
      <c r="W66" s="119">
        <v>0.02</v>
      </c>
      <c r="X66" s="119">
        <v>0</v>
      </c>
      <c r="Y66" t="b">
        <v>1</v>
      </c>
      <c r="Z66" s="119">
        <v>1</v>
      </c>
      <c r="AA66" s="119">
        <v>20</v>
      </c>
      <c r="AB66" s="119">
        <v>0.03</v>
      </c>
      <c r="AC66" s="119" t="s">
        <v>92</v>
      </c>
      <c r="AD66" s="119" t="s">
        <v>35</v>
      </c>
      <c r="AE66" s="119">
        <v>15</v>
      </c>
      <c r="AF66" s="119">
        <v>2.5000000000000001E-2</v>
      </c>
      <c r="AG66" s="119">
        <v>5</v>
      </c>
      <c r="AH66" s="119">
        <v>1.2</v>
      </c>
      <c r="AI66" s="119">
        <v>0.8</v>
      </c>
      <c r="AJ66" s="119" t="s">
        <v>103</v>
      </c>
      <c r="AK66" s="119" t="b">
        <v>1</v>
      </c>
      <c r="AL66" s="119" t="s">
        <v>77</v>
      </c>
      <c r="AM66" s="119" t="s">
        <v>246</v>
      </c>
      <c r="AN66" s="119">
        <v>6.6250000000000003E-2</v>
      </c>
      <c r="AO66" s="119">
        <v>7.7200000000000005E-2</v>
      </c>
      <c r="AP66" s="127">
        <v>0.12</v>
      </c>
      <c r="AQ66" s="128">
        <v>2.5000000000000001E-2</v>
      </c>
      <c r="AR66" s="129">
        <v>123</v>
      </c>
      <c r="AS66" s="119" t="s">
        <v>31</v>
      </c>
      <c r="AT66" s="119" t="s">
        <v>31</v>
      </c>
      <c r="AU66" s="123">
        <v>1.0159071729957805</v>
      </c>
      <c r="AV66" s="123">
        <v>1.0442616033755274</v>
      </c>
      <c r="AY66" s="120">
        <v>0</v>
      </c>
      <c r="AZ66" s="119" t="b">
        <v>1</v>
      </c>
      <c r="BA66" s="119" t="b">
        <v>1</v>
      </c>
      <c r="BB66" s="119" t="b">
        <v>0</v>
      </c>
      <c r="BC66" s="119">
        <v>0</v>
      </c>
      <c r="BD66" s="119" t="s">
        <v>3</v>
      </c>
      <c r="BE66" s="119" t="b">
        <v>1</v>
      </c>
      <c r="BF66" s="130" t="b">
        <v>1</v>
      </c>
    </row>
    <row r="67" spans="1:58" x14ac:dyDescent="0.25">
      <c r="N67" s="20"/>
      <c r="O67" s="32"/>
      <c r="P67" s="4"/>
      <c r="Q67" s="116"/>
      <c r="R67" s="32"/>
      <c r="S67" s="32"/>
      <c r="AP67" s="3"/>
      <c r="AQ67" s="5"/>
      <c r="AR67" s="22"/>
      <c r="AY67" s="27"/>
      <c r="BF67" s="19"/>
    </row>
    <row r="68" spans="1:58" x14ac:dyDescent="0.25">
      <c r="N68" s="20"/>
      <c r="O68" s="32"/>
      <c r="P68" s="4"/>
      <c r="Q68" s="116"/>
      <c r="R68" s="32"/>
      <c r="S68" s="32"/>
      <c r="AP68" s="3"/>
      <c r="AQ68" s="5"/>
      <c r="AR68" s="22"/>
      <c r="AY68" s="27"/>
      <c r="BF68" s="19"/>
    </row>
    <row r="69" spans="1:58" x14ac:dyDescent="0.25">
      <c r="N69" s="20"/>
      <c r="O69" s="32"/>
      <c r="P69" s="4"/>
      <c r="Q69" s="116"/>
      <c r="R69" s="32"/>
      <c r="S69" s="32"/>
      <c r="AP69" s="3"/>
      <c r="AQ69" s="5"/>
      <c r="AR69" s="22"/>
      <c r="AU69" s="20"/>
      <c r="AV69" s="20"/>
      <c r="AY69" s="27"/>
      <c r="BF69" s="19"/>
    </row>
    <row r="70" spans="1:58" x14ac:dyDescent="0.25">
      <c r="N70" s="20"/>
      <c r="O70" s="32"/>
      <c r="P70" s="4"/>
      <c r="Q70" s="116"/>
      <c r="R70" s="32"/>
      <c r="S70" s="32"/>
      <c r="AP70" s="3"/>
      <c r="AQ70" s="5"/>
      <c r="AR70" s="22"/>
      <c r="AU70" s="20"/>
      <c r="AV70" s="20"/>
      <c r="AY70" s="27"/>
      <c r="BF70" s="19"/>
    </row>
    <row r="71" spans="1:58" s="131" customFormat="1" x14ac:dyDescent="0.25">
      <c r="A71" s="131" t="s">
        <v>199</v>
      </c>
      <c r="C71" s="119" t="b">
        <v>0</v>
      </c>
      <c r="D71" s="131" t="s">
        <v>188</v>
      </c>
      <c r="E71" s="131" t="s">
        <v>158</v>
      </c>
      <c r="F71" s="131" t="b">
        <v>0</v>
      </c>
      <c r="G71" s="131" t="s">
        <v>171</v>
      </c>
      <c r="H71" s="131" t="b">
        <v>1</v>
      </c>
      <c r="I71" s="132" t="b">
        <v>0</v>
      </c>
      <c r="J71" s="131" t="b">
        <v>1</v>
      </c>
      <c r="K71" s="131" t="b">
        <v>1</v>
      </c>
      <c r="L71" s="131" t="s">
        <v>101</v>
      </c>
      <c r="M71" s="131">
        <v>0.11</v>
      </c>
      <c r="N71" s="133">
        <f t="shared" si="0"/>
        <v>0.27272727272727271</v>
      </c>
      <c r="O71" s="134">
        <v>0.5</v>
      </c>
      <c r="P71" s="135">
        <f t="shared" si="1"/>
        <v>3.3333333333333335E-3</v>
      </c>
      <c r="Q71" s="136">
        <v>0</v>
      </c>
      <c r="R71" s="134">
        <v>0.5</v>
      </c>
      <c r="S71" s="134"/>
      <c r="T71" s="131" t="s">
        <v>98</v>
      </c>
      <c r="U71" s="131" t="b">
        <v>0</v>
      </c>
      <c r="V71" s="132">
        <v>2.5000000000000001E-2</v>
      </c>
      <c r="W71" s="131">
        <v>0.03</v>
      </c>
      <c r="X71" s="131">
        <v>0</v>
      </c>
      <c r="Y71" t="b">
        <v>0</v>
      </c>
      <c r="AC71" s="131" t="s">
        <v>92</v>
      </c>
      <c r="AD71" s="131" t="s">
        <v>35</v>
      </c>
      <c r="AE71" s="131">
        <v>15</v>
      </c>
      <c r="AF71" s="131">
        <v>2.5000000000000001E-2</v>
      </c>
      <c r="AG71" s="131">
        <v>5</v>
      </c>
      <c r="AH71" s="131">
        <v>1.2</v>
      </c>
      <c r="AI71" s="131">
        <v>0.8</v>
      </c>
      <c r="AJ71" s="131" t="s">
        <v>103</v>
      </c>
      <c r="AK71" s="131" t="b">
        <v>1</v>
      </c>
      <c r="AL71" s="131" t="s">
        <v>77</v>
      </c>
      <c r="AM71" s="131" t="s">
        <v>20</v>
      </c>
      <c r="AN71" s="131">
        <v>6.7500000000000004E-2</v>
      </c>
      <c r="AO71" s="131">
        <v>7.7200000000000005E-2</v>
      </c>
      <c r="AP71" s="137">
        <v>0.12</v>
      </c>
      <c r="AQ71" s="138">
        <v>2.5000000000000001E-2</v>
      </c>
      <c r="AR71" s="139">
        <v>123</v>
      </c>
      <c r="AS71" s="131" t="s">
        <v>31</v>
      </c>
      <c r="AT71" s="131" t="s">
        <v>31</v>
      </c>
      <c r="AU71" s="140">
        <v>0.7177631600179436</v>
      </c>
      <c r="AV71" s="140">
        <v>0.74141988775539847</v>
      </c>
      <c r="AY71" s="141">
        <v>0</v>
      </c>
      <c r="AZ71" s="131" t="b">
        <v>1</v>
      </c>
      <c r="BA71" s="131" t="b">
        <v>1</v>
      </c>
      <c r="BB71" s="131" t="b">
        <v>0</v>
      </c>
      <c r="BC71" s="131">
        <v>0</v>
      </c>
      <c r="BD71" s="131" t="s">
        <v>3</v>
      </c>
      <c r="BE71" s="131" t="b">
        <v>1</v>
      </c>
      <c r="BF71" s="142" t="b">
        <v>1</v>
      </c>
    </row>
    <row r="72" spans="1:58" s="131" customFormat="1" x14ac:dyDescent="0.25">
      <c r="A72" s="131" t="s">
        <v>200</v>
      </c>
      <c r="C72" s="119" t="b">
        <v>0</v>
      </c>
      <c r="D72" s="131" t="s">
        <v>188</v>
      </c>
      <c r="E72" s="131" t="s">
        <v>160</v>
      </c>
      <c r="F72" s="131" t="b">
        <v>0</v>
      </c>
      <c r="G72" s="131" t="s">
        <v>173</v>
      </c>
      <c r="H72" s="131" t="b">
        <v>1</v>
      </c>
      <c r="I72" s="132" t="b">
        <v>0</v>
      </c>
      <c r="J72" s="131" t="b">
        <v>1</v>
      </c>
      <c r="K72" s="131" t="b">
        <v>1</v>
      </c>
      <c r="L72" s="131" t="s">
        <v>94</v>
      </c>
      <c r="M72" s="131">
        <v>0.11</v>
      </c>
      <c r="N72" s="140">
        <f t="shared" si="0"/>
        <v>0.27272727272727271</v>
      </c>
      <c r="O72" s="143">
        <v>0.5</v>
      </c>
      <c r="P72" s="144">
        <f t="shared" si="1"/>
        <v>3.3333333333333335E-3</v>
      </c>
      <c r="Q72" s="145">
        <v>0.5</v>
      </c>
      <c r="R72" s="143">
        <v>0.5</v>
      </c>
      <c r="S72" s="143"/>
      <c r="T72" s="131" t="s">
        <v>98</v>
      </c>
      <c r="U72" s="131" t="b">
        <v>0</v>
      </c>
      <c r="V72" s="132">
        <v>0.02</v>
      </c>
      <c r="W72" s="131">
        <v>0.02</v>
      </c>
      <c r="X72" s="131">
        <v>0</v>
      </c>
      <c r="Y72" t="b">
        <v>0</v>
      </c>
      <c r="AC72" s="131" t="s">
        <v>92</v>
      </c>
      <c r="AD72" s="131" t="s">
        <v>35</v>
      </c>
      <c r="AE72" s="131">
        <v>15</v>
      </c>
      <c r="AF72" s="131">
        <v>2.5000000000000001E-2</v>
      </c>
      <c r="AG72" s="131">
        <v>5</v>
      </c>
      <c r="AH72" s="131">
        <v>1.2</v>
      </c>
      <c r="AI72" s="131">
        <v>0.8</v>
      </c>
      <c r="AJ72" s="131" t="s">
        <v>103</v>
      </c>
      <c r="AK72" s="131" t="b">
        <v>1</v>
      </c>
      <c r="AL72" s="131" t="s">
        <v>77</v>
      </c>
      <c r="AM72" s="131" t="s">
        <v>20</v>
      </c>
      <c r="AN72" s="131">
        <v>6.7500000000000004E-2</v>
      </c>
      <c r="AO72" s="131">
        <v>7.7200000000000005E-2</v>
      </c>
      <c r="AP72" s="137">
        <v>0.12</v>
      </c>
      <c r="AQ72" s="138">
        <v>2.5000000000000001E-2</v>
      </c>
      <c r="AR72" s="139">
        <v>123</v>
      </c>
      <c r="AS72" s="131" t="s">
        <v>31</v>
      </c>
      <c r="AT72" s="131" t="s">
        <v>31</v>
      </c>
      <c r="AU72" s="140">
        <v>0.97571945376918812</v>
      </c>
      <c r="AV72" s="140">
        <v>0.99507870807939247</v>
      </c>
      <c r="AY72" s="141">
        <v>0</v>
      </c>
      <c r="AZ72" s="131" t="b">
        <v>1</v>
      </c>
      <c r="BA72" s="131" t="b">
        <v>1</v>
      </c>
      <c r="BB72" s="131" t="b">
        <v>0</v>
      </c>
      <c r="BC72" s="131">
        <v>0</v>
      </c>
      <c r="BD72" s="131" t="s">
        <v>3</v>
      </c>
      <c r="BE72" s="131" t="b">
        <v>1</v>
      </c>
      <c r="BF72" s="142" t="b">
        <v>1</v>
      </c>
    </row>
    <row r="73" spans="1:58" x14ac:dyDescent="0.25">
      <c r="N73" s="20"/>
      <c r="O73" s="32"/>
      <c r="P73" s="4"/>
      <c r="Q73" s="116"/>
      <c r="R73" s="32"/>
      <c r="S73" s="32"/>
      <c r="AP73" s="3"/>
      <c r="AQ73" s="5"/>
      <c r="AR73" s="22"/>
      <c r="AU73" s="20"/>
      <c r="AV73" s="20"/>
      <c r="AY73" s="27"/>
      <c r="BF73" s="19"/>
    </row>
    <row r="74" spans="1:58" s="159" customFormat="1" x14ac:dyDescent="0.25">
      <c r="A74" s="159" t="s">
        <v>204</v>
      </c>
      <c r="C74" s="159" t="b">
        <v>0</v>
      </c>
      <c r="D74" s="159" t="s">
        <v>189</v>
      </c>
      <c r="E74" s="159" t="s">
        <v>158</v>
      </c>
      <c r="F74" s="159" t="b">
        <v>0</v>
      </c>
      <c r="G74" s="159" t="s">
        <v>171</v>
      </c>
      <c r="H74" s="159" t="b">
        <v>1</v>
      </c>
      <c r="I74" s="160" t="b">
        <v>0</v>
      </c>
      <c r="J74" s="159" t="b">
        <v>1</v>
      </c>
      <c r="L74" s="161" t="s">
        <v>94</v>
      </c>
      <c r="M74" s="159">
        <v>0.11</v>
      </c>
      <c r="N74" s="162">
        <f t="shared" si="0"/>
        <v>0.27272727272727271</v>
      </c>
      <c r="O74" s="163">
        <v>0.5</v>
      </c>
      <c r="P74" s="164">
        <f t="shared" si="1"/>
        <v>3.3333333333333335E-3</v>
      </c>
      <c r="Q74" s="165">
        <v>0</v>
      </c>
      <c r="R74" s="163">
        <v>0.5</v>
      </c>
      <c r="S74" s="163"/>
      <c r="T74" s="159" t="s">
        <v>98</v>
      </c>
      <c r="U74" s="160" t="b">
        <v>1</v>
      </c>
      <c r="V74" s="160">
        <v>0</v>
      </c>
      <c r="W74" s="159">
        <v>0.03</v>
      </c>
      <c r="X74" s="159">
        <v>0</v>
      </c>
      <c r="AC74" s="159" t="s">
        <v>92</v>
      </c>
      <c r="AD74" s="159" t="s">
        <v>35</v>
      </c>
      <c r="AE74" s="159">
        <v>15</v>
      </c>
      <c r="AF74" s="159">
        <v>2.5000000000000001E-2</v>
      </c>
      <c r="AG74" s="159">
        <v>5</v>
      </c>
      <c r="AH74" s="159">
        <v>1.2</v>
      </c>
      <c r="AI74" s="159">
        <v>0.8</v>
      </c>
      <c r="AJ74" s="159" t="s">
        <v>103</v>
      </c>
      <c r="AK74" s="159" t="b">
        <v>1</v>
      </c>
      <c r="AL74" s="159" t="s">
        <v>77</v>
      </c>
      <c r="AM74" s="159" t="s">
        <v>20</v>
      </c>
      <c r="AN74" s="159">
        <v>6.7500000000000004E-2</v>
      </c>
      <c r="AO74" s="159">
        <v>7.7200000000000005E-2</v>
      </c>
      <c r="AP74" s="166">
        <v>0.12</v>
      </c>
      <c r="AQ74" s="167">
        <v>2.5000000000000001E-2</v>
      </c>
      <c r="AR74" s="168">
        <v>123</v>
      </c>
      <c r="AS74" s="159" t="s">
        <v>31</v>
      </c>
      <c r="AT74" s="159" t="s">
        <v>31</v>
      </c>
      <c r="AU74" s="162">
        <v>0.7177631600179436</v>
      </c>
      <c r="AV74" s="162">
        <v>0.74141988775539847</v>
      </c>
      <c r="AY74" s="169">
        <v>0</v>
      </c>
      <c r="AZ74" s="159" t="b">
        <v>1</v>
      </c>
      <c r="BA74" s="159" t="b">
        <v>1</v>
      </c>
      <c r="BB74" s="159" t="b">
        <v>0</v>
      </c>
      <c r="BC74" s="159">
        <v>0</v>
      </c>
      <c r="BD74" s="159" t="s">
        <v>3</v>
      </c>
      <c r="BE74" s="159" t="b">
        <v>1</v>
      </c>
      <c r="BF74" s="170" t="b">
        <v>1</v>
      </c>
    </row>
    <row r="75" spans="1:58" s="159" customFormat="1" x14ac:dyDescent="0.25">
      <c r="A75" s="159" t="s">
        <v>205</v>
      </c>
      <c r="C75" s="159" t="b">
        <v>0</v>
      </c>
      <c r="D75" s="159" t="s">
        <v>189</v>
      </c>
      <c r="E75" s="159" t="s">
        <v>160</v>
      </c>
      <c r="F75" s="159" t="b">
        <v>0</v>
      </c>
      <c r="G75" s="159" t="s">
        <v>173</v>
      </c>
      <c r="H75" s="159" t="b">
        <v>1</v>
      </c>
      <c r="I75" s="160" t="b">
        <v>0</v>
      </c>
      <c r="J75" s="159" t="b">
        <v>1</v>
      </c>
      <c r="L75" s="160" t="s">
        <v>94</v>
      </c>
      <c r="M75" s="159">
        <v>0.11</v>
      </c>
      <c r="N75" s="162">
        <f t="shared" si="0"/>
        <v>0.27272727272727271</v>
      </c>
      <c r="O75" s="163">
        <v>0.5</v>
      </c>
      <c r="P75" s="164">
        <f t="shared" si="1"/>
        <v>3.3333333333333335E-3</v>
      </c>
      <c r="Q75" s="171">
        <v>0.5</v>
      </c>
      <c r="R75" s="163">
        <v>0.5</v>
      </c>
      <c r="S75" s="163"/>
      <c r="T75" s="159" t="s">
        <v>98</v>
      </c>
      <c r="U75" s="160" t="b">
        <v>1</v>
      </c>
      <c r="V75" s="160">
        <v>0</v>
      </c>
      <c r="W75" s="159">
        <v>0.02</v>
      </c>
      <c r="X75" s="159">
        <v>0</v>
      </c>
      <c r="AC75" s="159" t="s">
        <v>92</v>
      </c>
      <c r="AD75" s="159" t="s">
        <v>35</v>
      </c>
      <c r="AE75" s="159">
        <v>15</v>
      </c>
      <c r="AF75" s="159">
        <v>2.5000000000000001E-2</v>
      </c>
      <c r="AG75" s="159">
        <v>5</v>
      </c>
      <c r="AH75" s="159">
        <v>1.2</v>
      </c>
      <c r="AI75" s="159">
        <v>0.8</v>
      </c>
      <c r="AJ75" s="159" t="s">
        <v>103</v>
      </c>
      <c r="AK75" s="159" t="b">
        <v>1</v>
      </c>
      <c r="AL75" s="159" t="s">
        <v>77</v>
      </c>
      <c r="AM75" s="159" t="s">
        <v>20</v>
      </c>
      <c r="AN75" s="159">
        <v>6.7500000000000004E-2</v>
      </c>
      <c r="AO75" s="159">
        <v>7.7200000000000005E-2</v>
      </c>
      <c r="AP75" s="166">
        <v>0.12</v>
      </c>
      <c r="AQ75" s="167">
        <v>2.5000000000000001E-2</v>
      </c>
      <c r="AR75" s="168">
        <v>123</v>
      </c>
      <c r="AS75" s="159" t="s">
        <v>31</v>
      </c>
      <c r="AT75" s="159" t="s">
        <v>31</v>
      </c>
      <c r="AU75" s="162">
        <v>0.97571945376918812</v>
      </c>
      <c r="AV75" s="162">
        <v>0.99507870807939247</v>
      </c>
      <c r="AY75" s="169">
        <v>0</v>
      </c>
      <c r="AZ75" s="159" t="b">
        <v>1</v>
      </c>
      <c r="BA75" s="159" t="b">
        <v>1</v>
      </c>
      <c r="BB75" s="159" t="b">
        <v>0</v>
      </c>
      <c r="BC75" s="159">
        <v>0</v>
      </c>
      <c r="BD75" s="159" t="s">
        <v>3</v>
      </c>
      <c r="BE75" s="159" t="b">
        <v>1</v>
      </c>
      <c r="BF75" s="170" t="b">
        <v>1</v>
      </c>
    </row>
    <row r="76" spans="1:58" x14ac:dyDescent="0.25">
      <c r="N76" s="20"/>
      <c r="O76" s="32"/>
      <c r="P76" s="4"/>
      <c r="Q76" s="116"/>
      <c r="R76" s="32"/>
      <c r="S76" s="32"/>
      <c r="AP76" s="3"/>
      <c r="AQ76" s="5"/>
      <c r="AR76" s="22"/>
      <c r="AU76" s="20"/>
      <c r="AV76" s="20"/>
      <c r="AY76" s="27"/>
      <c r="BF76" s="19"/>
    </row>
    <row r="77" spans="1:58" x14ac:dyDescent="0.25">
      <c r="A77" t="s">
        <v>169</v>
      </c>
      <c r="C77" t="b">
        <v>0</v>
      </c>
      <c r="D77" t="s">
        <v>167</v>
      </c>
      <c r="E77" t="s">
        <v>158</v>
      </c>
      <c r="F77" t="b">
        <v>0</v>
      </c>
      <c r="G77" t="s">
        <v>171</v>
      </c>
      <c r="H77" t="b">
        <v>0</v>
      </c>
      <c r="I77" t="b">
        <v>0</v>
      </c>
      <c r="J77" t="b">
        <v>1</v>
      </c>
      <c r="L77" t="s">
        <v>100</v>
      </c>
      <c r="M77">
        <v>0.11</v>
      </c>
      <c r="N77" s="20">
        <f t="shared" si="0"/>
        <v>0.27272727272727271</v>
      </c>
      <c r="O77" s="32">
        <v>0.5</v>
      </c>
      <c r="P77" s="4">
        <f t="shared" si="1"/>
        <v>3.3333333333333335E-3</v>
      </c>
      <c r="Q77" s="116">
        <v>0</v>
      </c>
      <c r="R77" s="32">
        <v>0.5</v>
      </c>
      <c r="S77" s="32"/>
      <c r="T77" t="s">
        <v>98</v>
      </c>
      <c r="U77" t="b">
        <v>0</v>
      </c>
      <c r="V77">
        <v>0.03</v>
      </c>
      <c r="W77">
        <v>0.03</v>
      </c>
      <c r="X77">
        <v>0</v>
      </c>
      <c r="AC77" t="s">
        <v>92</v>
      </c>
      <c r="AD77" t="s">
        <v>35</v>
      </c>
      <c r="AE77">
        <v>15</v>
      </c>
      <c r="AF77">
        <v>2.5000000000000001E-2</v>
      </c>
      <c r="AG77">
        <v>5</v>
      </c>
      <c r="AH77">
        <v>1.2</v>
      </c>
      <c r="AI77">
        <v>0.8</v>
      </c>
      <c r="AJ77" t="s">
        <v>103</v>
      </c>
      <c r="AK77" t="b">
        <v>1</v>
      </c>
      <c r="AL77" t="s">
        <v>77</v>
      </c>
      <c r="AM77" t="s">
        <v>20</v>
      </c>
      <c r="AN77">
        <v>6.7500000000000004E-2</v>
      </c>
      <c r="AO77">
        <v>7.7200000000000005E-2</v>
      </c>
      <c r="AP77" s="3">
        <v>0.12</v>
      </c>
      <c r="AQ77" s="5">
        <v>2.5000000000000001E-2</v>
      </c>
      <c r="AR77" s="22">
        <v>123</v>
      </c>
      <c r="AS77" t="s">
        <v>31</v>
      </c>
      <c r="AT77" t="s">
        <v>31</v>
      </c>
      <c r="AU77" s="20">
        <v>0.7177631600179436</v>
      </c>
      <c r="AV77" s="20">
        <v>0.74141988775539847</v>
      </c>
      <c r="AY77" s="27">
        <v>0</v>
      </c>
      <c r="AZ77" t="b">
        <v>1</v>
      </c>
      <c r="BA77" t="b">
        <v>1</v>
      </c>
      <c r="BB77" t="b">
        <v>0</v>
      </c>
      <c r="BC77">
        <v>0</v>
      </c>
      <c r="BD77" t="s">
        <v>3</v>
      </c>
      <c r="BE77" t="b">
        <v>1</v>
      </c>
      <c r="BF77" s="19" t="b">
        <v>1</v>
      </c>
    </row>
    <row r="78" spans="1:58" x14ac:dyDescent="0.25">
      <c r="A78" t="s">
        <v>172</v>
      </c>
      <c r="C78" t="b">
        <v>0</v>
      </c>
      <c r="D78" t="s">
        <v>167</v>
      </c>
      <c r="E78" t="s">
        <v>160</v>
      </c>
      <c r="F78" t="b">
        <v>0</v>
      </c>
      <c r="G78" t="s">
        <v>173</v>
      </c>
      <c r="H78" t="b">
        <v>0</v>
      </c>
      <c r="I78" t="b">
        <v>0</v>
      </c>
      <c r="J78" t="b">
        <v>1</v>
      </c>
      <c r="L78" t="s">
        <v>100</v>
      </c>
      <c r="M78">
        <v>0.11</v>
      </c>
      <c r="N78" s="20">
        <f t="shared" si="0"/>
        <v>0.27272727272727271</v>
      </c>
      <c r="O78" s="32">
        <v>0.5</v>
      </c>
      <c r="P78" s="4">
        <f t="shared" si="1"/>
        <v>3.3333333333333335E-3</v>
      </c>
      <c r="Q78" s="116">
        <v>0.5</v>
      </c>
      <c r="R78" s="32">
        <v>0.5</v>
      </c>
      <c r="S78" s="32"/>
      <c r="T78" t="s">
        <v>98</v>
      </c>
      <c r="U78" t="b">
        <v>0</v>
      </c>
      <c r="V78">
        <v>0.02</v>
      </c>
      <c r="W78">
        <v>0.02</v>
      </c>
      <c r="X78">
        <v>0</v>
      </c>
      <c r="AC78" t="s">
        <v>92</v>
      </c>
      <c r="AD78" t="s">
        <v>35</v>
      </c>
      <c r="AE78">
        <v>15</v>
      </c>
      <c r="AF78">
        <v>2.5000000000000001E-2</v>
      </c>
      <c r="AG78">
        <v>5</v>
      </c>
      <c r="AH78">
        <v>1.2</v>
      </c>
      <c r="AI78">
        <v>0.8</v>
      </c>
      <c r="AJ78" t="s">
        <v>103</v>
      </c>
      <c r="AK78" t="b">
        <v>1</v>
      </c>
      <c r="AL78" t="s">
        <v>77</v>
      </c>
      <c r="AM78" t="s">
        <v>20</v>
      </c>
      <c r="AN78">
        <v>6.7500000000000004E-2</v>
      </c>
      <c r="AO78">
        <v>7.7200000000000005E-2</v>
      </c>
      <c r="AP78" s="3">
        <v>0.12</v>
      </c>
      <c r="AQ78" s="5">
        <v>2.5000000000000001E-2</v>
      </c>
      <c r="AR78" s="22">
        <v>123</v>
      </c>
      <c r="AS78" t="s">
        <v>31</v>
      </c>
      <c r="AT78" t="s">
        <v>31</v>
      </c>
      <c r="AU78" s="20">
        <v>0.97571945376918812</v>
      </c>
      <c r="AV78" s="20">
        <v>0.99507870807939247</v>
      </c>
      <c r="AY78" s="27">
        <v>0</v>
      </c>
      <c r="AZ78" t="b">
        <v>1</v>
      </c>
      <c r="BA78" t="b">
        <v>1</v>
      </c>
      <c r="BB78" t="b">
        <v>0</v>
      </c>
      <c r="BC78">
        <v>0</v>
      </c>
      <c r="BD78" t="s">
        <v>3</v>
      </c>
      <c r="BE78" t="b">
        <v>1</v>
      </c>
      <c r="BF78" s="19" t="b">
        <v>1</v>
      </c>
    </row>
    <row r="79" spans="1:58" x14ac:dyDescent="0.25">
      <c r="N79" s="20"/>
      <c r="O79" s="32"/>
      <c r="P79" s="4"/>
      <c r="Q79" s="116"/>
      <c r="R79" s="32"/>
      <c r="S79" s="32"/>
      <c r="AP79" s="3"/>
      <c r="AQ79" s="5"/>
      <c r="AR79" s="22"/>
      <c r="AU79" s="20"/>
      <c r="AV79" s="20"/>
      <c r="AY79" s="27"/>
      <c r="BF79" s="19"/>
    </row>
    <row r="80" spans="1:58" x14ac:dyDescent="0.25">
      <c r="A80" t="s">
        <v>174</v>
      </c>
      <c r="C80" t="b">
        <v>0</v>
      </c>
      <c r="D80" t="s">
        <v>168</v>
      </c>
      <c r="E80" t="s">
        <v>158</v>
      </c>
      <c r="F80" t="b">
        <v>0</v>
      </c>
      <c r="G80" t="s">
        <v>171</v>
      </c>
      <c r="H80" t="b">
        <v>1</v>
      </c>
      <c r="I80" t="b">
        <v>1</v>
      </c>
      <c r="J80" t="b">
        <v>1</v>
      </c>
      <c r="L80" t="s">
        <v>100</v>
      </c>
      <c r="M80">
        <v>0.11</v>
      </c>
      <c r="N80" s="20">
        <f t="shared" si="0"/>
        <v>0.27272727272727271</v>
      </c>
      <c r="O80" s="32">
        <v>0.5</v>
      </c>
      <c r="P80" s="4">
        <f t="shared" si="1"/>
        <v>3.3333333333333335E-3</v>
      </c>
      <c r="Q80" s="116">
        <v>0</v>
      </c>
      <c r="R80" s="32">
        <v>0.5</v>
      </c>
      <c r="S80" s="32"/>
      <c r="T80" t="s">
        <v>98</v>
      </c>
      <c r="U80" t="b">
        <v>1</v>
      </c>
      <c r="V80">
        <v>0.03</v>
      </c>
      <c r="W80">
        <v>0.03</v>
      </c>
      <c r="X80">
        <v>0</v>
      </c>
      <c r="AC80" t="s">
        <v>92</v>
      </c>
      <c r="AD80" t="s">
        <v>35</v>
      </c>
      <c r="AE80">
        <v>15</v>
      </c>
      <c r="AF80">
        <v>2.5000000000000001E-2</v>
      </c>
      <c r="AG80">
        <v>5</v>
      </c>
      <c r="AH80">
        <v>1.2</v>
      </c>
      <c r="AI80">
        <v>0.8</v>
      </c>
      <c r="AJ80" t="s">
        <v>103</v>
      </c>
      <c r="AK80" t="b">
        <v>1</v>
      </c>
      <c r="AL80" t="s">
        <v>77</v>
      </c>
      <c r="AM80" t="s">
        <v>20</v>
      </c>
      <c r="AN80">
        <v>6.7500000000000004E-2</v>
      </c>
      <c r="AO80">
        <v>7.7200000000000005E-2</v>
      </c>
      <c r="AP80" s="3">
        <v>0.12</v>
      </c>
      <c r="AQ80" s="5">
        <v>2.5000000000000001E-2</v>
      </c>
      <c r="AR80" s="22">
        <v>123</v>
      </c>
      <c r="AS80" t="s">
        <v>31</v>
      </c>
      <c r="AT80" t="s">
        <v>31</v>
      </c>
      <c r="AU80" s="20">
        <v>0.7177631600179436</v>
      </c>
      <c r="AV80" s="20">
        <v>0.74141988775539847</v>
      </c>
      <c r="AY80" s="27">
        <v>0</v>
      </c>
      <c r="AZ80" t="b">
        <v>1</v>
      </c>
      <c r="BA80" t="b">
        <v>1</v>
      </c>
      <c r="BB80" t="b">
        <v>0</v>
      </c>
      <c r="BC80">
        <v>0</v>
      </c>
      <c r="BD80" t="s">
        <v>3</v>
      </c>
      <c r="BE80" t="b">
        <v>1</v>
      </c>
      <c r="BF80" s="19" t="b">
        <v>1</v>
      </c>
    </row>
    <row r="81" spans="1:58" x14ac:dyDescent="0.25">
      <c r="A81" t="s">
        <v>170</v>
      </c>
      <c r="C81" t="b">
        <v>0</v>
      </c>
      <c r="D81" t="s">
        <v>168</v>
      </c>
      <c r="E81" t="s">
        <v>160</v>
      </c>
      <c r="F81" t="b">
        <v>0</v>
      </c>
      <c r="G81" t="s">
        <v>173</v>
      </c>
      <c r="H81" t="b">
        <v>1</v>
      </c>
      <c r="I81" t="b">
        <v>1</v>
      </c>
      <c r="J81" t="b">
        <v>1</v>
      </c>
      <c r="L81" t="s">
        <v>100</v>
      </c>
      <c r="M81">
        <v>0.11</v>
      </c>
      <c r="N81" s="20">
        <f t="shared" si="0"/>
        <v>0.27272727272727271</v>
      </c>
      <c r="O81" s="32">
        <v>0.5</v>
      </c>
      <c r="P81" s="4">
        <f t="shared" si="1"/>
        <v>3.3333333333333335E-3</v>
      </c>
      <c r="Q81" s="116">
        <v>0.5</v>
      </c>
      <c r="R81" s="32">
        <v>0.5</v>
      </c>
      <c r="S81" s="32"/>
      <c r="T81" t="s">
        <v>98</v>
      </c>
      <c r="U81" t="b">
        <v>1</v>
      </c>
      <c r="V81">
        <v>0.02</v>
      </c>
      <c r="W81">
        <v>0.02</v>
      </c>
      <c r="X81">
        <v>0</v>
      </c>
      <c r="AC81" t="s">
        <v>92</v>
      </c>
      <c r="AD81" t="s">
        <v>35</v>
      </c>
      <c r="AE81">
        <v>15</v>
      </c>
      <c r="AF81">
        <v>2.5000000000000001E-2</v>
      </c>
      <c r="AG81">
        <v>5</v>
      </c>
      <c r="AH81">
        <v>1.2</v>
      </c>
      <c r="AI81">
        <v>0.8</v>
      </c>
      <c r="AJ81" t="s">
        <v>103</v>
      </c>
      <c r="AK81" t="b">
        <v>1</v>
      </c>
      <c r="AL81" t="s">
        <v>77</v>
      </c>
      <c r="AM81" t="s">
        <v>20</v>
      </c>
      <c r="AN81">
        <v>6.7500000000000004E-2</v>
      </c>
      <c r="AO81">
        <v>7.7200000000000005E-2</v>
      </c>
      <c r="AP81" s="3">
        <v>0.12</v>
      </c>
      <c r="AQ81" s="5">
        <v>2.5000000000000001E-2</v>
      </c>
      <c r="AR81" s="22">
        <v>123</v>
      </c>
      <c r="AS81" t="s">
        <v>31</v>
      </c>
      <c r="AT81" t="s">
        <v>31</v>
      </c>
      <c r="AU81" s="20">
        <v>0.97571945376918812</v>
      </c>
      <c r="AV81" s="20">
        <v>0.99507870807939247</v>
      </c>
      <c r="AY81" s="27">
        <v>0</v>
      </c>
      <c r="AZ81" t="b">
        <v>1</v>
      </c>
      <c r="BA81" t="b">
        <v>1</v>
      </c>
      <c r="BB81" t="b">
        <v>0</v>
      </c>
      <c r="BC81">
        <v>0</v>
      </c>
      <c r="BD81" t="s">
        <v>3</v>
      </c>
      <c r="BE81" t="b">
        <v>1</v>
      </c>
      <c r="BF81" s="19" t="b">
        <v>1</v>
      </c>
    </row>
  </sheetData>
  <phoneticPr fontId="7" type="noConversion"/>
  <dataValidations count="3">
    <dataValidation type="list" allowBlank="1" showInputMessage="1" showErrorMessage="1" sqref="BA5:BB23 BA25:BB26 BA62:BB81 C5:C27 C28:C81 BA44:BB60 BA28:BB42" xr:uid="{1240F49A-5091-456D-B77A-0673AD56E758}">
      <formula1>"TRUE, FALSE"</formula1>
    </dataValidation>
    <dataValidation type="list" allowBlank="1" showInputMessage="1" showErrorMessage="1" sqref="AL5:AL23 AL25:AL26 AL62:AL81 AL44:AL60 AL28:AL42" xr:uid="{8909875A-86FC-4594-BBAF-A364A5851F3C}">
      <formula1>"simple, internal"</formula1>
    </dataValidation>
    <dataValidation type="list" allowBlank="1" showInputMessage="1" showErrorMessage="1" sqref="L5:L23 L25:L26 L62:L81 L44:L60 L28:L42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76C-B87A-4B33-9D6D-FA19B5478693}">
  <dimension ref="A2:F6"/>
  <sheetViews>
    <sheetView workbookViewId="0">
      <selection activeCell="D4" sqref="D4:D6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44012</v>
      </c>
    </row>
    <row r="3" spans="1:6" x14ac:dyDescent="0.25">
      <c r="B3" t="s">
        <v>177</v>
      </c>
      <c r="C3" t="s">
        <v>178</v>
      </c>
      <c r="D3" t="s">
        <v>179</v>
      </c>
      <c r="E3" t="s">
        <v>180</v>
      </c>
      <c r="F3" t="s">
        <v>181</v>
      </c>
    </row>
    <row r="4" spans="1:6" x14ac:dyDescent="0.25">
      <c r="A4" t="s">
        <v>309</v>
      </c>
      <c r="B4">
        <v>2108520</v>
      </c>
      <c r="C4">
        <v>2199265</v>
      </c>
      <c r="D4">
        <v>4287182</v>
      </c>
      <c r="E4" s="21">
        <f>B4/$D4</f>
        <v>0.49181956819187989</v>
      </c>
      <c r="F4" s="21">
        <f>C4/$D4</f>
        <v>0.51298615267558034</v>
      </c>
    </row>
    <row r="5" spans="1:6" x14ac:dyDescent="0.25">
      <c r="A5" t="s">
        <v>310</v>
      </c>
      <c r="B5">
        <v>99496</v>
      </c>
      <c r="C5">
        <v>102205</v>
      </c>
      <c r="D5">
        <v>113901</v>
      </c>
      <c r="E5" s="21">
        <f t="shared" ref="E5:F6" si="0">B5/$D5</f>
        <v>0.87353052212008675</v>
      </c>
      <c r="F5" s="21">
        <f t="shared" si="0"/>
        <v>0.89731433437810026</v>
      </c>
    </row>
    <row r="6" spans="1:6" x14ac:dyDescent="0.25">
      <c r="A6" t="s">
        <v>63</v>
      </c>
      <c r="B6">
        <f>SUM(B4:B5)</f>
        <v>2208016</v>
      </c>
      <c r="C6">
        <f>SUM(C4:C5)</f>
        <v>2301470</v>
      </c>
      <c r="D6">
        <f>SUM(D4:D5)</f>
        <v>4401083</v>
      </c>
      <c r="E6" s="21">
        <f t="shared" si="0"/>
        <v>0.50169833197874247</v>
      </c>
      <c r="F6" s="21">
        <f t="shared" si="0"/>
        <v>0.52293265089524554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14"/>
  <sheetViews>
    <sheetView topLeftCell="A13" workbookViewId="0">
      <selection activeCell="D12" sqref="D12:D14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43646</v>
      </c>
    </row>
    <row r="3" spans="1:6" x14ac:dyDescent="0.25">
      <c r="B3" t="s">
        <v>177</v>
      </c>
      <c r="C3" t="s">
        <v>178</v>
      </c>
      <c r="D3" t="s">
        <v>179</v>
      </c>
      <c r="E3" t="s">
        <v>180</v>
      </c>
      <c r="F3" t="s">
        <v>181</v>
      </c>
    </row>
    <row r="4" spans="1:6" x14ac:dyDescent="0.25">
      <c r="A4" t="s">
        <v>175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 x14ac:dyDescent="0.25">
      <c r="A5" t="s">
        <v>176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 x14ac:dyDescent="0.25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  <row r="10" spans="1:6" x14ac:dyDescent="0.25">
      <c r="B10" s="103">
        <v>44012</v>
      </c>
    </row>
    <row r="11" spans="1:6" x14ac:dyDescent="0.25">
      <c r="B11" t="s">
        <v>177</v>
      </c>
      <c r="C11" t="s">
        <v>178</v>
      </c>
      <c r="D11" t="s">
        <v>179</v>
      </c>
      <c r="E11" t="s">
        <v>180</v>
      </c>
      <c r="F11" t="s">
        <v>181</v>
      </c>
    </row>
    <row r="12" spans="1:6" x14ac:dyDescent="0.25">
      <c r="A12" t="s">
        <v>175</v>
      </c>
      <c r="B12">
        <v>3653869</v>
      </c>
      <c r="C12">
        <v>3802450</v>
      </c>
      <c r="D12">
        <f>1940333+3247601</f>
        <v>5187934</v>
      </c>
      <c r="E12" s="21">
        <f>B12/$D12</f>
        <v>0.70430136543757105</v>
      </c>
      <c r="F12" s="21">
        <f>C12/$D12</f>
        <v>0.73294108984424244</v>
      </c>
    </row>
    <row r="13" spans="1:6" x14ac:dyDescent="0.25">
      <c r="A13" t="s">
        <v>176</v>
      </c>
      <c r="B13">
        <f>12465+35689</f>
        <v>48154</v>
      </c>
      <c r="C13">
        <f>12817+36681</f>
        <v>49498</v>
      </c>
      <c r="D13">
        <f>12355+35045</f>
        <v>47400</v>
      </c>
      <c r="E13" s="21">
        <f t="shared" ref="E13:E14" si="2">B13/$D13</f>
        <v>1.0159071729957805</v>
      </c>
      <c r="F13" s="21">
        <f t="shared" ref="F13:F14" si="3">C13/$D13</f>
        <v>1.0442616033755274</v>
      </c>
    </row>
    <row r="14" spans="1:6" x14ac:dyDescent="0.25">
      <c r="A14" t="s">
        <v>63</v>
      </c>
      <c r="B14">
        <f>SUM(B12:B13)</f>
        <v>3702023</v>
      </c>
      <c r="C14">
        <f>SUM(C12:C13)</f>
        <v>3851948</v>
      </c>
      <c r="D14">
        <f>SUM(D12:D13)</f>
        <v>5235334</v>
      </c>
      <c r="E14" s="21">
        <f t="shared" si="2"/>
        <v>0.70712260191995391</v>
      </c>
      <c r="F14" s="21">
        <f t="shared" si="3"/>
        <v>0.73575974331341609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2967-B134-4A3F-90B0-E75D1AE73662}">
  <dimension ref="A1:S14"/>
  <sheetViews>
    <sheetView zoomScale="115" zoomScaleNormal="115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P6" sqref="P6"/>
    </sheetView>
  </sheetViews>
  <sheetFormatPr defaultRowHeight="15" x14ac:dyDescent="0.25"/>
  <cols>
    <col min="1" max="1" width="12.5703125" customWidth="1"/>
    <col min="2" max="2" width="15.140625" bestFit="1" customWidth="1"/>
    <col min="3" max="3" width="12.140625" customWidth="1"/>
    <col min="4" max="4" width="13.140625" customWidth="1"/>
    <col min="5" max="5" width="12.140625" customWidth="1"/>
    <col min="6" max="6" width="14.5703125" customWidth="1"/>
    <col min="7" max="7" width="12.140625" customWidth="1"/>
    <col min="8" max="8" width="11.140625" customWidth="1"/>
    <col min="9" max="9" width="8.42578125" bestFit="1" customWidth="1"/>
    <col min="10" max="10" width="7.7109375" bestFit="1" customWidth="1"/>
    <col min="11" max="11" width="12.28515625" bestFit="1" customWidth="1"/>
    <col min="12" max="12" width="6.5703125" customWidth="1"/>
    <col min="13" max="13" width="6.140625" customWidth="1"/>
    <col min="14" max="14" width="15" customWidth="1"/>
    <col min="15" max="19" width="11" customWidth="1"/>
  </cols>
  <sheetData>
    <row r="1" spans="1:19" x14ac:dyDescent="0.25">
      <c r="A1" t="s">
        <v>330</v>
      </c>
    </row>
    <row r="2" spans="1:19" x14ac:dyDescent="0.25">
      <c r="B2" t="s">
        <v>344</v>
      </c>
      <c r="H2" s="1" t="s">
        <v>334</v>
      </c>
      <c r="N2" s="243" t="s">
        <v>353</v>
      </c>
    </row>
    <row r="3" spans="1:19" x14ac:dyDescent="0.25">
      <c r="B3" t="s">
        <v>343</v>
      </c>
      <c r="C3" t="s">
        <v>343</v>
      </c>
      <c r="D3" t="s">
        <v>343</v>
      </c>
      <c r="E3" t="s">
        <v>343</v>
      </c>
      <c r="H3" t="s">
        <v>345</v>
      </c>
      <c r="I3" t="s">
        <v>345</v>
      </c>
      <c r="J3" t="s">
        <v>345</v>
      </c>
      <c r="K3" t="s">
        <v>345</v>
      </c>
      <c r="L3" t="s">
        <v>345</v>
      </c>
      <c r="N3" t="s">
        <v>346</v>
      </c>
      <c r="O3" t="s">
        <v>346</v>
      </c>
      <c r="P3" t="s">
        <v>346</v>
      </c>
      <c r="Q3" t="s">
        <v>346</v>
      </c>
      <c r="R3" t="s">
        <v>346</v>
      </c>
      <c r="S3" t="s">
        <v>346</v>
      </c>
    </row>
    <row r="4" spans="1:19" x14ac:dyDescent="0.25">
      <c r="B4" s="1" t="s">
        <v>179</v>
      </c>
      <c r="C4" s="1" t="s">
        <v>328</v>
      </c>
      <c r="D4" s="1" t="s">
        <v>331</v>
      </c>
      <c r="E4" s="1" t="s">
        <v>332</v>
      </c>
      <c r="F4" s="1" t="s">
        <v>340</v>
      </c>
      <c r="H4" t="s">
        <v>333</v>
      </c>
      <c r="I4" t="s">
        <v>335</v>
      </c>
      <c r="J4" t="s">
        <v>336</v>
      </c>
      <c r="K4" t="s">
        <v>329</v>
      </c>
      <c r="L4" t="s">
        <v>337</v>
      </c>
      <c r="N4" t="s">
        <v>347</v>
      </c>
      <c r="O4" t="s">
        <v>348</v>
      </c>
      <c r="P4" t="s">
        <v>349</v>
      </c>
      <c r="Q4" t="s">
        <v>350</v>
      </c>
      <c r="R4" t="s">
        <v>351</v>
      </c>
      <c r="S4" t="s">
        <v>352</v>
      </c>
    </row>
    <row r="5" spans="1:19" x14ac:dyDescent="0.25">
      <c r="A5" t="s">
        <v>322</v>
      </c>
      <c r="B5" s="238">
        <f>1940333+3247601</f>
        <v>5187934</v>
      </c>
      <c r="C5" s="238">
        <f>663180+870359</f>
        <v>1533539</v>
      </c>
      <c r="D5" s="238">
        <f>1270516+2289956</f>
        <v>3560472</v>
      </c>
      <c r="E5" s="238">
        <f>6637+87286</f>
        <v>93923</v>
      </c>
      <c r="F5" s="21">
        <f>E5/C5</f>
        <v>6.1245915493508808E-2</v>
      </c>
      <c r="G5" s="21"/>
      <c r="H5" s="238">
        <v>151808</v>
      </c>
      <c r="I5" s="238">
        <v>51589</v>
      </c>
      <c r="J5" s="6">
        <v>0.11360000000000001</v>
      </c>
      <c r="K5" s="238">
        <f>H5+I5</f>
        <v>203397</v>
      </c>
      <c r="L5" s="238"/>
      <c r="N5" s="238">
        <f>71971+88897</f>
        <v>160868</v>
      </c>
      <c r="O5" s="238">
        <f>30838+35178</f>
        <v>66016</v>
      </c>
      <c r="P5" s="238">
        <f>18097+16316</f>
        <v>34413</v>
      </c>
      <c r="Q5" s="238">
        <f>1289+5535</f>
        <v>6824</v>
      </c>
      <c r="R5" s="238">
        <f>10992+12153</f>
        <v>23145</v>
      </c>
      <c r="S5" s="238">
        <f>287+295</f>
        <v>582</v>
      </c>
    </row>
    <row r="6" spans="1:19" x14ac:dyDescent="0.25">
      <c r="A6" t="s">
        <v>323</v>
      </c>
      <c r="B6" s="238">
        <f>12355+35045</f>
        <v>47400</v>
      </c>
      <c r="C6" s="238">
        <f>12252+34095</f>
        <v>46347</v>
      </c>
      <c r="D6" s="238">
        <v>0</v>
      </c>
      <c r="E6" s="238">
        <f>103+950</f>
        <v>1053</v>
      </c>
      <c r="F6" s="21">
        <f>E6/C6</f>
        <v>2.2719917146740889E-2</v>
      </c>
      <c r="G6" s="21"/>
      <c r="H6" s="238"/>
      <c r="I6" s="238"/>
      <c r="J6" s="6">
        <v>0.14660000000000001</v>
      </c>
      <c r="K6" s="238">
        <v>13460</v>
      </c>
      <c r="L6" s="238"/>
      <c r="N6" s="238">
        <f>14799+46118</f>
        <v>60917</v>
      </c>
      <c r="O6" s="238">
        <f>4424+12931</f>
        <v>17355</v>
      </c>
      <c r="P6" s="238"/>
      <c r="Q6" s="238"/>
      <c r="R6" s="238"/>
      <c r="S6" s="238"/>
    </row>
    <row r="7" spans="1:19" s="1" customFormat="1" x14ac:dyDescent="0.25">
      <c r="A7" s="1" t="s">
        <v>324</v>
      </c>
      <c r="B7" s="239">
        <f>SUM(B5:B6)</f>
        <v>5235334</v>
      </c>
      <c r="C7" s="239">
        <f>SUM(C5:C6)</f>
        <v>1579886</v>
      </c>
      <c r="D7" s="239">
        <f t="shared" ref="D7:E7" si="0">SUM(D5:D6)</f>
        <v>3560472</v>
      </c>
      <c r="E7" s="239">
        <f t="shared" si="0"/>
        <v>94976</v>
      </c>
      <c r="F7" s="21"/>
      <c r="G7" s="21"/>
      <c r="H7" s="239">
        <f>SUM(H5:H6)</f>
        <v>151808</v>
      </c>
      <c r="I7" s="239"/>
      <c r="J7" s="240">
        <v>0.1258</v>
      </c>
      <c r="K7" s="239">
        <f t="shared" ref="K7" si="1">SUM(K5:K6)</f>
        <v>216857</v>
      </c>
      <c r="L7" s="239"/>
      <c r="N7" s="239">
        <f xml:space="preserve"> SUM(N5:N6)</f>
        <v>221785</v>
      </c>
      <c r="O7" s="239"/>
      <c r="P7" s="239"/>
      <c r="Q7" s="239"/>
      <c r="R7" s="239"/>
      <c r="S7" s="239"/>
    </row>
    <row r="8" spans="1:19" x14ac:dyDescent="0.25">
      <c r="B8" s="238"/>
      <c r="C8" s="238"/>
      <c r="D8" s="238"/>
      <c r="E8" s="238"/>
      <c r="F8" s="21"/>
      <c r="G8" s="21"/>
      <c r="H8" s="238"/>
      <c r="I8" s="238"/>
      <c r="J8" s="238"/>
      <c r="K8" s="238"/>
      <c r="L8" s="238"/>
    </row>
    <row r="9" spans="1:19" x14ac:dyDescent="0.25">
      <c r="A9" t="s">
        <v>325</v>
      </c>
      <c r="B9" s="238">
        <v>4287182</v>
      </c>
      <c r="C9" s="238">
        <v>989989</v>
      </c>
      <c r="D9" s="238">
        <v>3058405</v>
      </c>
      <c r="E9" s="238">
        <v>238788</v>
      </c>
      <c r="F9" s="21">
        <f>E9/C9</f>
        <v>0.2412026800297781</v>
      </c>
      <c r="G9" s="21"/>
      <c r="H9" s="238">
        <v>160694</v>
      </c>
      <c r="I9" s="238">
        <v>27792</v>
      </c>
      <c r="J9" s="6">
        <v>7.3899999999999993E-2</v>
      </c>
      <c r="K9" s="238">
        <f>H9+I9</f>
        <v>188486</v>
      </c>
      <c r="L9" s="238"/>
    </row>
    <row r="10" spans="1:19" x14ac:dyDescent="0.25">
      <c r="A10" t="s">
        <v>326</v>
      </c>
      <c r="B10" s="238">
        <v>113901</v>
      </c>
      <c r="C10" s="238">
        <v>103025</v>
      </c>
      <c r="D10" s="238">
        <v>1449</v>
      </c>
      <c r="E10" s="238">
        <v>9427</v>
      </c>
      <c r="F10" s="21">
        <f>E10/C10</f>
        <v>9.1502062606163559E-2</v>
      </c>
      <c r="G10" s="21"/>
      <c r="H10" s="238"/>
      <c r="I10" s="238"/>
      <c r="J10" s="6">
        <v>8.1699999999999995E-2</v>
      </c>
      <c r="K10" s="238">
        <f>17529</f>
        <v>17529</v>
      </c>
      <c r="L10" s="238"/>
    </row>
    <row r="11" spans="1:19" x14ac:dyDescent="0.25">
      <c r="A11" s="1" t="s">
        <v>327</v>
      </c>
      <c r="B11" s="239">
        <v>4401083</v>
      </c>
      <c r="C11" s="239">
        <f>SUM(C9:C10)</f>
        <v>1093014</v>
      </c>
      <c r="D11" s="239">
        <f t="shared" ref="D11:E11" si="2">SUM(D9:D10)</f>
        <v>3059854</v>
      </c>
      <c r="E11" s="239">
        <f t="shared" si="2"/>
        <v>248215</v>
      </c>
      <c r="H11" s="238"/>
      <c r="I11" s="238"/>
      <c r="J11" s="238"/>
      <c r="K11" s="239">
        <f>SUM(K9:K10)</f>
        <v>206015</v>
      </c>
      <c r="L11" s="238"/>
    </row>
    <row r="13" spans="1:19" x14ac:dyDescent="0.25">
      <c r="A13" s="1" t="s">
        <v>338</v>
      </c>
      <c r="B13" s="51">
        <f>B7+B11</f>
        <v>9636417</v>
      </c>
      <c r="C13" s="51">
        <f t="shared" ref="C13:E13" si="3">C7+C11</f>
        <v>2672900</v>
      </c>
      <c r="D13" s="51">
        <f t="shared" si="3"/>
        <v>6620326</v>
      </c>
      <c r="E13" s="51">
        <f t="shared" si="3"/>
        <v>343191</v>
      </c>
      <c r="K13" s="51">
        <f>SUM(K7,K11)</f>
        <v>422872</v>
      </c>
    </row>
    <row r="14" spans="1:19" x14ac:dyDescent="0.25">
      <c r="A14" t="s">
        <v>339</v>
      </c>
      <c r="K14" s="241">
        <f>K13/(1+0.06625)</f>
        <v>396597.42086752638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52CF-F68E-4F30-8ABF-CB7E2B4A22C5}">
  <dimension ref="A1"/>
  <sheetViews>
    <sheetView topLeftCell="A22" workbookViewId="0">
      <selection activeCell="R61" sqref="R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0E25-C0E1-4FAA-AC7C-3F0B54F07DA2}">
  <dimension ref="A1"/>
  <sheetViews>
    <sheetView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 x14ac:dyDescent="0.25"/>
  <cols>
    <col min="2" max="2" width="20" customWidth="1"/>
    <col min="3" max="3" width="21.42578125" customWidth="1"/>
    <col min="4" max="4" width="74.5703125" customWidth="1"/>
  </cols>
  <sheetData>
    <row r="2" spans="2:4" x14ac:dyDescent="0.25">
      <c r="B2" t="s">
        <v>88</v>
      </c>
    </row>
    <row r="3" spans="2:4" x14ac:dyDescent="0.25">
      <c r="B3" s="29" t="s">
        <v>82</v>
      </c>
      <c r="C3" s="29" t="s">
        <v>87</v>
      </c>
    </row>
    <row r="4" spans="2:4" x14ac:dyDescent="0.25">
      <c r="B4" t="b">
        <v>0</v>
      </c>
      <c r="C4" t="b">
        <v>0</v>
      </c>
      <c r="D4" t="s">
        <v>89</v>
      </c>
    </row>
    <row r="5" spans="2:4" x14ac:dyDescent="0.25">
      <c r="B5" t="b">
        <v>1</v>
      </c>
      <c r="C5" t="b">
        <v>1</v>
      </c>
      <c r="D5" t="s">
        <v>90</v>
      </c>
    </row>
    <row r="6" spans="2:4" x14ac:dyDescent="0.25">
      <c r="B6" t="b">
        <v>1</v>
      </c>
      <c r="C6" t="b">
        <v>0</v>
      </c>
      <c r="D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09A0-B0A8-486D-AE85-1FBE9CD0DE7B}">
  <dimension ref="B1:G9"/>
  <sheetViews>
    <sheetView workbookViewId="0">
      <selection activeCell="E8" sqref="E8"/>
    </sheetView>
  </sheetViews>
  <sheetFormatPr defaultRowHeight="15" x14ac:dyDescent="0.25"/>
  <cols>
    <col min="2" max="6" width="28.85546875" customWidth="1"/>
    <col min="7" max="7" width="28.5703125" customWidth="1"/>
  </cols>
  <sheetData>
    <row r="1" spans="2:7" ht="85.5" customHeight="1" x14ac:dyDescent="0.25"/>
    <row r="2" spans="2:7" s="248" customFormat="1" ht="54.75" customHeight="1" x14ac:dyDescent="0.25">
      <c r="B2" s="246"/>
      <c r="C2" s="246" t="s">
        <v>354</v>
      </c>
      <c r="D2" s="246" t="s">
        <v>355</v>
      </c>
      <c r="E2" s="246" t="s">
        <v>356</v>
      </c>
      <c r="F2" s="246" t="s">
        <v>357</v>
      </c>
      <c r="G2" s="247" t="s">
        <v>240</v>
      </c>
    </row>
    <row r="3" spans="2:7" ht="54.75" customHeight="1" x14ac:dyDescent="0.25">
      <c r="B3" s="268" t="s">
        <v>358</v>
      </c>
      <c r="C3" s="244" t="s">
        <v>359</v>
      </c>
      <c r="D3" s="269" t="s">
        <v>361</v>
      </c>
      <c r="E3" s="244" t="s">
        <v>362</v>
      </c>
      <c r="F3" s="244" t="s">
        <v>364</v>
      </c>
      <c r="G3" s="269"/>
    </row>
    <row r="4" spans="2:7" ht="69.75" customHeight="1" x14ac:dyDescent="0.25">
      <c r="B4" s="268"/>
      <c r="C4" s="244" t="s">
        <v>360</v>
      </c>
      <c r="D4" s="269"/>
      <c r="E4" s="244" t="s">
        <v>363</v>
      </c>
      <c r="F4" s="244" t="s">
        <v>365</v>
      </c>
      <c r="G4" s="269"/>
    </row>
    <row r="5" spans="2:7" ht="54.75" customHeight="1" x14ac:dyDescent="0.25">
      <c r="B5" s="268" t="s">
        <v>366</v>
      </c>
      <c r="C5" s="269" t="s">
        <v>367</v>
      </c>
      <c r="D5" s="269"/>
      <c r="E5" s="244" t="s">
        <v>368</v>
      </c>
      <c r="F5" s="269"/>
      <c r="G5" s="269"/>
    </row>
    <row r="6" spans="2:7" ht="54.75" customHeight="1" x14ac:dyDescent="0.25">
      <c r="B6" s="268"/>
      <c r="C6" s="269"/>
      <c r="D6" s="269"/>
      <c r="E6" s="244" t="s">
        <v>369</v>
      </c>
      <c r="F6" s="269"/>
      <c r="G6" s="269"/>
    </row>
    <row r="7" spans="2:7" ht="54.75" customHeight="1" x14ac:dyDescent="0.25">
      <c r="B7" s="249" t="s">
        <v>370</v>
      </c>
      <c r="C7" s="244"/>
      <c r="D7" s="244"/>
      <c r="E7" s="244" t="s">
        <v>371</v>
      </c>
      <c r="F7" s="244" t="s">
        <v>372</v>
      </c>
      <c r="G7" s="244"/>
    </row>
    <row r="8" spans="2:7" ht="119.25" customHeight="1" x14ac:dyDescent="0.25">
      <c r="B8" s="249" t="s">
        <v>383</v>
      </c>
      <c r="C8" s="244" t="s">
        <v>367</v>
      </c>
      <c r="D8" s="244"/>
      <c r="E8" s="244" t="s">
        <v>384</v>
      </c>
      <c r="F8" s="244" t="s">
        <v>372</v>
      </c>
      <c r="G8" s="244"/>
    </row>
    <row r="9" spans="2:7" ht="54.75" customHeight="1" x14ac:dyDescent="0.25">
      <c r="B9" s="249" t="s">
        <v>373</v>
      </c>
      <c r="C9" s="244"/>
      <c r="D9" s="244"/>
      <c r="E9" s="244"/>
      <c r="F9" s="244"/>
      <c r="G9" s="244" t="s">
        <v>374</v>
      </c>
    </row>
  </sheetData>
  <mergeCells count="8">
    <mergeCell ref="B3:B4"/>
    <mergeCell ref="D3:D4"/>
    <mergeCell ref="G3:G4"/>
    <mergeCell ref="B5:B6"/>
    <mergeCell ref="C5:C6"/>
    <mergeCell ref="D5:D6"/>
    <mergeCell ref="F5:F6"/>
    <mergeCell ref="G5:G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B2:H9"/>
  <sheetViews>
    <sheetView workbookViewId="0">
      <selection activeCell="L8" sqref="L8"/>
    </sheetView>
  </sheetViews>
  <sheetFormatPr defaultRowHeight="15" x14ac:dyDescent="0.25"/>
  <cols>
    <col min="2" max="4" width="21.140625" customWidth="1"/>
    <col min="5" max="5" width="28" customWidth="1"/>
    <col min="6" max="6" width="22.5703125" customWidth="1"/>
    <col min="7" max="7" width="21.140625" customWidth="1"/>
    <col min="8" max="8" width="9.140625" style="220"/>
  </cols>
  <sheetData>
    <row r="2" spans="2:8" ht="30" x14ac:dyDescent="0.25">
      <c r="B2" s="251"/>
      <c r="C2" s="250" t="s">
        <v>354</v>
      </c>
      <c r="D2" s="250" t="s">
        <v>355</v>
      </c>
      <c r="E2" s="250" t="s">
        <v>356</v>
      </c>
      <c r="F2" s="250" t="s">
        <v>357</v>
      </c>
      <c r="G2" s="250" t="s">
        <v>240</v>
      </c>
      <c r="H2" s="252"/>
    </row>
    <row r="3" spans="2:8" ht="60" customHeight="1" x14ac:dyDescent="0.25">
      <c r="B3" s="268" t="s">
        <v>358</v>
      </c>
      <c r="C3" s="244" t="s">
        <v>375</v>
      </c>
      <c r="D3" s="270" t="s">
        <v>377</v>
      </c>
      <c r="E3" s="245" t="s">
        <v>362</v>
      </c>
      <c r="F3" s="245" t="s">
        <v>364</v>
      </c>
      <c r="G3" s="269"/>
    </row>
    <row r="4" spans="2:8" ht="60" customHeight="1" x14ac:dyDescent="0.25">
      <c r="B4" s="268"/>
      <c r="C4" s="244" t="s">
        <v>376</v>
      </c>
      <c r="D4" s="270"/>
      <c r="E4" s="245" t="s">
        <v>378</v>
      </c>
      <c r="F4" s="245" t="s">
        <v>379</v>
      </c>
      <c r="G4" s="269"/>
    </row>
    <row r="5" spans="2:8" ht="60" customHeight="1" x14ac:dyDescent="0.25">
      <c r="B5" s="268" t="s">
        <v>366</v>
      </c>
      <c r="C5" s="244" t="s">
        <v>380</v>
      </c>
      <c r="D5" s="270" t="s">
        <v>382</v>
      </c>
      <c r="E5" s="245" t="s">
        <v>368</v>
      </c>
      <c r="F5" s="270"/>
      <c r="G5" s="269"/>
    </row>
    <row r="6" spans="2:8" ht="60" customHeight="1" x14ac:dyDescent="0.25">
      <c r="B6" s="268"/>
      <c r="C6" s="244" t="s">
        <v>381</v>
      </c>
      <c r="D6" s="270"/>
      <c r="E6" s="245" t="s">
        <v>369</v>
      </c>
      <c r="F6" s="270"/>
      <c r="G6" s="269"/>
    </row>
    <row r="7" spans="2:8" ht="60" customHeight="1" x14ac:dyDescent="0.25">
      <c r="B7" s="249" t="s">
        <v>370</v>
      </c>
      <c r="C7" s="244"/>
      <c r="D7" s="245"/>
      <c r="E7" s="245" t="s">
        <v>371</v>
      </c>
      <c r="F7" s="245" t="s">
        <v>372</v>
      </c>
      <c r="G7" s="244"/>
    </row>
    <row r="8" spans="2:8" ht="132" customHeight="1" x14ac:dyDescent="0.25">
      <c r="B8" s="249" t="s">
        <v>385</v>
      </c>
      <c r="C8" s="244" t="s">
        <v>386</v>
      </c>
      <c r="D8" s="245" t="s">
        <v>382</v>
      </c>
      <c r="E8" s="244" t="s">
        <v>384</v>
      </c>
      <c r="F8" s="245" t="s">
        <v>372</v>
      </c>
      <c r="G8" s="244"/>
    </row>
    <row r="9" spans="2:8" ht="60" customHeight="1" x14ac:dyDescent="0.25">
      <c r="B9" s="249" t="s">
        <v>373</v>
      </c>
      <c r="C9" s="244"/>
      <c r="D9" s="245"/>
      <c r="E9" s="245"/>
      <c r="F9" s="245"/>
      <c r="G9" s="244" t="s">
        <v>374</v>
      </c>
    </row>
  </sheetData>
  <mergeCells count="7">
    <mergeCell ref="B3:B4"/>
    <mergeCell ref="D3:D4"/>
    <mergeCell ref="G3:G4"/>
    <mergeCell ref="B5:B6"/>
    <mergeCell ref="D5:D6"/>
    <mergeCell ref="F5:F6"/>
    <mergeCell ref="G5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J47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A24" sqref="A24"/>
    </sheetView>
  </sheetViews>
  <sheetFormatPr defaultRowHeight="15" x14ac:dyDescent="0.2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5" width="40.85546875" customWidth="1"/>
    <col min="6" max="7" width="14.5703125" customWidth="1"/>
    <col min="8" max="8" width="12" customWidth="1"/>
    <col min="9" max="9" width="12.85546875" customWidth="1"/>
    <col min="10" max="10" width="14.5703125" customWidth="1"/>
    <col min="11" max="12" width="14.28515625" customWidth="1"/>
    <col min="13" max="13" width="11.7109375" customWidth="1"/>
    <col min="14" max="14" width="16.85546875" customWidth="1"/>
    <col min="15" max="15" width="14.5703125" customWidth="1"/>
    <col min="16" max="16" width="17.140625" customWidth="1"/>
    <col min="17" max="17" width="21.7109375" customWidth="1"/>
    <col min="18" max="19" width="17.42578125" customWidth="1"/>
    <col min="20" max="20" width="18.5703125" customWidth="1"/>
    <col min="21" max="21" width="14.5703125" customWidth="1"/>
    <col min="22" max="23" width="15.140625" customWidth="1"/>
    <col min="25" max="25" width="12" customWidth="1"/>
    <col min="26" max="26" width="15.7109375" customWidth="1"/>
    <col min="27" max="27" width="16.28515625" customWidth="1"/>
    <col min="28" max="28" width="17.42578125" customWidth="1"/>
    <col min="29" max="29" width="14.28515625" customWidth="1"/>
    <col min="30" max="35" width="11.7109375" customWidth="1"/>
    <col min="36" max="36" width="10" customWidth="1"/>
  </cols>
  <sheetData>
    <row r="3" spans="1:36" s="18" customFormat="1" ht="18.75" x14ac:dyDescent="0.3">
      <c r="A3" s="11"/>
      <c r="B3" s="11"/>
      <c r="C3" s="11"/>
      <c r="E3" s="16" t="s">
        <v>62</v>
      </c>
      <c r="F3" s="117"/>
      <c r="G3" s="117"/>
      <c r="H3" s="23" t="s">
        <v>201</v>
      </c>
      <c r="I3" s="23"/>
      <c r="J3" s="23"/>
      <c r="K3" s="23" t="s">
        <v>202</v>
      </c>
      <c r="L3" s="23"/>
      <c r="M3" s="23" t="s">
        <v>203</v>
      </c>
      <c r="N3" s="23"/>
      <c r="O3" s="23"/>
      <c r="P3" s="12" t="s">
        <v>47</v>
      </c>
      <c r="Q3" s="12"/>
      <c r="R3" s="15" t="s">
        <v>65</v>
      </c>
      <c r="S3" s="15"/>
      <c r="T3" s="25" t="s">
        <v>73</v>
      </c>
      <c r="U3" s="16" t="s">
        <v>86</v>
      </c>
      <c r="V3" s="16"/>
      <c r="W3" s="16"/>
      <c r="X3" s="12" t="s">
        <v>85</v>
      </c>
      <c r="Y3" s="12"/>
      <c r="Z3" s="12"/>
      <c r="AA3" s="12"/>
      <c r="AB3" s="12"/>
      <c r="AC3" s="12"/>
    </row>
    <row r="4" spans="1:36" s="1" customFormat="1" ht="30" customHeight="1" x14ac:dyDescent="0.25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18" t="s">
        <v>191</v>
      </c>
      <c r="G4" s="118" t="s">
        <v>195</v>
      </c>
      <c r="H4" s="102" t="s">
        <v>190</v>
      </c>
      <c r="I4" s="102" t="s">
        <v>196</v>
      </c>
      <c r="J4" s="102" t="s">
        <v>300</v>
      </c>
      <c r="K4" s="102" t="s">
        <v>164</v>
      </c>
      <c r="L4" s="102" t="s">
        <v>165</v>
      </c>
      <c r="M4" s="102" t="s">
        <v>162</v>
      </c>
      <c r="N4" s="102" t="s">
        <v>163</v>
      </c>
      <c r="O4" s="24" t="s">
        <v>75</v>
      </c>
      <c r="P4" s="8" t="s">
        <v>46</v>
      </c>
      <c r="Q4" s="8" t="s">
        <v>58</v>
      </c>
      <c r="R4" s="10" t="s">
        <v>25</v>
      </c>
      <c r="S4" s="10" t="s">
        <v>64</v>
      </c>
      <c r="T4" s="26" t="s">
        <v>6</v>
      </c>
      <c r="U4" s="7" t="s">
        <v>56</v>
      </c>
      <c r="V4" s="242" t="s">
        <v>341</v>
      </c>
      <c r="W4" s="242" t="s">
        <v>342</v>
      </c>
      <c r="X4" s="8" t="s">
        <v>79</v>
      </c>
      <c r="Y4" s="8" t="s">
        <v>153</v>
      </c>
      <c r="Z4" s="8" t="s">
        <v>151</v>
      </c>
      <c r="AA4" s="8" t="s">
        <v>152</v>
      </c>
      <c r="AB4" s="8" t="s">
        <v>150</v>
      </c>
      <c r="AC4" s="8" t="s">
        <v>80</v>
      </c>
      <c r="AD4" s="2" t="s">
        <v>40</v>
      </c>
      <c r="AE4" s="2" t="s">
        <v>41</v>
      </c>
      <c r="AF4" s="2" t="s">
        <v>38</v>
      </c>
      <c r="AG4" s="2" t="s">
        <v>39</v>
      </c>
      <c r="AH4" s="2" t="s">
        <v>43</v>
      </c>
      <c r="AI4" s="2" t="s">
        <v>42</v>
      </c>
      <c r="AJ4" t="s">
        <v>37</v>
      </c>
    </row>
    <row r="5" spans="1:36" x14ac:dyDescent="0.25">
      <c r="A5" t="s">
        <v>105</v>
      </c>
      <c r="C5" t="b">
        <v>0</v>
      </c>
      <c r="E5" t="s">
        <v>104</v>
      </c>
      <c r="M5">
        <v>0.5</v>
      </c>
      <c r="N5">
        <v>0.5</v>
      </c>
      <c r="O5">
        <v>2021</v>
      </c>
      <c r="P5" t="s">
        <v>61</v>
      </c>
      <c r="Q5">
        <v>3.2500000000000001E-2</v>
      </c>
      <c r="R5">
        <v>0</v>
      </c>
      <c r="S5" t="b">
        <v>0</v>
      </c>
      <c r="T5">
        <v>6.7500000000000004E-2</v>
      </c>
      <c r="U5" t="b">
        <v>0</v>
      </c>
      <c r="V5" s="27"/>
      <c r="W5" s="27"/>
      <c r="X5">
        <v>0</v>
      </c>
      <c r="Z5">
        <v>1.05</v>
      </c>
      <c r="AA5">
        <v>1.4</v>
      </c>
      <c r="AB5">
        <v>0.8</v>
      </c>
      <c r="AC5">
        <v>0.8</v>
      </c>
      <c r="AD5">
        <v>20</v>
      </c>
      <c r="AE5">
        <v>64</v>
      </c>
      <c r="AF5">
        <v>20</v>
      </c>
      <c r="AG5">
        <v>100</v>
      </c>
      <c r="AH5">
        <v>40</v>
      </c>
      <c r="AI5">
        <v>65</v>
      </c>
      <c r="AJ5">
        <v>2020</v>
      </c>
    </row>
    <row r="6" spans="1:36" x14ac:dyDescent="0.25">
      <c r="A6" t="s">
        <v>154</v>
      </c>
      <c r="C6" t="b">
        <v>0</v>
      </c>
      <c r="E6" t="s">
        <v>155</v>
      </c>
      <c r="M6">
        <v>0.5</v>
      </c>
      <c r="N6">
        <v>0.5</v>
      </c>
      <c r="O6">
        <v>2021</v>
      </c>
      <c r="P6" t="s">
        <v>61</v>
      </c>
      <c r="Q6">
        <v>3.2500000000000001E-2</v>
      </c>
      <c r="R6">
        <v>0.1</v>
      </c>
      <c r="S6" t="b">
        <v>1</v>
      </c>
      <c r="T6">
        <v>6.7500000000000004E-2</v>
      </c>
      <c r="U6" t="b">
        <v>0</v>
      </c>
      <c r="V6" s="27"/>
      <c r="W6" s="27"/>
      <c r="X6">
        <v>0</v>
      </c>
      <c r="Z6">
        <v>1</v>
      </c>
      <c r="AA6">
        <v>1</v>
      </c>
      <c r="AB6">
        <v>1</v>
      </c>
      <c r="AC6">
        <v>1</v>
      </c>
    </row>
    <row r="7" spans="1:36" x14ac:dyDescent="0.25">
      <c r="A7" t="s">
        <v>156</v>
      </c>
      <c r="C7" t="b">
        <v>0</v>
      </c>
      <c r="E7" t="s">
        <v>159</v>
      </c>
      <c r="M7">
        <v>0</v>
      </c>
      <c r="N7">
        <v>0</v>
      </c>
      <c r="O7">
        <v>2021</v>
      </c>
      <c r="P7" t="s">
        <v>61</v>
      </c>
      <c r="Q7">
        <v>3.2500000000000001E-2</v>
      </c>
      <c r="R7">
        <v>0</v>
      </c>
      <c r="S7" t="b">
        <v>1</v>
      </c>
      <c r="T7">
        <v>6.7500000000000004E-2</v>
      </c>
      <c r="U7" t="b">
        <v>0</v>
      </c>
      <c r="V7" s="27"/>
      <c r="W7" s="27"/>
      <c r="X7">
        <v>0</v>
      </c>
      <c r="Z7">
        <v>1</v>
      </c>
      <c r="AA7">
        <v>1</v>
      </c>
      <c r="AB7">
        <v>1</v>
      </c>
      <c r="AC7">
        <v>1</v>
      </c>
    </row>
    <row r="8" spans="1:36" x14ac:dyDescent="0.25">
      <c r="A8" t="s">
        <v>156</v>
      </c>
      <c r="C8" t="b">
        <v>0</v>
      </c>
      <c r="E8" t="s">
        <v>159</v>
      </c>
      <c r="M8">
        <v>0.5</v>
      </c>
      <c r="N8">
        <v>0.5</v>
      </c>
      <c r="O8">
        <v>2021</v>
      </c>
      <c r="P8" t="s">
        <v>61</v>
      </c>
      <c r="Q8">
        <v>3.2500000000000001E-2</v>
      </c>
      <c r="R8">
        <v>0</v>
      </c>
      <c r="S8" t="b">
        <v>1</v>
      </c>
      <c r="T8">
        <v>6.7500000000000004E-2</v>
      </c>
      <c r="U8" t="b">
        <v>0</v>
      </c>
      <c r="V8" s="27"/>
      <c r="W8" s="27"/>
      <c r="X8">
        <v>0</v>
      </c>
      <c r="Z8">
        <v>1</v>
      </c>
      <c r="AA8">
        <v>1</v>
      </c>
      <c r="AB8">
        <v>1</v>
      </c>
      <c r="AC8">
        <v>1</v>
      </c>
    </row>
    <row r="9" spans="1:36" x14ac:dyDescent="0.25">
      <c r="V9" s="27"/>
      <c r="W9" s="27"/>
    </row>
    <row r="10" spans="1:36" x14ac:dyDescent="0.25">
      <c r="A10" t="s">
        <v>241</v>
      </c>
      <c r="C10" t="b">
        <v>0</v>
      </c>
      <c r="E10" t="s">
        <v>243</v>
      </c>
      <c r="F10" s="119" t="s">
        <v>194</v>
      </c>
      <c r="M10" s="119">
        <v>0</v>
      </c>
      <c r="N10" s="119">
        <v>0</v>
      </c>
      <c r="O10">
        <v>2021</v>
      </c>
      <c r="P10" t="s">
        <v>61</v>
      </c>
      <c r="Q10">
        <v>0.03</v>
      </c>
      <c r="R10">
        <v>0</v>
      </c>
      <c r="S10" t="b">
        <v>0</v>
      </c>
      <c r="T10">
        <v>6.6250000000000003E-2</v>
      </c>
      <c r="U10" t="b">
        <v>0</v>
      </c>
      <c r="V10" s="27"/>
      <c r="W10" s="27"/>
      <c r="X10">
        <v>0</v>
      </c>
      <c r="Z10">
        <v>1.05</v>
      </c>
      <c r="AA10">
        <v>1.4</v>
      </c>
      <c r="AB10">
        <v>0.8</v>
      </c>
      <c r="AC10">
        <v>0.8</v>
      </c>
      <c r="AD10">
        <v>20</v>
      </c>
      <c r="AE10">
        <v>69</v>
      </c>
      <c r="AF10">
        <v>20</v>
      </c>
      <c r="AG10">
        <v>100</v>
      </c>
      <c r="AH10">
        <v>50</v>
      </c>
      <c r="AI10">
        <v>70</v>
      </c>
      <c r="AJ10">
        <v>2020</v>
      </c>
    </row>
    <row r="11" spans="1:36" x14ac:dyDescent="0.25">
      <c r="A11" t="s">
        <v>242</v>
      </c>
      <c r="C11" t="b">
        <v>0</v>
      </c>
      <c r="E11" t="s">
        <v>244</v>
      </c>
      <c r="F11" s="119" t="s">
        <v>194</v>
      </c>
      <c r="M11" s="119">
        <v>0</v>
      </c>
      <c r="N11" s="119">
        <v>0</v>
      </c>
      <c r="O11">
        <v>2021</v>
      </c>
      <c r="P11" t="s">
        <v>61</v>
      </c>
      <c r="Q11">
        <v>0.03</v>
      </c>
      <c r="R11">
        <v>0.1</v>
      </c>
      <c r="S11" t="b">
        <v>1</v>
      </c>
      <c r="T11">
        <v>6.6250000000000003E-2</v>
      </c>
      <c r="U11" t="b">
        <v>0</v>
      </c>
      <c r="V11" s="27"/>
      <c r="W11" s="27"/>
      <c r="X11">
        <v>0</v>
      </c>
      <c r="Z11">
        <v>1</v>
      </c>
      <c r="AA11">
        <v>1</v>
      </c>
      <c r="AB11">
        <v>1</v>
      </c>
      <c r="AC11">
        <v>1</v>
      </c>
      <c r="AD11">
        <v>20</v>
      </c>
      <c r="AE11">
        <v>69</v>
      </c>
      <c r="AF11">
        <v>20</v>
      </c>
      <c r="AG11">
        <v>100</v>
      </c>
      <c r="AH11">
        <v>50</v>
      </c>
      <c r="AI11">
        <v>70</v>
      </c>
      <c r="AJ11">
        <v>2020</v>
      </c>
    </row>
    <row r="12" spans="1:36" x14ac:dyDescent="0.25">
      <c r="A12" t="s">
        <v>295</v>
      </c>
      <c r="C12" t="b">
        <v>0</v>
      </c>
      <c r="E12" s="119" t="s">
        <v>296</v>
      </c>
      <c r="F12" s="119" t="s">
        <v>194</v>
      </c>
      <c r="M12" s="119">
        <v>0</v>
      </c>
      <c r="N12" s="119">
        <v>0</v>
      </c>
      <c r="O12">
        <v>2021</v>
      </c>
      <c r="P12" t="s">
        <v>61</v>
      </c>
      <c r="Q12">
        <v>0.03</v>
      </c>
      <c r="R12">
        <v>0</v>
      </c>
      <c r="S12" t="b">
        <v>1</v>
      </c>
      <c r="T12">
        <v>6.6250000000000003E-2</v>
      </c>
      <c r="U12" t="b">
        <v>0</v>
      </c>
      <c r="V12" s="27"/>
      <c r="W12" s="27"/>
      <c r="X12">
        <v>0</v>
      </c>
      <c r="Z12">
        <v>1</v>
      </c>
      <c r="AA12">
        <v>1</v>
      </c>
      <c r="AB12">
        <v>1</v>
      </c>
      <c r="AC12">
        <v>1</v>
      </c>
      <c r="AD12">
        <v>20</v>
      </c>
      <c r="AE12">
        <v>69</v>
      </c>
      <c r="AF12">
        <v>20</v>
      </c>
      <c r="AG12">
        <v>100</v>
      </c>
      <c r="AH12">
        <v>50</v>
      </c>
      <c r="AI12">
        <v>70</v>
      </c>
      <c r="AJ12">
        <v>2020</v>
      </c>
    </row>
    <row r="13" spans="1:36" x14ac:dyDescent="0.25">
      <c r="V13" s="27"/>
      <c r="W13" s="27"/>
    </row>
    <row r="14" spans="1:36" x14ac:dyDescent="0.25">
      <c r="V14" s="27"/>
      <c r="W14" s="27"/>
    </row>
    <row r="15" spans="1:36" x14ac:dyDescent="0.25">
      <c r="V15" s="27"/>
      <c r="W15" s="27"/>
    </row>
    <row r="16" spans="1:36" s="119" customFormat="1" x14ac:dyDescent="0.25">
      <c r="A16" s="119" t="s">
        <v>166</v>
      </c>
      <c r="C16" s="119" t="b">
        <v>0</v>
      </c>
      <c r="E16" s="119" t="s">
        <v>159</v>
      </c>
      <c r="F16" s="119" t="s">
        <v>194</v>
      </c>
      <c r="M16" s="119">
        <v>0</v>
      </c>
      <c r="N16" s="119">
        <v>0</v>
      </c>
      <c r="O16" s="119">
        <v>2021</v>
      </c>
      <c r="P16" s="119" t="s">
        <v>61</v>
      </c>
      <c r="Q16" s="119">
        <v>0.03</v>
      </c>
      <c r="R16" s="119">
        <v>0</v>
      </c>
      <c r="S16" s="119" t="b">
        <v>1</v>
      </c>
      <c r="T16" s="119">
        <v>6.6250000000000003E-2</v>
      </c>
      <c r="U16" s="119" t="b">
        <v>1</v>
      </c>
      <c r="V16" s="120">
        <v>6.0999999999999999E-2</v>
      </c>
      <c r="W16" s="120">
        <v>2.3E-2</v>
      </c>
      <c r="X16" s="119">
        <v>0</v>
      </c>
      <c r="Z16" s="119">
        <v>1</v>
      </c>
      <c r="AA16" s="119">
        <v>1</v>
      </c>
      <c r="AB16" s="119">
        <v>1</v>
      </c>
      <c r="AC16" s="119">
        <v>1</v>
      </c>
      <c r="AD16">
        <v>20</v>
      </c>
      <c r="AE16">
        <v>64</v>
      </c>
      <c r="AF16">
        <v>20</v>
      </c>
      <c r="AG16">
        <v>100</v>
      </c>
      <c r="AH16">
        <v>40</v>
      </c>
      <c r="AI16">
        <v>65</v>
      </c>
      <c r="AJ16" s="119">
        <v>2020</v>
      </c>
    </row>
    <row r="17" spans="1:36" x14ac:dyDescent="0.25">
      <c r="V17" s="27"/>
      <c r="W17" s="27"/>
    </row>
    <row r="18" spans="1:36" s="119" customFormat="1" x14ac:dyDescent="0.25">
      <c r="A18" s="119" t="s">
        <v>188</v>
      </c>
      <c r="C18" s="119" t="b">
        <v>0</v>
      </c>
      <c r="E18" s="119" t="s">
        <v>159</v>
      </c>
      <c r="F18" s="121" t="s">
        <v>192</v>
      </c>
      <c r="G18" s="121">
        <v>2021</v>
      </c>
      <c r="H18" s="121">
        <v>2.5000000000000001E-2</v>
      </c>
      <c r="I18" s="121">
        <v>0.75</v>
      </c>
      <c r="J18" s="121">
        <v>3</v>
      </c>
      <c r="K18" s="121">
        <v>2.5000000000000001E-2</v>
      </c>
      <c r="L18" s="121">
        <v>0.02</v>
      </c>
      <c r="M18" s="119">
        <v>0</v>
      </c>
      <c r="N18" s="119">
        <v>0</v>
      </c>
      <c r="O18" s="119">
        <v>2021</v>
      </c>
      <c r="P18" s="119" t="s">
        <v>61</v>
      </c>
      <c r="Q18" s="119">
        <v>0.03</v>
      </c>
      <c r="R18" s="119">
        <v>0</v>
      </c>
      <c r="S18" s="119" t="b">
        <v>1</v>
      </c>
      <c r="T18" s="119">
        <v>6.6250000000000003E-2</v>
      </c>
      <c r="U18" s="119" t="b">
        <v>1</v>
      </c>
      <c r="V18" s="120">
        <v>6.0999999999999999E-2</v>
      </c>
      <c r="W18" s="120">
        <v>2.3E-2</v>
      </c>
      <c r="X18" s="119">
        <v>0</v>
      </c>
      <c r="Z18" s="119">
        <v>1</v>
      </c>
      <c r="AA18" s="119">
        <v>1</v>
      </c>
      <c r="AB18" s="119">
        <v>1</v>
      </c>
      <c r="AC18" s="119">
        <v>1</v>
      </c>
      <c r="AD18">
        <v>20</v>
      </c>
      <c r="AE18">
        <v>64</v>
      </c>
      <c r="AF18">
        <v>20</v>
      </c>
      <c r="AG18">
        <v>100</v>
      </c>
      <c r="AH18">
        <v>40</v>
      </c>
      <c r="AI18">
        <v>65</v>
      </c>
      <c r="AJ18" s="119">
        <v>2020</v>
      </c>
    </row>
    <row r="19" spans="1:36" s="119" customFormat="1" x14ac:dyDescent="0.25">
      <c r="A19" s="119" t="s">
        <v>227</v>
      </c>
      <c r="C19" s="119" t="b">
        <v>0</v>
      </c>
      <c r="E19" s="119" t="s">
        <v>159</v>
      </c>
      <c r="F19" s="121" t="s">
        <v>228</v>
      </c>
      <c r="G19" s="122">
        <v>2021</v>
      </c>
      <c r="K19" s="175">
        <v>0.03</v>
      </c>
      <c r="L19" s="175">
        <v>0.02</v>
      </c>
      <c r="M19" s="119">
        <v>0</v>
      </c>
      <c r="N19" s="119">
        <v>0</v>
      </c>
      <c r="O19" s="119">
        <v>2021</v>
      </c>
      <c r="P19" s="119" t="s">
        <v>61</v>
      </c>
      <c r="Q19" s="119">
        <v>0.03</v>
      </c>
      <c r="R19" s="119">
        <v>0</v>
      </c>
      <c r="S19" s="119" t="b">
        <v>1</v>
      </c>
      <c r="T19" s="119">
        <v>6.6250000000000003E-2</v>
      </c>
      <c r="U19" s="119" t="b">
        <v>1</v>
      </c>
      <c r="V19" s="120">
        <v>6.0999999999999999E-2</v>
      </c>
      <c r="W19" s="120">
        <v>2.3E-2</v>
      </c>
      <c r="X19" s="119">
        <v>0</v>
      </c>
      <c r="Z19" s="119">
        <v>1</v>
      </c>
      <c r="AA19" s="119">
        <v>1</v>
      </c>
      <c r="AB19" s="119">
        <v>1</v>
      </c>
      <c r="AC19" s="119">
        <v>1</v>
      </c>
      <c r="AD19">
        <v>20</v>
      </c>
      <c r="AE19">
        <v>64</v>
      </c>
      <c r="AF19">
        <v>20</v>
      </c>
      <c r="AG19">
        <v>100</v>
      </c>
      <c r="AH19">
        <v>40</v>
      </c>
      <c r="AI19">
        <v>65</v>
      </c>
      <c r="AJ19" s="119">
        <v>2020</v>
      </c>
    </row>
    <row r="20" spans="1:36" s="119" customFormat="1" x14ac:dyDescent="0.25">
      <c r="A20" s="119" t="s">
        <v>396</v>
      </c>
      <c r="C20" s="119" t="b">
        <v>0</v>
      </c>
      <c r="E20" s="119" t="s">
        <v>397</v>
      </c>
      <c r="F20" s="119" t="s">
        <v>194</v>
      </c>
      <c r="M20" s="119">
        <v>0</v>
      </c>
      <c r="N20" s="119">
        <v>0</v>
      </c>
      <c r="O20" s="119">
        <v>2021</v>
      </c>
      <c r="P20" s="119" t="s">
        <v>61</v>
      </c>
      <c r="Q20" s="119">
        <v>0.03</v>
      </c>
      <c r="R20" s="119">
        <v>0</v>
      </c>
      <c r="S20" s="119" t="b">
        <v>1</v>
      </c>
      <c r="T20" s="119">
        <v>6.6250000000000003E-2</v>
      </c>
      <c r="U20" s="119" t="b">
        <v>1</v>
      </c>
      <c r="V20" s="120">
        <v>6.0999999999999999E-2</v>
      </c>
      <c r="W20" s="120">
        <v>2.3E-2</v>
      </c>
      <c r="X20" s="119">
        <v>0</v>
      </c>
      <c r="Z20" s="119">
        <v>1</v>
      </c>
      <c r="AA20" s="119">
        <v>1</v>
      </c>
      <c r="AB20" s="119">
        <v>1</v>
      </c>
      <c r="AC20" s="119">
        <v>1</v>
      </c>
      <c r="AD20">
        <v>20</v>
      </c>
      <c r="AE20">
        <v>64</v>
      </c>
      <c r="AF20">
        <v>20</v>
      </c>
      <c r="AG20">
        <v>100</v>
      </c>
      <c r="AH20">
        <v>40</v>
      </c>
      <c r="AI20">
        <v>65</v>
      </c>
      <c r="AJ20" s="119">
        <v>2020</v>
      </c>
    </row>
    <row r="21" spans="1:36" s="119" customFormat="1" x14ac:dyDescent="0.25">
      <c r="A21" s="119" t="s">
        <v>402</v>
      </c>
      <c r="C21" s="119" t="b">
        <v>0</v>
      </c>
      <c r="E21" s="119" t="s">
        <v>397</v>
      </c>
      <c r="F21" s="121" t="s">
        <v>192</v>
      </c>
      <c r="G21" s="121">
        <v>2021</v>
      </c>
      <c r="H21" s="121">
        <v>2.5000000000000001E-2</v>
      </c>
      <c r="I21" s="121">
        <v>0.75</v>
      </c>
      <c r="J21" s="121">
        <v>3</v>
      </c>
      <c r="K21" s="121">
        <v>2.5000000000000001E-2</v>
      </c>
      <c r="L21" s="121">
        <v>0.02</v>
      </c>
      <c r="M21" s="119">
        <v>0</v>
      </c>
      <c r="N21" s="119">
        <v>0</v>
      </c>
      <c r="O21" s="119">
        <v>2021</v>
      </c>
      <c r="P21" s="119" t="s">
        <v>61</v>
      </c>
      <c r="Q21" s="119">
        <v>0.03</v>
      </c>
      <c r="R21" s="119">
        <v>0</v>
      </c>
      <c r="S21" s="119" t="b">
        <v>1</v>
      </c>
      <c r="T21" s="119">
        <v>6.6250000000000003E-2</v>
      </c>
      <c r="U21" s="119" t="b">
        <v>1</v>
      </c>
      <c r="V21" s="120">
        <v>6.0999999999999999E-2</v>
      </c>
      <c r="W21" s="120">
        <v>2.3E-2</v>
      </c>
      <c r="X21" s="119">
        <v>0</v>
      </c>
      <c r="Z21" s="119">
        <v>1</v>
      </c>
      <c r="AA21" s="119">
        <v>1</v>
      </c>
      <c r="AB21" s="119">
        <v>1</v>
      </c>
      <c r="AC21" s="119">
        <v>1</v>
      </c>
      <c r="AD21">
        <v>20</v>
      </c>
      <c r="AE21">
        <v>64</v>
      </c>
      <c r="AF21">
        <v>20</v>
      </c>
      <c r="AG21">
        <v>100</v>
      </c>
      <c r="AH21">
        <v>40</v>
      </c>
      <c r="AI21">
        <v>65</v>
      </c>
      <c r="AJ21" s="119">
        <v>2020</v>
      </c>
    </row>
    <row r="22" spans="1:36" s="119" customFormat="1" x14ac:dyDescent="0.25">
      <c r="F22" s="121"/>
      <c r="G22" s="121"/>
      <c r="H22" s="121"/>
      <c r="I22" s="121"/>
      <c r="J22" s="121"/>
      <c r="K22" s="121"/>
      <c r="L22" s="121"/>
      <c r="V22" s="120"/>
      <c r="W22" s="120"/>
      <c r="AD22"/>
      <c r="AE22"/>
      <c r="AF22"/>
      <c r="AG22"/>
      <c r="AH22"/>
      <c r="AI22"/>
    </row>
    <row r="23" spans="1:36" s="119" customFormat="1" x14ac:dyDescent="0.25">
      <c r="A23" s="119" t="s">
        <v>411</v>
      </c>
      <c r="C23" s="119" t="b">
        <v>0</v>
      </c>
      <c r="E23" s="119" t="s">
        <v>412</v>
      </c>
      <c r="F23" s="119" t="s">
        <v>194</v>
      </c>
      <c r="M23" s="119">
        <v>0</v>
      </c>
      <c r="N23" s="119">
        <v>0</v>
      </c>
      <c r="O23" s="119">
        <v>2021</v>
      </c>
      <c r="P23" s="119" t="s">
        <v>61</v>
      </c>
      <c r="Q23" s="119">
        <v>0.03</v>
      </c>
      <c r="R23" s="119">
        <v>0</v>
      </c>
      <c r="S23" s="119" t="b">
        <v>1</v>
      </c>
      <c r="T23" s="119">
        <v>6.6250000000000003E-2</v>
      </c>
      <c r="U23" s="119" t="b">
        <v>1</v>
      </c>
      <c r="V23" s="120">
        <v>6.0999999999999999E-2</v>
      </c>
      <c r="W23" s="120">
        <v>2.3E-2</v>
      </c>
      <c r="X23" s="119">
        <v>0</v>
      </c>
      <c r="Z23" s="119">
        <v>1</v>
      </c>
      <c r="AA23" s="119">
        <v>1</v>
      </c>
      <c r="AB23" s="119">
        <v>1</v>
      </c>
      <c r="AC23" s="119">
        <v>1</v>
      </c>
      <c r="AD23">
        <v>20</v>
      </c>
      <c r="AE23">
        <v>64</v>
      </c>
      <c r="AF23">
        <v>20</v>
      </c>
      <c r="AG23">
        <v>100</v>
      </c>
      <c r="AH23">
        <v>40</v>
      </c>
      <c r="AI23">
        <v>65</v>
      </c>
      <c r="AJ23" s="119">
        <v>2020</v>
      </c>
    </row>
    <row r="24" spans="1:36" s="119" customFormat="1" x14ac:dyDescent="0.25">
      <c r="A24" s="119" t="s">
        <v>418</v>
      </c>
      <c r="C24" s="119" t="b">
        <v>1</v>
      </c>
      <c r="E24" s="119" t="s">
        <v>419</v>
      </c>
      <c r="F24" s="119" t="s">
        <v>194</v>
      </c>
      <c r="M24" s="119">
        <v>0</v>
      </c>
      <c r="N24" s="119">
        <v>0</v>
      </c>
      <c r="O24" s="119">
        <v>2021</v>
      </c>
      <c r="P24" s="119" t="s">
        <v>61</v>
      </c>
      <c r="Q24" s="119">
        <v>0.03</v>
      </c>
      <c r="R24" s="119">
        <v>0</v>
      </c>
      <c r="S24" s="119" t="b">
        <v>1</v>
      </c>
      <c r="T24" s="119">
        <v>6.6250000000000003E-2</v>
      </c>
      <c r="U24" s="119" t="b">
        <v>1</v>
      </c>
      <c r="V24" s="120">
        <v>6.0999999999999999E-2</v>
      </c>
      <c r="W24" s="120">
        <v>2.3E-2</v>
      </c>
      <c r="X24" s="119">
        <v>0</v>
      </c>
      <c r="Z24" s="119">
        <v>1</v>
      </c>
      <c r="AA24" s="119">
        <v>1</v>
      </c>
      <c r="AB24" s="119">
        <v>1</v>
      </c>
      <c r="AC24" s="119">
        <v>1</v>
      </c>
      <c r="AD24">
        <v>20</v>
      </c>
      <c r="AE24">
        <v>64</v>
      </c>
      <c r="AF24">
        <v>20</v>
      </c>
      <c r="AG24">
        <v>100</v>
      </c>
      <c r="AH24">
        <v>40</v>
      </c>
      <c r="AI24">
        <v>65</v>
      </c>
      <c r="AJ24" s="119">
        <v>2020</v>
      </c>
    </row>
    <row r="25" spans="1:36" s="119" customFormat="1" x14ac:dyDescent="0.25">
      <c r="V25" s="120"/>
      <c r="W25" s="120"/>
      <c r="AD25"/>
      <c r="AE25"/>
      <c r="AF25"/>
      <c r="AG25"/>
      <c r="AH25"/>
      <c r="AI25"/>
    </row>
    <row r="26" spans="1:36" s="227" customFormat="1" x14ac:dyDescent="0.25">
      <c r="A26" s="227" t="s">
        <v>297</v>
      </c>
      <c r="C26" s="227" t="b">
        <v>0</v>
      </c>
      <c r="E26" s="227" t="s">
        <v>296</v>
      </c>
      <c r="F26" s="227" t="s">
        <v>194</v>
      </c>
      <c r="M26" s="227">
        <v>0</v>
      </c>
      <c r="N26" s="227">
        <v>0</v>
      </c>
      <c r="O26" s="227">
        <v>2021</v>
      </c>
      <c r="P26" s="227" t="s">
        <v>61</v>
      </c>
      <c r="Q26" s="227">
        <v>0.03</v>
      </c>
      <c r="R26" s="227">
        <v>0</v>
      </c>
      <c r="S26" s="227" t="b">
        <v>1</v>
      </c>
      <c r="T26" s="227">
        <v>6.6250000000000003E-2</v>
      </c>
      <c r="U26" s="227" t="b">
        <v>1</v>
      </c>
      <c r="V26" s="228">
        <v>0.24099999999999999</v>
      </c>
      <c r="W26" s="228">
        <v>9.1999999999999998E-2</v>
      </c>
      <c r="X26" s="227">
        <v>0</v>
      </c>
      <c r="Z26" s="227">
        <v>1</v>
      </c>
      <c r="AA26" s="227">
        <v>1</v>
      </c>
      <c r="AB26" s="227">
        <v>1</v>
      </c>
      <c r="AC26" s="227">
        <v>1</v>
      </c>
      <c r="AD26" s="227">
        <v>20</v>
      </c>
      <c r="AE26" s="227">
        <v>69</v>
      </c>
      <c r="AF26" s="227">
        <v>20</v>
      </c>
      <c r="AG26" s="227">
        <v>100</v>
      </c>
      <c r="AH26" s="227">
        <v>50</v>
      </c>
      <c r="AI26" s="227">
        <v>70</v>
      </c>
      <c r="AJ26" s="227">
        <v>2020</v>
      </c>
    </row>
    <row r="27" spans="1:36" x14ac:dyDescent="0.25">
      <c r="V27" s="27"/>
      <c r="W27" s="27"/>
    </row>
    <row r="28" spans="1:36" s="227" customFormat="1" x14ac:dyDescent="0.25">
      <c r="A28" s="227" t="s">
        <v>298</v>
      </c>
      <c r="C28" s="227" t="b">
        <v>0</v>
      </c>
      <c r="E28" s="227" t="s">
        <v>296</v>
      </c>
      <c r="F28" s="121" t="s">
        <v>192</v>
      </c>
      <c r="G28" s="121">
        <v>2021</v>
      </c>
      <c r="H28" s="229">
        <v>2.5000000000000001E-2</v>
      </c>
      <c r="I28" s="229">
        <v>0.75</v>
      </c>
      <c r="J28" s="229">
        <v>3</v>
      </c>
      <c r="K28" s="229">
        <v>2.2499999999999999E-2</v>
      </c>
      <c r="L28" s="229"/>
      <c r="M28" s="227">
        <v>0</v>
      </c>
      <c r="N28" s="227">
        <v>0</v>
      </c>
      <c r="O28" s="227">
        <v>2021</v>
      </c>
      <c r="P28" s="227" t="s">
        <v>61</v>
      </c>
      <c r="Q28" s="227">
        <v>0.03</v>
      </c>
      <c r="R28" s="227">
        <v>0</v>
      </c>
      <c r="S28" s="227" t="b">
        <v>1</v>
      </c>
      <c r="T28" s="227">
        <v>6.6250000000000003E-2</v>
      </c>
      <c r="U28" s="227" t="b">
        <v>1</v>
      </c>
      <c r="V28" s="228">
        <v>0.24099999999999999</v>
      </c>
      <c r="W28" s="228">
        <v>9.1999999999999998E-2</v>
      </c>
      <c r="X28" s="227">
        <v>0</v>
      </c>
      <c r="Z28" s="227">
        <v>1</v>
      </c>
      <c r="AA28" s="227">
        <v>1</v>
      </c>
      <c r="AB28" s="227">
        <v>1</v>
      </c>
      <c r="AC28" s="227">
        <v>1</v>
      </c>
      <c r="AD28" s="227">
        <v>20</v>
      </c>
      <c r="AE28" s="227">
        <v>69</v>
      </c>
      <c r="AF28" s="227">
        <v>20</v>
      </c>
      <c r="AG28" s="227">
        <v>100</v>
      </c>
      <c r="AH28" s="227">
        <v>50</v>
      </c>
      <c r="AI28" s="227">
        <v>70</v>
      </c>
      <c r="AJ28" s="227">
        <v>2020</v>
      </c>
    </row>
    <row r="29" spans="1:36" s="227" customFormat="1" x14ac:dyDescent="0.25">
      <c r="A29" s="227" t="s">
        <v>299</v>
      </c>
      <c r="C29" s="227" t="b">
        <v>0</v>
      </c>
      <c r="E29" s="227" t="s">
        <v>296</v>
      </c>
      <c r="F29" s="121" t="s">
        <v>228</v>
      </c>
      <c r="G29" s="122">
        <v>2021</v>
      </c>
      <c r="K29" s="227">
        <v>0.03</v>
      </c>
      <c r="M29" s="227">
        <v>0</v>
      </c>
      <c r="N29" s="227">
        <v>0</v>
      </c>
      <c r="O29" s="227">
        <v>2021</v>
      </c>
      <c r="P29" s="227" t="s">
        <v>61</v>
      </c>
      <c r="Q29" s="227">
        <v>0.03</v>
      </c>
      <c r="R29" s="227">
        <v>0</v>
      </c>
      <c r="S29" s="227" t="b">
        <v>1</v>
      </c>
      <c r="T29" s="227">
        <v>6.6250000000000003E-2</v>
      </c>
      <c r="U29" s="227" t="b">
        <v>1</v>
      </c>
      <c r="V29" s="228">
        <v>0.24099999999999999</v>
      </c>
      <c r="W29" s="228">
        <v>9.1999999999999998E-2</v>
      </c>
      <c r="X29" s="227">
        <v>0</v>
      </c>
      <c r="Z29" s="227">
        <v>1</v>
      </c>
      <c r="AA29" s="227">
        <v>1</v>
      </c>
      <c r="AB29" s="227">
        <v>1</v>
      </c>
      <c r="AC29" s="227">
        <v>1</v>
      </c>
      <c r="AD29" s="227">
        <v>20</v>
      </c>
      <c r="AE29" s="227">
        <v>69</v>
      </c>
      <c r="AF29" s="227">
        <v>20</v>
      </c>
      <c r="AG29" s="227">
        <v>100</v>
      </c>
      <c r="AH29" s="227">
        <v>50</v>
      </c>
      <c r="AI29" s="227">
        <v>70</v>
      </c>
      <c r="AJ29" s="227">
        <v>2020</v>
      </c>
    </row>
    <row r="30" spans="1:36" x14ac:dyDescent="0.25">
      <c r="V30" s="27"/>
      <c r="W30" s="27"/>
    </row>
    <row r="31" spans="1:36" x14ac:dyDescent="0.25">
      <c r="V31" s="27"/>
      <c r="W31" s="27"/>
    </row>
    <row r="32" spans="1:36" x14ac:dyDescent="0.25">
      <c r="V32" s="27"/>
      <c r="W32" s="27"/>
    </row>
    <row r="33" spans="1:36" x14ac:dyDescent="0.25">
      <c r="V33" s="27"/>
      <c r="W33" s="27"/>
    </row>
    <row r="34" spans="1:36" x14ac:dyDescent="0.25">
      <c r="V34" s="27"/>
      <c r="W34" s="27"/>
    </row>
    <row r="35" spans="1:36" x14ac:dyDescent="0.25">
      <c r="V35" s="27"/>
      <c r="W35" s="27"/>
    </row>
    <row r="36" spans="1:36" x14ac:dyDescent="0.25">
      <c r="V36" s="27"/>
      <c r="W36" s="27"/>
    </row>
    <row r="37" spans="1:36" x14ac:dyDescent="0.25">
      <c r="V37" s="27"/>
      <c r="W37" s="27"/>
    </row>
    <row r="38" spans="1:36" x14ac:dyDescent="0.25">
      <c r="V38" s="27"/>
      <c r="W38" s="27"/>
    </row>
    <row r="39" spans="1:36" x14ac:dyDescent="0.25">
      <c r="V39" s="27"/>
      <c r="W39" s="27"/>
    </row>
    <row r="40" spans="1:36" s="119" customFormat="1" x14ac:dyDescent="0.25">
      <c r="A40" s="119" t="s">
        <v>167</v>
      </c>
      <c r="C40" s="119" t="b">
        <v>0</v>
      </c>
      <c r="E40" s="119" t="s">
        <v>159</v>
      </c>
      <c r="F40" s="119" t="s">
        <v>194</v>
      </c>
      <c r="G40" s="119">
        <v>2021</v>
      </c>
      <c r="M40" s="119">
        <v>0.5</v>
      </c>
      <c r="N40" s="119">
        <v>0.5</v>
      </c>
      <c r="O40" s="119">
        <v>2021</v>
      </c>
      <c r="P40" s="119" t="s">
        <v>61</v>
      </c>
      <c r="Q40" s="119">
        <v>3.2500000000000001E-2</v>
      </c>
      <c r="R40" s="119">
        <v>0</v>
      </c>
      <c r="S40" s="119" t="b">
        <v>1</v>
      </c>
      <c r="T40" s="119">
        <v>6.7500000000000004E-2</v>
      </c>
      <c r="U40" s="119" t="b">
        <v>0</v>
      </c>
      <c r="V40" s="120"/>
      <c r="W40" s="120"/>
      <c r="X40" s="119">
        <v>0</v>
      </c>
      <c r="Z40" s="119">
        <v>1</v>
      </c>
      <c r="AA40" s="119">
        <v>1</v>
      </c>
      <c r="AB40" s="119">
        <v>1</v>
      </c>
      <c r="AC40" s="119">
        <v>1</v>
      </c>
      <c r="AD40">
        <v>20</v>
      </c>
      <c r="AE40">
        <v>64</v>
      </c>
      <c r="AF40">
        <v>20</v>
      </c>
      <c r="AG40">
        <v>100</v>
      </c>
      <c r="AH40">
        <v>40</v>
      </c>
      <c r="AI40">
        <v>65</v>
      </c>
      <c r="AJ40" s="119">
        <v>2019</v>
      </c>
    </row>
    <row r="41" spans="1:36" s="119" customFormat="1" x14ac:dyDescent="0.25">
      <c r="A41" s="119" t="s">
        <v>168</v>
      </c>
      <c r="C41" s="119" t="b">
        <v>0</v>
      </c>
      <c r="E41" s="119" t="s">
        <v>159</v>
      </c>
      <c r="F41" s="119" t="s">
        <v>194</v>
      </c>
      <c r="G41" s="119">
        <v>2021</v>
      </c>
      <c r="K41" s="119">
        <v>1.4999999999999999E-2</v>
      </c>
      <c r="L41" s="119">
        <v>0.02</v>
      </c>
      <c r="M41" s="119">
        <v>0</v>
      </c>
      <c r="N41" s="119">
        <v>0</v>
      </c>
      <c r="O41" s="119">
        <v>2021</v>
      </c>
      <c r="P41" s="119" t="s">
        <v>61</v>
      </c>
      <c r="Q41" s="119">
        <v>3.2500000000000001E-2</v>
      </c>
      <c r="R41" s="119">
        <v>0</v>
      </c>
      <c r="S41" s="119" t="b">
        <v>1</v>
      </c>
      <c r="T41" s="119">
        <v>6.7500000000000004E-2</v>
      </c>
      <c r="U41" s="119" t="b">
        <v>0</v>
      </c>
      <c r="V41" s="120"/>
      <c r="W41" s="120"/>
      <c r="X41" s="119">
        <v>0</v>
      </c>
      <c r="Z41" s="119">
        <v>1</v>
      </c>
      <c r="AA41" s="119">
        <v>1</v>
      </c>
      <c r="AB41" s="119">
        <v>1</v>
      </c>
      <c r="AC41" s="119">
        <v>1</v>
      </c>
      <c r="AD41">
        <v>20</v>
      </c>
      <c r="AE41">
        <v>64</v>
      </c>
      <c r="AF41">
        <v>20</v>
      </c>
      <c r="AG41">
        <v>100</v>
      </c>
      <c r="AH41">
        <v>40</v>
      </c>
      <c r="AI41">
        <v>65</v>
      </c>
      <c r="AJ41" s="119">
        <v>2019</v>
      </c>
    </row>
    <row r="42" spans="1:36" x14ac:dyDescent="0.25">
      <c r="V42" s="27"/>
      <c r="W42" s="27"/>
    </row>
    <row r="43" spans="1:36" x14ac:dyDescent="0.25">
      <c r="V43" s="27"/>
      <c r="W43" s="27"/>
    </row>
    <row r="44" spans="1:36" x14ac:dyDescent="0.25">
      <c r="V44" s="27"/>
      <c r="W44" s="27"/>
    </row>
    <row r="45" spans="1:36" x14ac:dyDescent="0.25">
      <c r="V45" s="27"/>
      <c r="W45" s="27"/>
    </row>
    <row r="46" spans="1:36" x14ac:dyDescent="0.25">
      <c r="V46" s="27"/>
      <c r="W46" s="27"/>
    </row>
    <row r="47" spans="1:36" x14ac:dyDescent="0.25">
      <c r="V47" s="27"/>
      <c r="W47" s="27"/>
    </row>
  </sheetData>
  <dataValidations count="2">
    <dataValidation type="list" allowBlank="1" showInputMessage="1" showErrorMessage="1" sqref="C5:C47" xr:uid="{CE4DB086-8939-4E0F-A217-D1528E507A37}">
      <formula1>"TRUE, FALSE"</formula1>
    </dataValidation>
    <dataValidation type="list" allowBlank="1" showInputMessage="1" showErrorMessage="1" sqref="D5:D47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39" sqref="G39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 x14ac:dyDescent="0.25">
      <c r="A4">
        <v>2020</v>
      </c>
      <c r="B4">
        <v>100</v>
      </c>
      <c r="C4">
        <v>81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65"/>
  <sheetViews>
    <sheetView tabSelected="1" workbookViewId="0">
      <selection activeCell="B31" sqref="B31"/>
    </sheetView>
  </sheetViews>
  <sheetFormatPr defaultRowHeight="15" x14ac:dyDescent="0.25"/>
  <cols>
    <col min="1" max="1" width="26.85546875" customWidth="1"/>
    <col min="2" max="2" width="15.42578125" customWidth="1"/>
    <col min="3" max="3" width="49.140625" customWidth="1"/>
    <col min="4" max="5" width="13.42578125" customWidth="1"/>
    <col min="6" max="6" width="17.140625" customWidth="1"/>
    <col min="7" max="7" width="13.42578125" customWidth="1"/>
  </cols>
  <sheetData>
    <row r="2" spans="1:7" x14ac:dyDescent="0.25">
      <c r="A2" s="113" t="s">
        <v>72</v>
      </c>
      <c r="B2" s="113" t="s">
        <v>13</v>
      </c>
      <c r="C2" s="113" t="s">
        <v>206</v>
      </c>
      <c r="D2" s="113" t="s">
        <v>208</v>
      </c>
      <c r="E2" s="113" t="s">
        <v>209</v>
      </c>
      <c r="F2" s="113" t="s">
        <v>210</v>
      </c>
      <c r="G2" s="113" t="s">
        <v>211</v>
      </c>
    </row>
    <row r="3" spans="1:7" x14ac:dyDescent="0.25">
      <c r="A3" s="30" t="s">
        <v>171</v>
      </c>
      <c r="B3" s="30" t="b">
        <v>1</v>
      </c>
      <c r="C3" s="30" t="s">
        <v>212</v>
      </c>
      <c r="D3" s="30" t="s">
        <v>222</v>
      </c>
      <c r="E3" s="30" t="s">
        <v>220</v>
      </c>
      <c r="F3" s="30" t="s">
        <v>219</v>
      </c>
      <c r="G3" s="30" t="s">
        <v>218</v>
      </c>
    </row>
    <row r="4" spans="1:7" x14ac:dyDescent="0.25">
      <c r="A4" s="30" t="s">
        <v>173</v>
      </c>
      <c r="B4" s="30" t="b">
        <v>1</v>
      </c>
      <c r="C4" s="30" t="s">
        <v>212</v>
      </c>
      <c r="D4" s="30" t="s">
        <v>222</v>
      </c>
      <c r="E4" s="30" t="s">
        <v>221</v>
      </c>
      <c r="F4" s="30" t="s">
        <v>219</v>
      </c>
      <c r="G4" s="30" t="s">
        <v>218</v>
      </c>
    </row>
    <row r="5" spans="1:7" x14ac:dyDescent="0.25">
      <c r="B5" s="159"/>
    </row>
    <row r="6" spans="1:7" x14ac:dyDescent="0.25">
      <c r="A6" s="131" t="s">
        <v>197</v>
      </c>
      <c r="B6" s="131" t="b">
        <v>1</v>
      </c>
      <c r="C6" s="131" t="s">
        <v>207</v>
      </c>
      <c r="D6" s="131" t="s">
        <v>222</v>
      </c>
      <c r="E6" s="131" t="s">
        <v>220</v>
      </c>
      <c r="F6" s="131" t="s">
        <v>192</v>
      </c>
      <c r="G6" s="131" t="s">
        <v>223</v>
      </c>
    </row>
    <row r="7" spans="1:7" x14ac:dyDescent="0.25">
      <c r="A7" s="131" t="s">
        <v>198</v>
      </c>
      <c r="B7" s="131" t="b">
        <v>1</v>
      </c>
      <c r="C7" s="131" t="s">
        <v>213</v>
      </c>
      <c r="D7" s="131" t="s">
        <v>222</v>
      </c>
      <c r="E7" s="131" t="s">
        <v>221</v>
      </c>
      <c r="F7" s="131" t="s">
        <v>192</v>
      </c>
      <c r="G7" s="131" t="s">
        <v>223</v>
      </c>
    </row>
    <row r="8" spans="1:7" x14ac:dyDescent="0.25">
      <c r="A8" s="131"/>
      <c r="B8" s="131"/>
      <c r="C8" s="131"/>
      <c r="D8" s="131"/>
      <c r="E8" s="131"/>
      <c r="F8" s="131"/>
      <c r="G8" s="131"/>
    </row>
    <row r="10" spans="1:7" x14ac:dyDescent="0.25">
      <c r="A10" s="146" t="s">
        <v>225</v>
      </c>
      <c r="B10" s="146" t="b">
        <v>1</v>
      </c>
      <c r="C10" s="146" t="s">
        <v>229</v>
      </c>
      <c r="D10" s="146" t="s">
        <v>222</v>
      </c>
      <c r="E10" s="146" t="s">
        <v>220</v>
      </c>
      <c r="F10" s="146" t="s">
        <v>228</v>
      </c>
      <c r="G10" s="131" t="s">
        <v>218</v>
      </c>
    </row>
    <row r="11" spans="1:7" x14ac:dyDescent="0.25">
      <c r="A11" s="146" t="s">
        <v>226</v>
      </c>
      <c r="B11" s="146" t="b">
        <v>1</v>
      </c>
      <c r="C11" s="146" t="s">
        <v>230</v>
      </c>
      <c r="D11" s="146" t="s">
        <v>222</v>
      </c>
      <c r="E11" s="146" t="s">
        <v>221</v>
      </c>
      <c r="F11" s="146" t="s">
        <v>228</v>
      </c>
      <c r="G11" s="131" t="s">
        <v>218</v>
      </c>
    </row>
    <row r="12" spans="1:7" s="159" customFormat="1" x14ac:dyDescent="0.25"/>
    <row r="13" spans="1:7" x14ac:dyDescent="0.25">
      <c r="A13" s="227" t="s">
        <v>387</v>
      </c>
      <c r="B13" s="227" t="b">
        <v>1</v>
      </c>
      <c r="C13" s="227" t="s">
        <v>391</v>
      </c>
      <c r="D13" s="227" t="s">
        <v>222</v>
      </c>
      <c r="E13" s="227" t="s">
        <v>220</v>
      </c>
      <c r="F13" s="227" t="s">
        <v>393</v>
      </c>
      <c r="G13" s="227" t="s">
        <v>218</v>
      </c>
    </row>
    <row r="14" spans="1:7" x14ac:dyDescent="0.25">
      <c r="A14" s="227" t="s">
        <v>388</v>
      </c>
      <c r="B14" s="227" t="b">
        <v>1</v>
      </c>
      <c r="C14" s="227" t="s">
        <v>392</v>
      </c>
      <c r="D14" s="227" t="s">
        <v>222</v>
      </c>
      <c r="E14" s="227" t="s">
        <v>221</v>
      </c>
      <c r="F14" s="227" t="s">
        <v>393</v>
      </c>
      <c r="G14" s="227" t="s">
        <v>218</v>
      </c>
    </row>
    <row r="15" spans="1:7" s="159" customFormat="1" x14ac:dyDescent="0.25"/>
    <row r="16" spans="1:7" s="159" customFormat="1" x14ac:dyDescent="0.25"/>
    <row r="17" spans="1:7" x14ac:dyDescent="0.25">
      <c r="A17" s="30" t="s">
        <v>398</v>
      </c>
      <c r="B17" s="30" t="b">
        <v>1</v>
      </c>
      <c r="C17" s="30" t="s">
        <v>405</v>
      </c>
      <c r="D17" s="30" t="s">
        <v>222</v>
      </c>
      <c r="E17" s="30" t="s">
        <v>220</v>
      </c>
      <c r="F17" s="30" t="s">
        <v>409</v>
      </c>
      <c r="G17" s="30" t="s">
        <v>218</v>
      </c>
    </row>
    <row r="18" spans="1:7" x14ac:dyDescent="0.25">
      <c r="A18" s="30" t="s">
        <v>399</v>
      </c>
      <c r="B18" s="30" t="b">
        <v>1</v>
      </c>
      <c r="C18" s="30" t="s">
        <v>406</v>
      </c>
      <c r="D18" s="30" t="s">
        <v>222</v>
      </c>
      <c r="E18" s="30" t="s">
        <v>221</v>
      </c>
      <c r="F18" s="30" t="s">
        <v>409</v>
      </c>
      <c r="G18" s="30" t="s">
        <v>218</v>
      </c>
    </row>
    <row r="19" spans="1:7" s="159" customFormat="1" x14ac:dyDescent="0.25"/>
    <row r="20" spans="1:7" x14ac:dyDescent="0.25">
      <c r="A20" s="30" t="s">
        <v>413</v>
      </c>
      <c r="B20" s="30" t="b">
        <v>1</v>
      </c>
      <c r="C20" s="30" t="s">
        <v>429</v>
      </c>
      <c r="D20" s="30" t="s">
        <v>222</v>
      </c>
      <c r="E20" s="30" t="s">
        <v>220</v>
      </c>
      <c r="F20" s="30" t="s">
        <v>417</v>
      </c>
      <c r="G20" s="30" t="s">
        <v>218</v>
      </c>
    </row>
    <row r="21" spans="1:7" x14ac:dyDescent="0.25">
      <c r="A21" s="30" t="s">
        <v>414</v>
      </c>
      <c r="B21" s="30" t="b">
        <v>1</v>
      </c>
      <c r="C21" s="30" t="s">
        <v>430</v>
      </c>
      <c r="D21" s="30" t="s">
        <v>222</v>
      </c>
      <c r="E21" s="30" t="s">
        <v>221</v>
      </c>
      <c r="F21" s="30" t="s">
        <v>417</v>
      </c>
      <c r="G21" s="30" t="s">
        <v>218</v>
      </c>
    </row>
    <row r="22" spans="1:7" s="159" customFormat="1" x14ac:dyDescent="0.25"/>
    <row r="23" spans="1:7" x14ac:dyDescent="0.25">
      <c r="A23" s="30" t="s">
        <v>403</v>
      </c>
      <c r="B23" s="30" t="b">
        <v>1</v>
      </c>
      <c r="C23" s="30" t="s">
        <v>407</v>
      </c>
      <c r="D23" s="30" t="s">
        <v>222</v>
      </c>
      <c r="E23" s="30" t="s">
        <v>220</v>
      </c>
      <c r="F23" s="30" t="s">
        <v>410</v>
      </c>
      <c r="G23" s="30" t="s">
        <v>218</v>
      </c>
    </row>
    <row r="24" spans="1:7" x14ac:dyDescent="0.25">
      <c r="A24" s="30" t="s">
        <v>404</v>
      </c>
      <c r="B24" s="30" t="b">
        <v>1</v>
      </c>
      <c r="C24" s="30" t="s">
        <v>408</v>
      </c>
      <c r="D24" s="30" t="s">
        <v>222</v>
      </c>
      <c r="E24" s="30" t="s">
        <v>221</v>
      </c>
      <c r="F24" s="30" t="s">
        <v>410</v>
      </c>
      <c r="G24" s="30" t="s">
        <v>218</v>
      </c>
    </row>
    <row r="25" spans="1:7" s="159" customFormat="1" x14ac:dyDescent="0.25"/>
    <row r="26" spans="1:7" x14ac:dyDescent="0.25">
      <c r="A26" s="30" t="s">
        <v>420</v>
      </c>
      <c r="B26" s="30" t="b">
        <v>1</v>
      </c>
      <c r="C26" s="30" t="s">
        <v>428</v>
      </c>
      <c r="D26" s="30" t="s">
        <v>222</v>
      </c>
      <c r="E26" s="30" t="s">
        <v>220</v>
      </c>
      <c r="F26" s="30" t="s">
        <v>427</v>
      </c>
      <c r="G26" s="30" t="s">
        <v>218</v>
      </c>
    </row>
    <row r="27" spans="1:7" x14ac:dyDescent="0.25">
      <c r="A27" s="30" t="s">
        <v>421</v>
      </c>
      <c r="B27" s="30" t="b">
        <v>1</v>
      </c>
      <c r="C27" s="30" t="s">
        <v>428</v>
      </c>
      <c r="D27" s="30" t="s">
        <v>222</v>
      </c>
      <c r="E27" s="30" t="s">
        <v>221</v>
      </c>
      <c r="F27" s="30" t="s">
        <v>427</v>
      </c>
      <c r="G27" s="30" t="s">
        <v>218</v>
      </c>
    </row>
    <row r="28" spans="1:7" s="159" customFormat="1" x14ac:dyDescent="0.25"/>
    <row r="29" spans="1:7" s="159" customFormat="1" x14ac:dyDescent="0.25"/>
    <row r="30" spans="1:7" x14ac:dyDescent="0.25">
      <c r="A30" s="30" t="s">
        <v>301</v>
      </c>
      <c r="B30" s="30" t="b">
        <v>1</v>
      </c>
      <c r="C30" s="30" t="s">
        <v>314</v>
      </c>
      <c r="D30" s="30" t="s">
        <v>311</v>
      </c>
      <c r="E30" s="30" t="s">
        <v>220</v>
      </c>
      <c r="F30" s="30" t="s">
        <v>219</v>
      </c>
      <c r="G30" s="30" t="s">
        <v>218</v>
      </c>
    </row>
    <row r="31" spans="1:7" x14ac:dyDescent="0.25">
      <c r="A31" s="30" t="s">
        <v>302</v>
      </c>
      <c r="B31" s="30" t="b">
        <v>1</v>
      </c>
      <c r="C31" s="30" t="s">
        <v>314</v>
      </c>
      <c r="D31" s="30" t="s">
        <v>311</v>
      </c>
      <c r="E31" s="30" t="s">
        <v>221</v>
      </c>
      <c r="F31" s="30" t="s">
        <v>219</v>
      </c>
      <c r="G31" s="30" t="s">
        <v>218</v>
      </c>
    </row>
    <row r="32" spans="1:7" x14ac:dyDescent="0.25">
      <c r="B32" s="159"/>
    </row>
    <row r="33" spans="1:7" x14ac:dyDescent="0.25">
      <c r="A33" s="131" t="s">
        <v>303</v>
      </c>
      <c r="B33" s="131" t="b">
        <v>1</v>
      </c>
      <c r="C33" s="131" t="s">
        <v>315</v>
      </c>
      <c r="D33" s="131" t="s">
        <v>311</v>
      </c>
      <c r="E33" s="131" t="s">
        <v>220</v>
      </c>
      <c r="F33" s="131" t="s">
        <v>192</v>
      </c>
      <c r="G33" s="131" t="s">
        <v>223</v>
      </c>
    </row>
    <row r="34" spans="1:7" x14ac:dyDescent="0.25">
      <c r="A34" s="131" t="s">
        <v>304</v>
      </c>
      <c r="B34" s="131" t="b">
        <v>1</v>
      </c>
      <c r="C34" s="131" t="s">
        <v>316</v>
      </c>
      <c r="D34" s="131" t="s">
        <v>311</v>
      </c>
      <c r="E34" s="131" t="s">
        <v>221</v>
      </c>
      <c r="F34" s="131" t="s">
        <v>192</v>
      </c>
      <c r="G34" s="131" t="s">
        <v>223</v>
      </c>
    </row>
    <row r="35" spans="1:7" x14ac:dyDescent="0.25">
      <c r="A35" s="131"/>
      <c r="B35" s="131"/>
      <c r="C35" s="131"/>
      <c r="D35" s="131"/>
      <c r="E35" s="131"/>
      <c r="F35" s="131"/>
      <c r="G35" s="131"/>
    </row>
    <row r="37" spans="1:7" x14ac:dyDescent="0.25">
      <c r="A37" s="146" t="s">
        <v>305</v>
      </c>
      <c r="B37" s="146" t="b">
        <v>1</v>
      </c>
      <c r="C37" s="146" t="s">
        <v>319</v>
      </c>
      <c r="D37" s="146" t="s">
        <v>311</v>
      </c>
      <c r="E37" s="146" t="s">
        <v>220</v>
      </c>
      <c r="F37" s="146" t="s">
        <v>228</v>
      </c>
      <c r="G37" s="131" t="s">
        <v>218</v>
      </c>
    </row>
    <row r="38" spans="1:7" x14ac:dyDescent="0.25">
      <c r="A38" s="146" t="s">
        <v>306</v>
      </c>
      <c r="B38" s="146" t="b">
        <v>1</v>
      </c>
      <c r="C38" s="146" t="s">
        <v>320</v>
      </c>
      <c r="D38" s="146" t="s">
        <v>311</v>
      </c>
      <c r="E38" s="146" t="s">
        <v>221</v>
      </c>
      <c r="F38" s="146" t="s">
        <v>228</v>
      </c>
      <c r="G38" s="131" t="s">
        <v>218</v>
      </c>
    </row>
    <row r="39" spans="1:7" s="159" customFormat="1" x14ac:dyDescent="0.25"/>
    <row r="40" spans="1:7" x14ac:dyDescent="0.25">
      <c r="A40" s="227" t="s">
        <v>389</v>
      </c>
      <c r="B40" s="227" t="b">
        <v>1</v>
      </c>
      <c r="C40" s="227" t="s">
        <v>394</v>
      </c>
      <c r="D40" s="227" t="s">
        <v>311</v>
      </c>
      <c r="E40" s="227" t="s">
        <v>220</v>
      </c>
      <c r="F40" s="227" t="s">
        <v>393</v>
      </c>
      <c r="G40" s="227" t="s">
        <v>218</v>
      </c>
    </row>
    <row r="41" spans="1:7" x14ac:dyDescent="0.25">
      <c r="A41" s="227" t="s">
        <v>390</v>
      </c>
      <c r="B41" s="227" t="b">
        <v>1</v>
      </c>
      <c r="C41" s="227" t="s">
        <v>395</v>
      </c>
      <c r="D41" s="227" t="s">
        <v>311</v>
      </c>
      <c r="E41" s="227" t="s">
        <v>221</v>
      </c>
      <c r="F41" s="227" t="s">
        <v>393</v>
      </c>
      <c r="G41" s="227" t="s">
        <v>218</v>
      </c>
    </row>
    <row r="42" spans="1:7" s="159" customFormat="1" x14ac:dyDescent="0.25"/>
    <row r="43" spans="1:7" s="159" customFormat="1" x14ac:dyDescent="0.25"/>
    <row r="44" spans="1:7" s="159" customFormat="1" x14ac:dyDescent="0.25"/>
    <row r="45" spans="1:7" s="159" customFormat="1" x14ac:dyDescent="0.25"/>
    <row r="46" spans="1:7" s="159" customFormat="1" x14ac:dyDescent="0.25"/>
    <row r="47" spans="1:7" s="159" customFormat="1" x14ac:dyDescent="0.25"/>
    <row r="48" spans="1:7" x14ac:dyDescent="0.25">
      <c r="A48" s="30" t="s">
        <v>233</v>
      </c>
      <c r="B48" s="30" t="b">
        <v>0</v>
      </c>
      <c r="C48" s="30" t="s">
        <v>239</v>
      </c>
      <c r="D48" s="30" t="s">
        <v>222</v>
      </c>
      <c r="E48" s="30" t="s">
        <v>220</v>
      </c>
      <c r="F48" s="30" t="s">
        <v>240</v>
      </c>
      <c r="G48" s="30" t="s">
        <v>218</v>
      </c>
    </row>
    <row r="49" spans="1:7" x14ac:dyDescent="0.25">
      <c r="A49" s="30" t="s">
        <v>234</v>
      </c>
      <c r="B49" s="30" t="b">
        <v>0</v>
      </c>
      <c r="C49" s="30" t="s">
        <v>239</v>
      </c>
      <c r="D49" s="30" t="s">
        <v>222</v>
      </c>
      <c r="E49" s="30" t="s">
        <v>221</v>
      </c>
      <c r="F49" s="30" t="s">
        <v>240</v>
      </c>
      <c r="G49" s="30" t="s">
        <v>218</v>
      </c>
    </row>
    <row r="50" spans="1:7" x14ac:dyDescent="0.25">
      <c r="A50" s="30" t="s">
        <v>307</v>
      </c>
      <c r="B50" s="30" t="b">
        <v>0</v>
      </c>
      <c r="C50" s="30" t="s">
        <v>321</v>
      </c>
      <c r="D50" s="30" t="s">
        <v>311</v>
      </c>
      <c r="E50" s="30" t="s">
        <v>220</v>
      </c>
      <c r="F50" s="30" t="s">
        <v>240</v>
      </c>
      <c r="G50" s="30" t="s">
        <v>218</v>
      </c>
    </row>
    <row r="51" spans="1:7" x14ac:dyDescent="0.25">
      <c r="A51" s="30" t="s">
        <v>308</v>
      </c>
      <c r="B51" s="30" t="b">
        <v>0</v>
      </c>
      <c r="C51" s="30" t="s">
        <v>321</v>
      </c>
      <c r="D51" s="30" t="s">
        <v>311</v>
      </c>
      <c r="E51" s="30" t="s">
        <v>221</v>
      </c>
      <c r="F51" s="30" t="s">
        <v>240</v>
      </c>
      <c r="G51" s="30" t="s">
        <v>218</v>
      </c>
    </row>
    <row r="52" spans="1:7" s="159" customFormat="1" x14ac:dyDescent="0.25"/>
    <row r="53" spans="1:7" s="159" customFormat="1" x14ac:dyDescent="0.25"/>
    <row r="54" spans="1:7" s="159" customFormat="1" x14ac:dyDescent="0.25"/>
    <row r="55" spans="1:7" s="159" customFormat="1" x14ac:dyDescent="0.25"/>
    <row r="56" spans="1:7" s="159" customFormat="1" x14ac:dyDescent="0.25"/>
    <row r="57" spans="1:7" s="159" customFormat="1" x14ac:dyDescent="0.25"/>
    <row r="58" spans="1:7" s="159" customFormat="1" x14ac:dyDescent="0.25">
      <c r="A58" s="159" t="s">
        <v>204</v>
      </c>
      <c r="B58" s="159" t="b">
        <v>0</v>
      </c>
      <c r="C58" s="159" t="s">
        <v>216</v>
      </c>
      <c r="D58" s="159" t="s">
        <v>222</v>
      </c>
      <c r="E58" s="159" t="s">
        <v>220</v>
      </c>
      <c r="F58" s="159" t="s">
        <v>193</v>
      </c>
      <c r="G58" s="159" t="s">
        <v>224</v>
      </c>
    </row>
    <row r="59" spans="1:7" s="159" customFormat="1" x14ac:dyDescent="0.25">
      <c r="A59" s="159" t="s">
        <v>205</v>
      </c>
      <c r="B59" s="159" t="b">
        <v>0</v>
      </c>
      <c r="C59" s="159" t="s">
        <v>217</v>
      </c>
      <c r="D59" s="159" t="s">
        <v>222</v>
      </c>
      <c r="E59" s="159" t="s">
        <v>221</v>
      </c>
      <c r="F59" s="159" t="s">
        <v>193</v>
      </c>
      <c r="G59" s="159" t="s">
        <v>224</v>
      </c>
    </row>
    <row r="61" spans="1:7" x14ac:dyDescent="0.25">
      <c r="A61" s="131" t="s">
        <v>312</v>
      </c>
      <c r="B61" s="131" t="b">
        <v>0</v>
      </c>
      <c r="C61" s="131" t="s">
        <v>317</v>
      </c>
      <c r="D61" s="131" t="s">
        <v>311</v>
      </c>
      <c r="E61" s="131" t="s">
        <v>220</v>
      </c>
      <c r="F61" s="131" t="s">
        <v>192</v>
      </c>
      <c r="G61" s="131" t="s">
        <v>224</v>
      </c>
    </row>
    <row r="62" spans="1:7" x14ac:dyDescent="0.25">
      <c r="A62" s="131" t="s">
        <v>313</v>
      </c>
      <c r="B62" s="131" t="b">
        <v>0</v>
      </c>
      <c r="C62" s="131" t="s">
        <v>318</v>
      </c>
      <c r="D62" s="131" t="s">
        <v>311</v>
      </c>
      <c r="E62" s="131" t="s">
        <v>221</v>
      </c>
      <c r="F62" s="131" t="s">
        <v>192</v>
      </c>
      <c r="G62" s="131" t="s">
        <v>224</v>
      </c>
    </row>
    <row r="64" spans="1:7" x14ac:dyDescent="0.25">
      <c r="A64" s="131" t="s">
        <v>199</v>
      </c>
      <c r="B64" s="131" t="b">
        <v>0</v>
      </c>
      <c r="C64" s="131" t="s">
        <v>214</v>
      </c>
      <c r="D64" s="131" t="s">
        <v>222</v>
      </c>
      <c r="E64" s="131" t="s">
        <v>220</v>
      </c>
      <c r="F64" s="131" t="s">
        <v>192</v>
      </c>
      <c r="G64" s="131" t="s">
        <v>224</v>
      </c>
    </row>
    <row r="65" spans="1:7" x14ac:dyDescent="0.25">
      <c r="A65" s="131" t="s">
        <v>200</v>
      </c>
      <c r="B65" s="131" t="b">
        <v>0</v>
      </c>
      <c r="C65" s="131" t="s">
        <v>215</v>
      </c>
      <c r="D65" s="131" t="s">
        <v>222</v>
      </c>
      <c r="E65" s="131" t="s">
        <v>221</v>
      </c>
      <c r="F65" s="131" t="s">
        <v>192</v>
      </c>
      <c r="G65" s="131" t="s">
        <v>224</v>
      </c>
    </row>
  </sheetData>
  <dataValidations count="1">
    <dataValidation type="list" allowBlank="1" showInputMessage="1" showErrorMessage="1" sqref="B61:B62 B64:B65 B37:B59 B3:B35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D35" sqref="D35:D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232</v>
      </c>
    </row>
    <row r="3" spans="1:7" x14ac:dyDescent="0.25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 x14ac:dyDescent="0.25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 x14ac:dyDescent="0.25">
      <c r="A5" s="1" t="s">
        <v>76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 x14ac:dyDescent="0.25">
      <c r="A6" s="1" t="s">
        <v>76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 x14ac:dyDescent="0.25">
      <c r="A7" s="1" t="s">
        <v>76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 x14ac:dyDescent="0.25">
      <c r="A8" s="1" t="s">
        <v>76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 x14ac:dyDescent="0.25">
      <c r="A9" s="1" t="s">
        <v>76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 x14ac:dyDescent="0.25">
      <c r="A10" s="1" t="s">
        <v>76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 x14ac:dyDescent="0.25">
      <c r="A11" s="1" t="s">
        <v>76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 x14ac:dyDescent="0.25">
      <c r="A12" s="1" t="s">
        <v>246</v>
      </c>
      <c r="B12" s="176">
        <v>6.6250000000000003E-2</v>
      </c>
      <c r="C12" s="3">
        <v>0</v>
      </c>
      <c r="D12">
        <v>1</v>
      </c>
      <c r="E12" s="234">
        <f>F12</f>
        <v>6.6250000000000003E-2</v>
      </c>
      <c r="F12" s="235">
        <v>6.6250000000000003E-2</v>
      </c>
      <c r="G12" t="s">
        <v>59</v>
      </c>
    </row>
    <row r="13" spans="1:7" x14ac:dyDescent="0.25">
      <c r="A13" s="1" t="s">
        <v>246</v>
      </c>
      <c r="B13" s="176">
        <v>7.3450000000000001E-2</v>
      </c>
      <c r="C13" s="3">
        <v>0.12</v>
      </c>
      <c r="D13">
        <v>80</v>
      </c>
      <c r="E13" s="234">
        <f t="shared" ref="E13" si="7">F13</f>
        <v>6.6250000000000003E-2</v>
      </c>
      <c r="F13" s="235">
        <f t="shared" ref="F13" si="8">B13 - C13^2/2</f>
        <v>6.6250000000000003E-2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9" workbookViewId="0">
      <selection activeCell="F45" sqref="F45"/>
    </sheetView>
  </sheetViews>
  <sheetFormatPr defaultRowHeight="15" x14ac:dyDescent="0.25"/>
  <cols>
    <col min="2" max="2" width="27.42578125" customWidth="1"/>
    <col min="3" max="4" width="18" customWidth="1"/>
    <col min="5" max="5" width="14" customWidth="1"/>
  </cols>
  <sheetData>
    <row r="1" spans="1:5" x14ac:dyDescent="0.25">
      <c r="A1" t="s">
        <v>127</v>
      </c>
    </row>
    <row r="3" spans="1:5" ht="15" customHeight="1" x14ac:dyDescent="0.25">
      <c r="B3" s="266"/>
      <c r="C3" s="49" t="s">
        <v>107</v>
      </c>
      <c r="D3" s="34" t="s">
        <v>108</v>
      </c>
      <c r="E3" t="s">
        <v>126</v>
      </c>
    </row>
    <row r="4" spans="1:5" x14ac:dyDescent="0.25">
      <c r="B4" s="266"/>
      <c r="C4" s="35">
        <v>43646</v>
      </c>
      <c r="D4" s="35">
        <v>43646</v>
      </c>
    </row>
    <row r="5" spans="1:5" ht="25.5" x14ac:dyDescent="0.25">
      <c r="B5" s="36" t="s">
        <v>109</v>
      </c>
      <c r="C5" s="37"/>
      <c r="D5" s="37"/>
    </row>
    <row r="6" spans="1:5" ht="19.5" customHeight="1" x14ac:dyDescent="0.25">
      <c r="B6" s="38" t="s">
        <v>110</v>
      </c>
      <c r="C6" s="45">
        <v>442147</v>
      </c>
      <c r="D6" s="48">
        <v>733822</v>
      </c>
      <c r="E6" s="50">
        <f>SUM(C6:D6)</f>
        <v>1175969</v>
      </c>
    </row>
    <row r="7" spans="1:5" ht="19.5" customHeight="1" x14ac:dyDescent="0.25">
      <c r="B7" s="38" t="s">
        <v>111</v>
      </c>
      <c r="C7" s="45">
        <v>5389</v>
      </c>
      <c r="D7" s="45">
        <v>5692</v>
      </c>
      <c r="E7" s="50">
        <f t="shared" ref="E7:E42" si="0">SUM(C7:D7)</f>
        <v>11081</v>
      </c>
    </row>
    <row r="8" spans="1:5" ht="19.5" customHeight="1" x14ac:dyDescent="0.25">
      <c r="B8" s="38" t="s">
        <v>112</v>
      </c>
      <c r="C8" s="45">
        <v>1436</v>
      </c>
      <c r="D8" s="45">
        <v>1820</v>
      </c>
      <c r="E8" s="50">
        <f t="shared" si="0"/>
        <v>3256</v>
      </c>
    </row>
    <row r="9" spans="1:5" ht="19.5" customHeight="1" x14ac:dyDescent="0.25">
      <c r="B9" s="38" t="s">
        <v>113</v>
      </c>
      <c r="C9" s="46">
        <v>159348</v>
      </c>
      <c r="D9" s="46">
        <v>161821</v>
      </c>
      <c r="E9" s="50">
        <f t="shared" si="0"/>
        <v>321169</v>
      </c>
    </row>
    <row r="10" spans="1:5" ht="19.5" customHeight="1" x14ac:dyDescent="0.25">
      <c r="B10" s="54" t="s">
        <v>114</v>
      </c>
      <c r="C10" s="55">
        <v>608320</v>
      </c>
      <c r="D10" s="55">
        <v>903155</v>
      </c>
      <c r="E10" s="56">
        <f t="shared" si="0"/>
        <v>1511475</v>
      </c>
    </row>
    <row r="11" spans="1:5" ht="19.5" customHeight="1" x14ac:dyDescent="0.25">
      <c r="B11" s="93" t="s">
        <v>148</v>
      </c>
      <c r="C11" s="92">
        <v>71385</v>
      </c>
      <c r="D11" s="92">
        <v>96246</v>
      </c>
      <c r="E11" s="56">
        <v>167631</v>
      </c>
    </row>
    <row r="12" spans="1:5" ht="19.5" customHeight="1" x14ac:dyDescent="0.25">
      <c r="B12" s="95" t="s">
        <v>149</v>
      </c>
      <c r="C12" s="92"/>
      <c r="D12" s="92"/>
      <c r="E12" s="56"/>
    </row>
    <row r="13" spans="1:5" ht="19.5" customHeight="1" x14ac:dyDescent="0.25">
      <c r="B13" s="94" t="s">
        <v>110</v>
      </c>
      <c r="C13" s="96">
        <f>C6/C$11</f>
        <v>6.1938362401064646</v>
      </c>
      <c r="D13" s="96">
        <f t="shared" ref="D13:E13" si="1">D6/D$11</f>
        <v>7.6244415352326333</v>
      </c>
      <c r="E13" s="96">
        <f t="shared" si="1"/>
        <v>7.0152239144311013</v>
      </c>
    </row>
    <row r="14" spans="1:5" ht="19.5" customHeight="1" x14ac:dyDescent="0.25">
      <c r="B14" s="94" t="s">
        <v>111</v>
      </c>
      <c r="C14" s="96">
        <f t="shared" ref="C14:E14" si="2">C7/C$11</f>
        <v>7.5492050150591863E-2</v>
      </c>
      <c r="D14" s="96">
        <f t="shared" si="2"/>
        <v>5.9140120108887639E-2</v>
      </c>
      <c r="E14" s="96">
        <f t="shared" si="2"/>
        <v>6.6103525004324981E-2</v>
      </c>
    </row>
    <row r="15" spans="1:5" ht="19.5" customHeight="1" x14ac:dyDescent="0.25">
      <c r="B15" s="94" t="s">
        <v>112</v>
      </c>
      <c r="C15" s="96">
        <f t="shared" ref="C15:E15" si="3">C8/C$11</f>
        <v>2.0116270925264412E-2</v>
      </c>
      <c r="D15" s="96">
        <f t="shared" si="3"/>
        <v>1.8909876774099704E-2</v>
      </c>
      <c r="E15" s="96">
        <f t="shared" si="3"/>
        <v>1.9423614963819343E-2</v>
      </c>
    </row>
    <row r="16" spans="1:5" ht="19.5" customHeight="1" x14ac:dyDescent="0.25">
      <c r="B16" s="94" t="s">
        <v>113</v>
      </c>
      <c r="C16" s="96">
        <f t="shared" ref="C16:E16" si="4">C9/C$11</f>
        <v>2.2322336625341457</v>
      </c>
      <c r="D16" s="96">
        <f t="shared" si="4"/>
        <v>1.6813270161876857</v>
      </c>
      <c r="E16" s="96">
        <f t="shared" si="4"/>
        <v>1.9159284380574</v>
      </c>
    </row>
    <row r="17" spans="2:5" ht="19.5" customHeight="1" x14ac:dyDescent="0.25">
      <c r="B17" s="97" t="s">
        <v>114</v>
      </c>
      <c r="C17" s="98">
        <f t="shared" ref="C17:E17" si="5">C10/C$11</f>
        <v>8.5216782237164672</v>
      </c>
      <c r="D17" s="98">
        <f t="shared" si="5"/>
        <v>9.3838185483033065</v>
      </c>
      <c r="E17" s="98">
        <f t="shared" si="5"/>
        <v>9.016679492456646</v>
      </c>
    </row>
    <row r="18" spans="2:5" ht="19.5" customHeight="1" x14ac:dyDescent="0.25">
      <c r="B18" s="41" t="s">
        <v>115</v>
      </c>
      <c r="C18" s="48">
        <v>9069</v>
      </c>
      <c r="D18" s="48">
        <v>95139</v>
      </c>
      <c r="E18" s="51">
        <f t="shared" si="0"/>
        <v>104208</v>
      </c>
    </row>
    <row r="19" spans="2:5" ht="19.5" customHeight="1" x14ac:dyDescent="0.25">
      <c r="B19" s="41" t="s">
        <v>116</v>
      </c>
      <c r="C19" s="47"/>
      <c r="D19" s="47"/>
      <c r="E19" s="50">
        <f t="shared" si="0"/>
        <v>0</v>
      </c>
    </row>
    <row r="20" spans="2:5" ht="19.5" customHeight="1" x14ac:dyDescent="0.25">
      <c r="B20" s="38" t="s">
        <v>117</v>
      </c>
      <c r="C20" s="48">
        <v>499249</v>
      </c>
      <c r="D20" s="45">
        <v>1423962</v>
      </c>
      <c r="E20" s="50">
        <f t="shared" si="0"/>
        <v>1923211</v>
      </c>
    </row>
    <row r="21" spans="2:5" ht="19.5" customHeight="1" x14ac:dyDescent="0.25">
      <c r="B21" s="38" t="s">
        <v>118</v>
      </c>
      <c r="C21" s="45">
        <v>86688</v>
      </c>
      <c r="D21" s="45">
        <v>92287</v>
      </c>
      <c r="E21" s="50">
        <f t="shared" si="0"/>
        <v>178975</v>
      </c>
    </row>
    <row r="22" spans="2:5" ht="19.5" customHeight="1" x14ac:dyDescent="0.25">
      <c r="B22" s="38" t="s">
        <v>119</v>
      </c>
      <c r="C22" s="46">
        <v>627487</v>
      </c>
      <c r="D22" s="46">
        <v>612388</v>
      </c>
      <c r="E22" s="50">
        <f t="shared" si="0"/>
        <v>1239875</v>
      </c>
    </row>
    <row r="23" spans="2:5" ht="19.5" customHeight="1" x14ac:dyDescent="0.25">
      <c r="B23" s="54" t="s">
        <v>120</v>
      </c>
      <c r="C23" s="57">
        <v>1213424</v>
      </c>
      <c r="D23" s="57">
        <v>2128637</v>
      </c>
      <c r="E23" s="58">
        <f t="shared" si="0"/>
        <v>3342061</v>
      </c>
    </row>
    <row r="24" spans="2:5" ht="19.5" customHeight="1" x14ac:dyDescent="0.25">
      <c r="B24" s="59" t="s">
        <v>121</v>
      </c>
      <c r="C24" s="60">
        <v>1830813</v>
      </c>
      <c r="D24" s="60">
        <v>3126931</v>
      </c>
      <c r="E24" s="61">
        <f t="shared" si="0"/>
        <v>4957744</v>
      </c>
    </row>
    <row r="25" spans="2:5" ht="19.5" customHeight="1" x14ac:dyDescent="0.25">
      <c r="B25" s="38" t="s">
        <v>110</v>
      </c>
      <c r="C25" s="45">
        <v>1054566</v>
      </c>
      <c r="D25" s="45">
        <v>1792577</v>
      </c>
      <c r="E25" s="50">
        <f t="shared" si="0"/>
        <v>2847143</v>
      </c>
    </row>
    <row r="26" spans="2:5" ht="19.5" customHeight="1" x14ac:dyDescent="0.25">
      <c r="B26" s="38" t="s">
        <v>122</v>
      </c>
      <c r="C26" s="45">
        <v>776247</v>
      </c>
      <c r="D26" s="45">
        <v>1334354</v>
      </c>
      <c r="E26" s="50">
        <f t="shared" si="0"/>
        <v>2110601</v>
      </c>
    </row>
    <row r="27" spans="2:5" ht="48" customHeight="1" x14ac:dyDescent="0.25">
      <c r="B27" s="42" t="s">
        <v>123</v>
      </c>
      <c r="C27" s="37"/>
      <c r="D27" s="37"/>
      <c r="E27" s="50"/>
    </row>
    <row r="28" spans="2:5" ht="48" customHeight="1" x14ac:dyDescent="0.25">
      <c r="B28" s="41" t="s">
        <v>124</v>
      </c>
      <c r="C28" s="37"/>
      <c r="D28" s="37"/>
      <c r="E28" s="50"/>
    </row>
    <row r="29" spans="2:5" x14ac:dyDescent="0.25">
      <c r="B29" s="38" t="s">
        <v>110</v>
      </c>
      <c r="C29" s="44">
        <v>3777</v>
      </c>
      <c r="D29" s="44">
        <v>10770</v>
      </c>
      <c r="E29" s="50">
        <f t="shared" si="0"/>
        <v>14547</v>
      </c>
    </row>
    <row r="30" spans="2:5" x14ac:dyDescent="0.25">
      <c r="B30" s="38" t="s">
        <v>111</v>
      </c>
      <c r="C30" s="43">
        <v>57</v>
      </c>
      <c r="D30" s="39">
        <v>2818</v>
      </c>
      <c r="E30" s="50">
        <f t="shared" si="0"/>
        <v>2875</v>
      </c>
    </row>
    <row r="31" spans="2:5" x14ac:dyDescent="0.25">
      <c r="B31" s="38" t="s">
        <v>112</v>
      </c>
      <c r="C31" s="43">
        <v>61</v>
      </c>
      <c r="D31" s="43">
        <v>168</v>
      </c>
      <c r="E31" s="50">
        <f t="shared" si="0"/>
        <v>229</v>
      </c>
    </row>
    <row r="32" spans="2:5" x14ac:dyDescent="0.25">
      <c r="B32" s="38" t="s">
        <v>113</v>
      </c>
      <c r="C32" s="40">
        <v>3867</v>
      </c>
      <c r="D32" s="40">
        <v>8457</v>
      </c>
      <c r="E32" s="50">
        <f t="shared" si="0"/>
        <v>12324</v>
      </c>
    </row>
    <row r="33" spans="2:5" x14ac:dyDescent="0.25">
      <c r="B33" s="38" t="s">
        <v>114</v>
      </c>
      <c r="C33" s="52">
        <v>7762</v>
      </c>
      <c r="D33" s="52">
        <v>22213</v>
      </c>
      <c r="E33" s="51">
        <f t="shared" si="0"/>
        <v>29975</v>
      </c>
    </row>
    <row r="34" spans="2:5" x14ac:dyDescent="0.25">
      <c r="B34" s="63" t="s">
        <v>148</v>
      </c>
      <c r="C34" s="81">
        <v>12070</v>
      </c>
      <c r="D34" s="78">
        <v>38475</v>
      </c>
      <c r="E34" s="85">
        <f t="shared" ref="E34" si="6">SUM(C34:D34)</f>
        <v>50545</v>
      </c>
    </row>
    <row r="35" spans="2:5" x14ac:dyDescent="0.25">
      <c r="B35" s="94" t="s">
        <v>110</v>
      </c>
      <c r="C35" s="101">
        <f>C29/C$34</f>
        <v>0.31292460646230325</v>
      </c>
      <c r="D35" s="101">
        <f t="shared" ref="D35:E35" si="7">D29/D$34</f>
        <v>0.27992202729044835</v>
      </c>
      <c r="E35" s="101">
        <f t="shared" si="7"/>
        <v>0.28780294786823624</v>
      </c>
    </row>
    <row r="36" spans="2:5" x14ac:dyDescent="0.25">
      <c r="B36" s="94" t="s">
        <v>111</v>
      </c>
      <c r="C36" s="101">
        <f t="shared" ref="C36:E36" si="8">C30/C$34</f>
        <v>4.7224523612261803E-3</v>
      </c>
      <c r="D36" s="101">
        <f t="shared" si="8"/>
        <v>7.3242365172189738E-2</v>
      </c>
      <c r="E36" s="101">
        <f t="shared" si="8"/>
        <v>5.6880007913740233E-2</v>
      </c>
    </row>
    <row r="37" spans="2:5" x14ac:dyDescent="0.25">
      <c r="B37" s="94" t="s">
        <v>112</v>
      </c>
      <c r="C37" s="101">
        <f t="shared" ref="C37:E37" si="9">C31/C$34</f>
        <v>5.0538525269262632E-3</v>
      </c>
      <c r="D37" s="101">
        <f t="shared" si="9"/>
        <v>4.3664717348927875E-3</v>
      </c>
      <c r="E37" s="101">
        <f t="shared" si="9"/>
        <v>4.5306162825205264E-3</v>
      </c>
    </row>
    <row r="38" spans="2:5" x14ac:dyDescent="0.25">
      <c r="B38" s="94" t="s">
        <v>113</v>
      </c>
      <c r="C38" s="101">
        <f t="shared" ref="C38:E38" si="10">C32/C$34</f>
        <v>0.3203811101905551</v>
      </c>
      <c r="D38" s="101">
        <f t="shared" si="10"/>
        <v>0.21980506822612086</v>
      </c>
      <c r="E38" s="101">
        <f t="shared" si="10"/>
        <v>0.24382233653180335</v>
      </c>
    </row>
    <row r="39" spans="2:5" x14ac:dyDescent="0.25">
      <c r="B39" s="41" t="s">
        <v>115</v>
      </c>
      <c r="C39" s="44">
        <v>47</v>
      </c>
      <c r="D39" s="44">
        <v>661</v>
      </c>
      <c r="E39" s="50">
        <f t="shared" si="0"/>
        <v>708</v>
      </c>
    </row>
    <row r="40" spans="2:5" x14ac:dyDescent="0.25">
      <c r="B40" s="42" t="s">
        <v>125</v>
      </c>
      <c r="C40" s="53">
        <v>7809</v>
      </c>
      <c r="D40" s="53">
        <v>22874</v>
      </c>
      <c r="E40" s="51">
        <f t="shared" si="0"/>
        <v>30683</v>
      </c>
    </row>
    <row r="41" spans="2:5" x14ac:dyDescent="0.25">
      <c r="B41" s="38" t="s">
        <v>110</v>
      </c>
      <c r="C41" s="39">
        <v>6117</v>
      </c>
      <c r="D41" s="39">
        <v>17854</v>
      </c>
      <c r="E41" s="50">
        <f t="shared" si="0"/>
        <v>23971</v>
      </c>
    </row>
    <row r="42" spans="2:5" x14ac:dyDescent="0.25">
      <c r="B42" s="38" t="s">
        <v>122</v>
      </c>
      <c r="C42" s="39">
        <v>1692</v>
      </c>
      <c r="D42" s="39">
        <v>5020</v>
      </c>
      <c r="E42" s="50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J30" sqref="J30"/>
    </sheetView>
  </sheetViews>
  <sheetFormatPr defaultRowHeight="15" x14ac:dyDescent="0.25"/>
  <cols>
    <col min="3" max="5" width="18.5703125" customWidth="1"/>
    <col min="6" max="6" width="14.5703125" customWidth="1"/>
  </cols>
  <sheetData>
    <row r="1" spans="1:11" x14ac:dyDescent="0.25">
      <c r="A1" t="s">
        <v>128</v>
      </c>
    </row>
    <row r="3" spans="1:11" ht="15" customHeight="1" x14ac:dyDescent="0.25"/>
    <row r="4" spans="1:11" x14ac:dyDescent="0.25">
      <c r="C4" s="62" t="s">
        <v>129</v>
      </c>
    </row>
    <row r="5" spans="1:11" x14ac:dyDescent="0.25">
      <c r="C5" s="267" t="s">
        <v>130</v>
      </c>
      <c r="D5" s="33"/>
      <c r="E5" s="33"/>
    </row>
    <row r="6" spans="1:11" ht="19.5" customHeight="1" x14ac:dyDescent="0.25">
      <c r="C6" s="267"/>
      <c r="D6" s="82">
        <v>43646</v>
      </c>
      <c r="E6" s="83">
        <v>43646</v>
      </c>
    </row>
    <row r="7" spans="1:11" ht="19.5" customHeight="1" x14ac:dyDescent="0.25">
      <c r="C7" s="267"/>
      <c r="D7" s="82" t="s">
        <v>142</v>
      </c>
      <c r="E7" s="84" t="s">
        <v>143</v>
      </c>
      <c r="F7" t="s">
        <v>126</v>
      </c>
    </row>
    <row r="8" spans="1:11" ht="19.5" customHeight="1" x14ac:dyDescent="0.25">
      <c r="C8" s="63" t="s">
        <v>131</v>
      </c>
      <c r="D8" s="77">
        <v>17717</v>
      </c>
      <c r="E8" s="78">
        <v>17506</v>
      </c>
      <c r="F8" s="85">
        <f>SUM(D8:E8)</f>
        <v>35223</v>
      </c>
    </row>
    <row r="9" spans="1:11" ht="19.5" customHeight="1" x14ac:dyDescent="0.25">
      <c r="C9" s="63" t="s">
        <v>132</v>
      </c>
      <c r="D9" s="64">
        <v>1258</v>
      </c>
      <c r="E9" s="65">
        <v>5927</v>
      </c>
      <c r="F9" s="85">
        <f t="shared" ref="F9:F14" si="0">SUM(D9:E9)</f>
        <v>7185</v>
      </c>
    </row>
    <row r="10" spans="1:11" ht="19.5" customHeight="1" x14ac:dyDescent="0.25">
      <c r="C10" s="63" t="s">
        <v>133</v>
      </c>
      <c r="D10" s="66">
        <v>279</v>
      </c>
      <c r="E10" s="67">
        <v>314</v>
      </c>
      <c r="F10" s="85">
        <f t="shared" si="0"/>
        <v>593</v>
      </c>
    </row>
    <row r="11" spans="1:11" ht="19.5" customHeight="1" x14ac:dyDescent="0.25">
      <c r="C11" s="63" t="s">
        <v>134</v>
      </c>
      <c r="D11" s="64">
        <v>10678</v>
      </c>
      <c r="E11" s="65">
        <v>12961</v>
      </c>
      <c r="F11" s="85">
        <f t="shared" si="0"/>
        <v>23639</v>
      </c>
    </row>
    <row r="12" spans="1:11" ht="19.5" customHeight="1" x14ac:dyDescent="0.25">
      <c r="C12" s="63" t="s">
        <v>135</v>
      </c>
      <c r="D12" s="68">
        <v>182</v>
      </c>
      <c r="E12" s="69">
        <v>1014</v>
      </c>
      <c r="F12" s="85">
        <f t="shared" si="0"/>
        <v>1196</v>
      </c>
    </row>
    <row r="13" spans="1:11" ht="31.5" customHeight="1" x14ac:dyDescent="0.25">
      <c r="C13" s="71" t="s">
        <v>136</v>
      </c>
      <c r="D13" s="79">
        <v>30114</v>
      </c>
      <c r="E13" s="80">
        <v>37721</v>
      </c>
      <c r="F13" s="85">
        <f t="shared" si="0"/>
        <v>67835</v>
      </c>
    </row>
    <row r="14" spans="1:11" ht="25.5" customHeight="1" x14ac:dyDescent="0.25">
      <c r="C14" s="72" t="s">
        <v>137</v>
      </c>
      <c r="D14" s="81">
        <v>71385</v>
      </c>
      <c r="E14" s="78">
        <v>96246</v>
      </c>
      <c r="F14" s="85">
        <f t="shared" si="0"/>
        <v>167631</v>
      </c>
    </row>
    <row r="15" spans="1:11" ht="19.5" customHeight="1" x14ac:dyDescent="0.25">
      <c r="C15" s="86" t="s">
        <v>138</v>
      </c>
      <c r="D15" s="87">
        <v>0.4219</v>
      </c>
      <c r="E15" s="87">
        <v>0.39200000000000002</v>
      </c>
      <c r="F15" s="8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 x14ac:dyDescent="0.25">
      <c r="C16" s="91" t="s">
        <v>147</v>
      </c>
      <c r="D16" s="90">
        <f>D8/D$14</f>
        <v>0.24818939553127409</v>
      </c>
      <c r="E16" s="90">
        <f t="shared" ref="E16:F16" si="1">E8/E$14</f>
        <v>0.18188807846559857</v>
      </c>
      <c r="F16" s="90">
        <f t="shared" si="1"/>
        <v>0.21012223276124345</v>
      </c>
    </row>
    <row r="17" spans="3:6" ht="19.5" customHeight="1" x14ac:dyDescent="0.25">
      <c r="C17" s="89" t="s">
        <v>144</v>
      </c>
      <c r="D17" s="90">
        <f t="shared" ref="D17:F17" si="2">D9/D$14</f>
        <v>1.762274987742523E-2</v>
      </c>
      <c r="E17" s="90">
        <f t="shared" si="2"/>
        <v>6.158178002202689E-2</v>
      </c>
      <c r="F17" s="90">
        <f t="shared" si="2"/>
        <v>4.2862000465307727E-2</v>
      </c>
    </row>
    <row r="18" spans="3:6" ht="19.5" customHeight="1" x14ac:dyDescent="0.25">
      <c r="C18" s="89" t="s">
        <v>145</v>
      </c>
      <c r="D18" s="90">
        <f t="shared" ref="D18:F18" si="3">D10/D$14</f>
        <v>3.9083841143097292E-3</v>
      </c>
      <c r="E18" s="90">
        <f t="shared" si="3"/>
        <v>3.2624732456413771E-3</v>
      </c>
      <c r="F18" s="90">
        <f t="shared" si="3"/>
        <v>3.5375318407693088E-3</v>
      </c>
    </row>
    <row r="19" spans="3:6" ht="19.5" customHeight="1" x14ac:dyDescent="0.25">
      <c r="C19" s="89" t="s">
        <v>146</v>
      </c>
      <c r="D19" s="90">
        <f t="shared" ref="D19:F19" si="4">D11/D$14</f>
        <v>0.14958324577992577</v>
      </c>
      <c r="E19" s="90">
        <f t="shared" si="4"/>
        <v>0.13466533674126718</v>
      </c>
      <c r="F19" s="90">
        <f t="shared" si="4"/>
        <v>0.14101806945016138</v>
      </c>
    </row>
    <row r="20" spans="3:6" ht="19.5" customHeight="1" x14ac:dyDescent="0.25">
      <c r="C20" s="63" t="s">
        <v>131</v>
      </c>
      <c r="D20" s="74">
        <v>0.28849999999999998</v>
      </c>
      <c r="E20" s="74">
        <v>0.27100000000000002</v>
      </c>
    </row>
    <row r="21" spans="3:6" ht="19.5" customHeight="1" x14ac:dyDescent="0.25">
      <c r="C21" s="75" t="s">
        <v>139</v>
      </c>
      <c r="D21" s="76">
        <v>0.13339999999999999</v>
      </c>
      <c r="E21" s="76">
        <v>0.121</v>
      </c>
    </row>
    <row r="22" spans="3:6" ht="19.5" customHeight="1" x14ac:dyDescent="0.25">
      <c r="C22" s="75"/>
      <c r="D22" s="76"/>
      <c r="E22" s="76"/>
    </row>
    <row r="23" spans="3:6" ht="19.5" customHeight="1" x14ac:dyDescent="0.25">
      <c r="C23" s="72" t="s">
        <v>140</v>
      </c>
      <c r="D23" s="37"/>
      <c r="E23" s="37"/>
    </row>
    <row r="24" spans="3:6" x14ac:dyDescent="0.25">
      <c r="C24" s="63" t="s">
        <v>131</v>
      </c>
      <c r="D24" s="77">
        <v>1608</v>
      </c>
      <c r="E24" s="78">
        <v>3813</v>
      </c>
      <c r="F24" s="85">
        <f>SUM(D24:E24)</f>
        <v>5421</v>
      </c>
    </row>
    <row r="25" spans="3:6" x14ac:dyDescent="0.25">
      <c r="C25" s="63" t="s">
        <v>132</v>
      </c>
      <c r="D25" s="66">
        <v>131</v>
      </c>
      <c r="E25" s="64">
        <v>2012</v>
      </c>
      <c r="F25" s="85">
        <f t="shared" ref="F25:F29" si="5">SUM(D25:E25)</f>
        <v>2143</v>
      </c>
    </row>
    <row r="26" spans="3:6" x14ac:dyDescent="0.25">
      <c r="C26" s="63" t="s">
        <v>133</v>
      </c>
      <c r="D26" s="66">
        <v>47</v>
      </c>
      <c r="E26" s="67">
        <v>121</v>
      </c>
      <c r="F26" s="85">
        <f t="shared" si="5"/>
        <v>168</v>
      </c>
    </row>
    <row r="27" spans="3:6" x14ac:dyDescent="0.25">
      <c r="C27" s="63" t="s">
        <v>134</v>
      </c>
      <c r="D27" s="70">
        <v>1864</v>
      </c>
      <c r="E27" s="70">
        <v>4566</v>
      </c>
      <c r="F27" s="85">
        <f t="shared" si="5"/>
        <v>6430</v>
      </c>
    </row>
    <row r="28" spans="3:6" ht="25.5" x14ac:dyDescent="0.25">
      <c r="C28" s="71" t="s">
        <v>141</v>
      </c>
      <c r="D28" s="79">
        <v>3650</v>
      </c>
      <c r="E28" s="79">
        <v>10513</v>
      </c>
      <c r="F28" s="85">
        <f t="shared" si="5"/>
        <v>14163</v>
      </c>
    </row>
    <row r="29" spans="3:6" x14ac:dyDescent="0.25">
      <c r="C29" s="72" t="s">
        <v>137</v>
      </c>
      <c r="D29" s="81">
        <v>12070</v>
      </c>
      <c r="E29" s="78">
        <v>38475</v>
      </c>
      <c r="F29" s="85">
        <f t="shared" si="5"/>
        <v>50545</v>
      </c>
    </row>
    <row r="30" spans="3:6" x14ac:dyDescent="0.25">
      <c r="C30" s="72" t="s">
        <v>138</v>
      </c>
      <c r="D30" s="73">
        <v>0.3024</v>
      </c>
      <c r="E30" s="73">
        <v>0.2732</v>
      </c>
      <c r="F30" s="21">
        <f>F28/F29</f>
        <v>0.28020575724601837</v>
      </c>
    </row>
    <row r="31" spans="3:6" x14ac:dyDescent="0.25">
      <c r="C31" s="99" t="s">
        <v>147</v>
      </c>
      <c r="D31" s="73">
        <f>D24/D$29</f>
        <v>0.13322286661143332</v>
      </c>
      <c r="E31" s="73">
        <f>E24/E$29</f>
        <v>9.9103313840155943E-2</v>
      </c>
      <c r="F31" s="73">
        <f>F24/F$29</f>
        <v>0.10725096448709071</v>
      </c>
    </row>
    <row r="32" spans="3:6" x14ac:dyDescent="0.25">
      <c r="C32" s="100" t="s">
        <v>144</v>
      </c>
      <c r="D32" s="73">
        <f t="shared" ref="D32:F32" si="6">D25/D$29</f>
        <v>1.0853355426677713E-2</v>
      </c>
      <c r="E32" s="73">
        <f t="shared" si="6"/>
        <v>5.2293697205977908E-2</v>
      </c>
      <c r="F32" s="73">
        <f t="shared" si="6"/>
        <v>4.2397863290137498E-2</v>
      </c>
    </row>
    <row r="33" spans="3:6" x14ac:dyDescent="0.25">
      <c r="C33" s="100" t="s">
        <v>145</v>
      </c>
      <c r="D33" s="73">
        <f t="shared" ref="D33:F33" si="7">D26/D$29</f>
        <v>3.8939519469759734E-3</v>
      </c>
      <c r="E33" s="73">
        <f t="shared" si="7"/>
        <v>3.1448992852501625E-3</v>
      </c>
      <c r="F33" s="73">
        <f t="shared" si="7"/>
        <v>3.3237708972202987E-3</v>
      </c>
    </row>
    <row r="34" spans="3:6" x14ac:dyDescent="0.25">
      <c r="C34" s="100" t="s">
        <v>146</v>
      </c>
      <c r="D34" s="73">
        <f t="shared" ref="D34:F34" si="8">D27/D$29</f>
        <v>0.1544324772162386</v>
      </c>
      <c r="E34" s="73">
        <f t="shared" si="8"/>
        <v>0.11867446393762184</v>
      </c>
      <c r="F34" s="73">
        <f t="shared" si="8"/>
        <v>0.12721337422099119</v>
      </c>
    </row>
    <row r="35" spans="3:6" x14ac:dyDescent="0.25">
      <c r="C35" s="63" t="s">
        <v>131</v>
      </c>
      <c r="D35" s="74">
        <v>0.2379</v>
      </c>
      <c r="E35" s="74">
        <v>0.21640000000000001</v>
      </c>
    </row>
    <row r="36" spans="3:6" x14ac:dyDescent="0.25">
      <c r="C36" s="63" t="s">
        <v>139</v>
      </c>
      <c r="D36" s="74">
        <v>6.4500000000000002E-2</v>
      </c>
      <c r="E36" s="7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workbookViewId="0">
      <selection activeCell="J21" sqref="J21"/>
    </sheetView>
  </sheetViews>
  <sheetFormatPr defaultRowHeight="15" x14ac:dyDescent="0.2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 x14ac:dyDescent="0.25">
      <c r="A1" t="s">
        <v>286</v>
      </c>
    </row>
    <row r="3" spans="1:8" ht="15" customHeight="1" x14ac:dyDescent="0.25"/>
    <row r="4" spans="1:8" x14ac:dyDescent="0.25">
      <c r="C4" s="266"/>
      <c r="D4" s="213"/>
    </row>
    <row r="5" spans="1:8" ht="15.75" x14ac:dyDescent="0.25">
      <c r="C5" s="266"/>
      <c r="D5" s="214" t="s">
        <v>287</v>
      </c>
      <c r="E5" s="215" t="s">
        <v>179</v>
      </c>
      <c r="F5" s="226" t="s">
        <v>292</v>
      </c>
      <c r="G5" s="226" t="s">
        <v>293</v>
      </c>
      <c r="H5" s="226" t="s">
        <v>294</v>
      </c>
    </row>
    <row r="6" spans="1:8" ht="19.5" customHeight="1" x14ac:dyDescent="0.25">
      <c r="C6" s="181" t="s">
        <v>252</v>
      </c>
      <c r="D6" s="213"/>
      <c r="E6" s="213"/>
      <c r="F6" s="212"/>
    </row>
    <row r="7" spans="1:8" ht="19.5" customHeight="1" x14ac:dyDescent="0.25">
      <c r="C7" s="193" t="s">
        <v>278</v>
      </c>
      <c r="D7" s="222">
        <v>1214362</v>
      </c>
      <c r="E7" s="217">
        <v>989989</v>
      </c>
      <c r="F7" s="21">
        <f>E7/D7</f>
        <v>0.81523384295621903</v>
      </c>
      <c r="G7" s="32">
        <f>D7/$D$19</f>
        <v>8.4677047088438133</v>
      </c>
      <c r="H7" s="32">
        <f>E7/$D$19</f>
        <v>6.9031594508092127</v>
      </c>
    </row>
    <row r="8" spans="1:8" ht="19.5" customHeight="1" x14ac:dyDescent="0.25">
      <c r="C8" s="211" t="s">
        <v>288</v>
      </c>
      <c r="D8" s="216"/>
      <c r="E8" s="217">
        <v>912647</v>
      </c>
      <c r="F8" s="21"/>
      <c r="G8" s="32"/>
      <c r="H8" s="32">
        <f t="shared" ref="H8:H18" si="0">E8/$D$19</f>
        <v>6.3638563290124193</v>
      </c>
    </row>
    <row r="9" spans="1:8" ht="19.5" customHeight="1" x14ac:dyDescent="0.25">
      <c r="C9" s="211" t="s">
        <v>289</v>
      </c>
      <c r="D9" s="216"/>
      <c r="E9" s="218">
        <v>54093</v>
      </c>
      <c r="F9" s="21"/>
      <c r="G9" s="32"/>
      <c r="H9" s="32">
        <f t="shared" si="0"/>
        <v>0.37718863964409982</v>
      </c>
    </row>
    <row r="10" spans="1:8" ht="19.5" customHeight="1" x14ac:dyDescent="0.25">
      <c r="C10" s="211" t="s">
        <v>290</v>
      </c>
      <c r="D10" s="216"/>
      <c r="E10" s="218">
        <v>9286</v>
      </c>
      <c r="F10" s="21"/>
      <c r="G10" s="32"/>
      <c r="H10" s="32">
        <f t="shared" si="0"/>
        <v>6.4750960526040541E-2</v>
      </c>
    </row>
    <row r="11" spans="1:8" ht="19.5" customHeight="1" x14ac:dyDescent="0.25">
      <c r="C11" s="211" t="s">
        <v>291</v>
      </c>
      <c r="D11" s="216"/>
      <c r="E11" s="218">
        <v>13963</v>
      </c>
      <c r="F11" s="21"/>
      <c r="G11" s="32"/>
      <c r="H11" s="32">
        <f t="shared" si="0"/>
        <v>9.736352162665346E-2</v>
      </c>
    </row>
    <row r="12" spans="1:8" ht="19.5" customHeight="1" x14ac:dyDescent="0.25">
      <c r="C12" s="193" t="s">
        <v>279</v>
      </c>
      <c r="D12" s="219">
        <v>238788</v>
      </c>
      <c r="E12" s="217">
        <v>238788</v>
      </c>
      <c r="G12" s="32">
        <f t="shared" ref="G12:G18" si="1">D12/$D$19</f>
        <v>1.6650605602080732</v>
      </c>
      <c r="H12" s="32">
        <f t="shared" si="0"/>
        <v>1.6650605602080732</v>
      </c>
    </row>
    <row r="13" spans="1:8" ht="19.5" customHeight="1" x14ac:dyDescent="0.25">
      <c r="C13" s="193" t="s">
        <v>280</v>
      </c>
      <c r="D13" s="213"/>
      <c r="E13" s="220"/>
      <c r="G13" s="32"/>
      <c r="H13" s="32"/>
    </row>
    <row r="14" spans="1:8" ht="19.5" customHeight="1" x14ac:dyDescent="0.25">
      <c r="C14" s="182" t="s">
        <v>281</v>
      </c>
      <c r="D14" s="222">
        <v>2791286</v>
      </c>
      <c r="E14" s="220"/>
      <c r="G14" s="32">
        <f t="shared" si="1"/>
        <v>19.463541848254319</v>
      </c>
      <c r="H14" s="32"/>
    </row>
    <row r="15" spans="1:8" ht="19.5" customHeight="1" x14ac:dyDescent="0.25">
      <c r="C15" s="182" t="s">
        <v>282</v>
      </c>
      <c r="D15" s="219">
        <v>179625</v>
      </c>
      <c r="E15" s="220"/>
      <c r="G15" s="32">
        <f t="shared" si="1"/>
        <v>1.252518983899422</v>
      </c>
      <c r="H15" s="32"/>
    </row>
    <row r="16" spans="1:8" ht="19.5" customHeight="1" x14ac:dyDescent="0.25">
      <c r="C16" s="182" t="s">
        <v>283</v>
      </c>
      <c r="D16" s="219">
        <v>87494</v>
      </c>
      <c r="E16" s="220"/>
      <c r="G16" s="32">
        <f t="shared" si="1"/>
        <v>0.61009267071563544</v>
      </c>
      <c r="H16" s="32"/>
    </row>
    <row r="17" spans="3:8" ht="19.5" customHeight="1" x14ac:dyDescent="0.25">
      <c r="C17" s="182" t="s">
        <v>284</v>
      </c>
      <c r="D17" s="222">
        <v>3058405</v>
      </c>
      <c r="E17" s="218">
        <v>3058405</v>
      </c>
      <c r="G17" s="32">
        <f t="shared" si="1"/>
        <v>21.326153502869374</v>
      </c>
      <c r="H17" s="32">
        <f t="shared" si="0"/>
        <v>21.326153502869374</v>
      </c>
    </row>
    <row r="18" spans="3:8" ht="19.5" customHeight="1" x14ac:dyDescent="0.25">
      <c r="C18" s="181" t="s">
        <v>260</v>
      </c>
      <c r="D18" s="223">
        <v>4511555</v>
      </c>
      <c r="E18" s="225">
        <v>4287182</v>
      </c>
      <c r="G18" s="32">
        <f t="shared" si="1"/>
        <v>31.458918771921262</v>
      </c>
      <c r="H18" s="32">
        <f t="shared" si="0"/>
        <v>29.894373513886663</v>
      </c>
    </row>
    <row r="19" spans="3:8" ht="19.5" customHeight="1" x14ac:dyDescent="0.25">
      <c r="C19" s="193" t="s">
        <v>263</v>
      </c>
      <c r="D19" s="224">
        <v>143411</v>
      </c>
      <c r="E19" s="224">
        <v>143411</v>
      </c>
    </row>
    <row r="20" spans="3:8" ht="19.5" customHeight="1" x14ac:dyDescent="0.25">
      <c r="C20" s="181" t="s">
        <v>267</v>
      </c>
      <c r="D20" s="213"/>
      <c r="E20" s="213"/>
    </row>
    <row r="21" spans="3:8" ht="19.5" customHeight="1" x14ac:dyDescent="0.25">
      <c r="C21" s="193" t="s">
        <v>278</v>
      </c>
      <c r="D21" s="222">
        <v>342332</v>
      </c>
      <c r="E21" s="217">
        <v>103025</v>
      </c>
      <c r="F21" s="21">
        <f>E21/D21</f>
        <v>0.30095053924260662</v>
      </c>
      <c r="G21" s="32">
        <f>D21/$D$32</f>
        <v>2.0345538723040075</v>
      </c>
      <c r="H21" s="32">
        <f>E21/$D$32</f>
        <v>0.61230008498802446</v>
      </c>
    </row>
    <row r="22" spans="3:8" ht="19.5" customHeight="1" x14ac:dyDescent="0.25">
      <c r="C22" s="211" t="s">
        <v>288</v>
      </c>
      <c r="D22" s="216"/>
      <c r="E22" s="217">
        <v>82703</v>
      </c>
      <c r="G22" s="32"/>
      <c r="H22" s="32">
        <f t="shared" ref="H22:H32" si="2">E22/$D$32</f>
        <v>0.49152199882324271</v>
      </c>
    </row>
    <row r="23" spans="3:8" ht="19.5" customHeight="1" x14ac:dyDescent="0.25">
      <c r="C23" s="211" t="s">
        <v>289</v>
      </c>
      <c r="D23" s="216"/>
      <c r="E23" s="218">
        <v>13657</v>
      </c>
      <c r="G23" s="32"/>
      <c r="H23" s="32">
        <f t="shared" si="2"/>
        <v>8.1166534925323455E-2</v>
      </c>
    </row>
    <row r="24" spans="3:8" ht="19.5" customHeight="1" x14ac:dyDescent="0.25">
      <c r="C24" s="211" t="s">
        <v>290</v>
      </c>
      <c r="D24" s="216"/>
      <c r="E24" s="218">
        <v>3252</v>
      </c>
      <c r="G24" s="32"/>
      <c r="H24" s="32">
        <f t="shared" si="2"/>
        <v>1.9327346531240529E-2</v>
      </c>
    </row>
    <row r="25" spans="3:8" ht="19.5" customHeight="1" x14ac:dyDescent="0.25">
      <c r="C25" s="211" t="s">
        <v>291</v>
      </c>
      <c r="D25" s="216"/>
      <c r="E25" s="218">
        <v>3413</v>
      </c>
      <c r="G25" s="32"/>
      <c r="H25" s="32">
        <f t="shared" si="2"/>
        <v>2.0284204708217689E-2</v>
      </c>
    </row>
    <row r="26" spans="3:8" ht="19.5" customHeight="1" x14ac:dyDescent="0.25">
      <c r="C26" s="193" t="s">
        <v>279</v>
      </c>
      <c r="D26" s="219">
        <v>9427</v>
      </c>
      <c r="E26" s="218">
        <v>9427</v>
      </c>
      <c r="G26" s="32">
        <f t="shared" ref="G26:G32" si="3">D26/$D$32</f>
        <v>5.6026720710333475E-2</v>
      </c>
      <c r="H26" s="32">
        <f t="shared" si="2"/>
        <v>5.6026720710333475E-2</v>
      </c>
    </row>
    <row r="27" spans="3:8" ht="19.5" customHeight="1" x14ac:dyDescent="0.25">
      <c r="C27" s="193" t="s">
        <v>280</v>
      </c>
      <c r="D27" s="213"/>
      <c r="E27" s="218">
        <v>1449</v>
      </c>
      <c r="G27" s="32">
        <f t="shared" si="3"/>
        <v>0</v>
      </c>
      <c r="H27" s="32">
        <f t="shared" si="2"/>
        <v>8.611723592794442E-3</v>
      </c>
    </row>
    <row r="28" spans="3:8" ht="19.5" customHeight="1" x14ac:dyDescent="0.25">
      <c r="C28" s="182" t="s">
        <v>281</v>
      </c>
      <c r="D28" s="222">
        <v>1449</v>
      </c>
      <c r="E28" s="220"/>
      <c r="G28" s="32">
        <f t="shared" si="3"/>
        <v>8.611723592794442E-3</v>
      </c>
      <c r="H28" s="32"/>
    </row>
    <row r="29" spans="3:8" ht="19.5" customHeight="1" x14ac:dyDescent="0.25">
      <c r="C29" s="182" t="s">
        <v>283</v>
      </c>
      <c r="D29" s="221">
        <v>0</v>
      </c>
      <c r="E29" s="220"/>
      <c r="G29" s="32">
        <f t="shared" si="3"/>
        <v>0</v>
      </c>
      <c r="H29" s="32"/>
    </row>
    <row r="30" spans="3:8" ht="19.5" customHeight="1" x14ac:dyDescent="0.25">
      <c r="C30" s="182" t="s">
        <v>284</v>
      </c>
      <c r="D30" s="222">
        <v>1449</v>
      </c>
      <c r="E30" s="220"/>
      <c r="G30" s="32">
        <f t="shared" si="3"/>
        <v>8.611723592794442E-3</v>
      </c>
      <c r="H30" s="32"/>
    </row>
    <row r="31" spans="3:8" ht="19.5" customHeight="1" x14ac:dyDescent="0.25">
      <c r="C31" s="181" t="s">
        <v>270</v>
      </c>
      <c r="D31" s="223">
        <v>353208</v>
      </c>
      <c r="E31" s="225">
        <v>113901</v>
      </c>
      <c r="G31" s="32">
        <f t="shared" si="3"/>
        <v>2.0991923166071356</v>
      </c>
      <c r="H31" s="32">
        <f t="shared" si="2"/>
        <v>0.67693852929115228</v>
      </c>
    </row>
    <row r="32" spans="3:8" ht="19.5" customHeight="1" x14ac:dyDescent="0.25">
      <c r="C32" s="193" t="s">
        <v>263</v>
      </c>
      <c r="D32" s="224">
        <v>168259</v>
      </c>
      <c r="E32" s="224">
        <v>168259</v>
      </c>
      <c r="G32" s="32">
        <f t="shared" si="3"/>
        <v>1</v>
      </c>
      <c r="H32" s="32">
        <f t="shared" si="2"/>
        <v>1</v>
      </c>
    </row>
    <row r="33" spans="3:8" ht="19.5" customHeight="1" x14ac:dyDescent="0.25">
      <c r="C33" s="199" t="s">
        <v>285</v>
      </c>
      <c r="D33" s="223">
        <v>4864763</v>
      </c>
      <c r="E33" s="225">
        <v>4401083</v>
      </c>
      <c r="G33" s="116">
        <f>D33/$D$34</f>
        <v>15.60869830269195</v>
      </c>
      <c r="H33" s="116">
        <f>E33/$D$34</f>
        <v>14.120970898706966</v>
      </c>
    </row>
    <row r="34" spans="3:8" ht="19.5" customHeight="1" x14ac:dyDescent="0.25">
      <c r="D34" s="85">
        <f>D19+D32</f>
        <v>311670</v>
      </c>
    </row>
    <row r="35" spans="3:8" ht="48" customHeight="1" x14ac:dyDescent="0.25"/>
    <row r="36" spans="3:8" ht="48" customHeight="1" x14ac:dyDescent="0.25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H27" sqref="H27"/>
    </sheetView>
  </sheetViews>
  <sheetFormatPr defaultRowHeight="15" x14ac:dyDescent="0.2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 x14ac:dyDescent="0.25">
      <c r="A1" t="s">
        <v>249</v>
      </c>
    </row>
    <row r="3" spans="1:11" ht="15" customHeight="1" x14ac:dyDescent="0.25">
      <c r="D3" s="177" t="s">
        <v>250</v>
      </c>
    </row>
    <row r="5" spans="1:11" x14ac:dyDescent="0.25">
      <c r="D5" s="266"/>
      <c r="F5" s="178">
        <v>44012</v>
      </c>
      <c r="K5" s="179">
        <v>43646</v>
      </c>
    </row>
    <row r="6" spans="1:11" ht="19.5" customHeight="1" x14ac:dyDescent="0.25">
      <c r="D6" s="266"/>
      <c r="F6" s="180" t="s">
        <v>251</v>
      </c>
      <c r="K6" s="180" t="s">
        <v>251</v>
      </c>
    </row>
    <row r="7" spans="1:11" ht="19.5" customHeight="1" x14ac:dyDescent="0.25">
      <c r="D7" s="206" t="s">
        <v>252</v>
      </c>
      <c r="E7" s="207" t="s">
        <v>277</v>
      </c>
      <c r="F7" s="37"/>
      <c r="K7" s="37"/>
    </row>
    <row r="8" spans="1:11" ht="19.5" customHeight="1" x14ac:dyDescent="0.25">
      <c r="D8" s="208" t="s">
        <v>253</v>
      </c>
      <c r="E8" s="209">
        <f t="shared" ref="E8:E13" si="0">F8/$F$14</f>
        <v>0.16468053357134391</v>
      </c>
      <c r="F8" s="184" t="s">
        <v>254</v>
      </c>
      <c r="K8" s="183" t="s">
        <v>255</v>
      </c>
    </row>
    <row r="9" spans="1:11" ht="19.5" customHeight="1" x14ac:dyDescent="0.25">
      <c r="D9" s="208" t="s">
        <v>256</v>
      </c>
      <c r="E9" s="209">
        <f t="shared" si="0"/>
        <v>6.3942096491900899E-2</v>
      </c>
      <c r="F9" s="186">
        <v>9170</v>
      </c>
      <c r="K9" s="185">
        <v>9427</v>
      </c>
    </row>
    <row r="10" spans="1:11" ht="19.5" customHeight="1" x14ac:dyDescent="0.25">
      <c r="D10" s="208" t="s">
        <v>257</v>
      </c>
      <c r="E10" s="209">
        <f t="shared" si="0"/>
        <v>4.6858330253606766E-3</v>
      </c>
      <c r="F10" s="188">
        <v>672</v>
      </c>
      <c r="K10" s="187">
        <v>698</v>
      </c>
    </row>
    <row r="11" spans="1:11" ht="19.5" customHeight="1" x14ac:dyDescent="0.25">
      <c r="D11" s="208" t="s">
        <v>258</v>
      </c>
      <c r="E11" s="209">
        <f t="shared" si="0"/>
        <v>1.0815069973711918E-2</v>
      </c>
      <c r="F11" s="186">
        <v>1551</v>
      </c>
      <c r="K11" s="185">
        <v>1592</v>
      </c>
    </row>
    <row r="12" spans="1:11" ht="19.5" customHeight="1" x14ac:dyDescent="0.25">
      <c r="D12" s="208" t="s">
        <v>259</v>
      </c>
      <c r="E12" s="209">
        <f t="shared" si="0"/>
        <v>5.4946970595003176E-3</v>
      </c>
      <c r="F12" s="190">
        <v>788</v>
      </c>
      <c r="K12" s="189">
        <v>805</v>
      </c>
    </row>
    <row r="13" spans="1:11" ht="31.5" customHeight="1" x14ac:dyDescent="0.25">
      <c r="D13" s="206" t="s">
        <v>260</v>
      </c>
      <c r="E13" s="209">
        <f t="shared" si="0"/>
        <v>0.24961823012181772</v>
      </c>
      <c r="F13" s="192" t="s">
        <v>261</v>
      </c>
      <c r="K13" s="191" t="s">
        <v>262</v>
      </c>
    </row>
    <row r="14" spans="1:11" ht="25.5" customHeight="1" x14ac:dyDescent="0.25">
      <c r="D14" s="193" t="s">
        <v>263</v>
      </c>
      <c r="F14" s="184" t="s">
        <v>264</v>
      </c>
      <c r="K14" s="183" t="s">
        <v>265</v>
      </c>
    </row>
    <row r="15" spans="1:11" ht="19.5" customHeight="1" x14ac:dyDescent="0.25">
      <c r="D15" s="194" t="s">
        <v>266</v>
      </c>
      <c r="F15" s="196">
        <v>0.24959999999999999</v>
      </c>
      <c r="K15" s="195">
        <v>0.245</v>
      </c>
    </row>
    <row r="16" spans="1:11" ht="19.5" customHeight="1" x14ac:dyDescent="0.25">
      <c r="D16" s="203" t="s">
        <v>267</v>
      </c>
      <c r="E16" s="119"/>
      <c r="F16" s="37"/>
      <c r="K16" s="37"/>
    </row>
    <row r="17" spans="4:11" ht="19.5" customHeight="1" x14ac:dyDescent="0.25">
      <c r="D17" s="204" t="s">
        <v>253</v>
      </c>
      <c r="E17" s="210">
        <f>F17/$F$22</f>
        <v>0.10194402676825608</v>
      </c>
      <c r="F17" s="184" t="s">
        <v>268</v>
      </c>
      <c r="K17" s="183" t="s">
        <v>269</v>
      </c>
    </row>
    <row r="18" spans="4:11" ht="19.5" customHeight="1" x14ac:dyDescent="0.25">
      <c r="D18" s="204" t="s">
        <v>256</v>
      </c>
      <c r="E18" s="210">
        <f t="shared" ref="E18:E21" si="1">F18/$F$22</f>
        <v>3.4821317136081872E-2</v>
      </c>
      <c r="F18" s="186">
        <v>5859</v>
      </c>
      <c r="K18" s="185">
        <v>4826</v>
      </c>
    </row>
    <row r="19" spans="4:11" ht="19.5" customHeight="1" x14ac:dyDescent="0.25">
      <c r="D19" s="204" t="s">
        <v>257</v>
      </c>
      <c r="E19" s="210">
        <f t="shared" si="1"/>
        <v>4.4752435233776497E-3</v>
      </c>
      <c r="F19" s="188">
        <v>753</v>
      </c>
      <c r="K19" s="187">
        <v>625</v>
      </c>
    </row>
    <row r="20" spans="4:11" ht="19.5" customHeight="1" x14ac:dyDescent="0.25">
      <c r="D20" s="204" t="s">
        <v>258</v>
      </c>
      <c r="E20" s="210">
        <f t="shared" si="1"/>
        <v>7.3755341467618375E-3</v>
      </c>
      <c r="F20" s="198">
        <v>1241</v>
      </c>
      <c r="K20" s="197">
        <v>1002</v>
      </c>
    </row>
    <row r="21" spans="4:11" ht="19.5" customHeight="1" x14ac:dyDescent="0.25">
      <c r="D21" s="205" t="s">
        <v>270</v>
      </c>
      <c r="E21" s="210">
        <f t="shared" si="1"/>
        <v>0.14861612157447746</v>
      </c>
      <c r="F21" s="192" t="s">
        <v>271</v>
      </c>
      <c r="K21" s="191" t="s">
        <v>272</v>
      </c>
    </row>
    <row r="22" spans="4:11" ht="19.5" customHeight="1" x14ac:dyDescent="0.25">
      <c r="D22" s="193" t="s">
        <v>263</v>
      </c>
      <c r="F22" s="184" t="s">
        <v>273</v>
      </c>
      <c r="K22" s="183" t="s">
        <v>274</v>
      </c>
    </row>
    <row r="23" spans="4:11" ht="19.5" customHeight="1" x14ac:dyDescent="0.25">
      <c r="D23" s="199" t="s">
        <v>275</v>
      </c>
      <c r="F23" s="201">
        <v>0.14860000000000001</v>
      </c>
      <c r="K23" s="200">
        <v>0.14660000000000001</v>
      </c>
    </row>
    <row r="25" spans="4:11" x14ac:dyDescent="0.25">
      <c r="D25" s="202" t="s">
        <v>276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targetVals_Funding_fc</vt:lpstr>
      <vt:lpstr>targetVals_Funding_pf</vt:lpstr>
      <vt:lpstr>target_summary</vt:lpstr>
      <vt:lpstr>Cost PF</vt:lpstr>
      <vt:lpstr>Cost FC</vt:lpstr>
      <vt:lpstr>Note1</vt:lpstr>
      <vt:lpstr>Policies_FC</vt:lpstr>
      <vt:lpstr>Policies_PF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2021-06-09T12:36:37Z</dcterms:modified>
</cp:coreProperties>
</file>