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yimin_zhang1_unimelb_edu_au/Documents/Documents/Local Files/Optimisation_w_gp/optimisation_w_gp/mannual/Summary/"/>
    </mc:Choice>
  </mc:AlternateContent>
  <xr:revisionPtr revIDLastSave="104" documentId="13_ncr:1_{22EC6023-04F4-4450-8A09-47D9FEE4D26D}" xr6:coauthVersionLast="47" xr6:coauthVersionMax="47" xr10:uidLastSave="{1A3F35DB-98C5-46B3-A8A0-6C558129D844}"/>
  <bookViews>
    <workbookView xWindow="2868" yWindow="1320" windowWidth="17508" windowHeight="14796" firstSheet="1" activeTab="1" xr2:uid="{00000000-000D-0000-FFFF-FFFF00000000}"/>
  </bookViews>
  <sheets>
    <sheet name="PEG" sheetId="22" r:id="rId1"/>
    <sheet name="Assumptions" sheetId="1" r:id="rId2"/>
  </sheets>
  <definedNames>
    <definedName name="solver_adj" localSheetId="1" hidden="1">Assumptions!$H$21:$L$21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Assumptions!$R$50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C50" i="1"/>
  <c r="F27" i="1"/>
  <c r="G26" i="1"/>
  <c r="F26" i="1"/>
  <c r="G36" i="1"/>
  <c r="F36" i="1"/>
  <c r="L136" i="1"/>
  <c r="Q136" i="1" s="1"/>
  <c r="M136" i="1"/>
  <c r="N136" i="1"/>
  <c r="T136" i="1" s="1"/>
  <c r="O136" i="1"/>
  <c r="R136" i="1" s="1"/>
  <c r="P136" i="1"/>
  <c r="L137" i="1"/>
  <c r="M137" i="1"/>
  <c r="T137" i="1" s="1"/>
  <c r="N137" i="1"/>
  <c r="Q137" i="1" s="1"/>
  <c r="R137" i="1" s="1"/>
  <c r="O137" i="1"/>
  <c r="P137" i="1"/>
  <c r="L138" i="1"/>
  <c r="R138" i="1" s="1"/>
  <c r="M138" i="1"/>
  <c r="T138" i="1" s="1"/>
  <c r="N138" i="1"/>
  <c r="O138" i="1"/>
  <c r="P138" i="1"/>
  <c r="Q138" i="1"/>
  <c r="L139" i="1"/>
  <c r="Q139" i="1" s="1"/>
  <c r="M139" i="1"/>
  <c r="N139" i="1"/>
  <c r="O139" i="1"/>
  <c r="P139" i="1"/>
  <c r="T139" i="1"/>
  <c r="U139" i="1" s="1"/>
  <c r="L140" i="1"/>
  <c r="Q140" i="1" s="1"/>
  <c r="M140" i="1"/>
  <c r="N140" i="1"/>
  <c r="T140" i="1" s="1"/>
  <c r="O140" i="1"/>
  <c r="P140" i="1"/>
  <c r="L141" i="1"/>
  <c r="M141" i="1"/>
  <c r="T141" i="1" s="1"/>
  <c r="N141" i="1"/>
  <c r="Q141" i="1" s="1"/>
  <c r="R141" i="1" s="1"/>
  <c r="O141" i="1"/>
  <c r="P141" i="1"/>
  <c r="L142" i="1"/>
  <c r="R142" i="1" s="1"/>
  <c r="M142" i="1"/>
  <c r="T142" i="1" s="1"/>
  <c r="N142" i="1"/>
  <c r="O142" i="1"/>
  <c r="P142" i="1"/>
  <c r="Q142" i="1"/>
  <c r="A136" i="1"/>
  <c r="B136" i="1"/>
  <c r="C136" i="1"/>
  <c r="D136" i="1"/>
  <c r="G136" i="1" s="1"/>
  <c r="E136" i="1"/>
  <c r="F136" i="1"/>
  <c r="A137" i="1"/>
  <c r="B137" i="1"/>
  <c r="C137" i="1"/>
  <c r="D137" i="1"/>
  <c r="G137" i="1" s="1"/>
  <c r="E137" i="1"/>
  <c r="F137" i="1"/>
  <c r="A138" i="1"/>
  <c r="B138" i="1"/>
  <c r="C138" i="1"/>
  <c r="D138" i="1"/>
  <c r="G138" i="1" s="1"/>
  <c r="E138" i="1"/>
  <c r="F138" i="1"/>
  <c r="A139" i="1"/>
  <c r="B139" i="1"/>
  <c r="C139" i="1"/>
  <c r="D139" i="1"/>
  <c r="G139" i="1" s="1"/>
  <c r="E139" i="1"/>
  <c r="F139" i="1"/>
  <c r="A140" i="1"/>
  <c r="B140" i="1"/>
  <c r="C140" i="1"/>
  <c r="D140" i="1"/>
  <c r="G140" i="1" s="1"/>
  <c r="E140" i="1"/>
  <c r="F140" i="1"/>
  <c r="A141" i="1"/>
  <c r="B141" i="1"/>
  <c r="C141" i="1"/>
  <c r="D141" i="1"/>
  <c r="G141" i="1" s="1"/>
  <c r="E141" i="1"/>
  <c r="F141" i="1"/>
  <c r="A142" i="1"/>
  <c r="B142" i="1"/>
  <c r="C142" i="1"/>
  <c r="D142" i="1"/>
  <c r="G142" i="1" s="1"/>
  <c r="E142" i="1"/>
  <c r="F142" i="1"/>
  <c r="B95" i="1"/>
  <c r="A112" i="1"/>
  <c r="B112" i="1"/>
  <c r="C112" i="1"/>
  <c r="D112" i="1"/>
  <c r="E112" i="1"/>
  <c r="F112" i="1"/>
  <c r="G112" i="1"/>
  <c r="H112" i="1"/>
  <c r="A113" i="1"/>
  <c r="B113" i="1"/>
  <c r="C113" i="1"/>
  <c r="D113" i="1"/>
  <c r="E113" i="1"/>
  <c r="F113" i="1"/>
  <c r="G113" i="1"/>
  <c r="H113" i="1"/>
  <c r="A88" i="1"/>
  <c r="B88" i="1"/>
  <c r="C88" i="1"/>
  <c r="D88" i="1"/>
  <c r="E88" i="1"/>
  <c r="F88" i="1"/>
  <c r="G88" i="1"/>
  <c r="H88" i="1"/>
  <c r="A89" i="1"/>
  <c r="B89" i="1"/>
  <c r="C89" i="1"/>
  <c r="D89" i="1"/>
  <c r="E89" i="1"/>
  <c r="F89" i="1"/>
  <c r="G89" i="1"/>
  <c r="H89" i="1"/>
  <c r="A90" i="1"/>
  <c r="B90" i="1"/>
  <c r="C90" i="1"/>
  <c r="D90" i="1"/>
  <c r="E90" i="1"/>
  <c r="F90" i="1"/>
  <c r="G90" i="1"/>
  <c r="H90" i="1"/>
  <c r="A91" i="1"/>
  <c r="A120" i="1" s="1"/>
  <c r="B91" i="1"/>
  <c r="C91" i="1"/>
  <c r="D91" i="1"/>
  <c r="E91" i="1"/>
  <c r="F91" i="1"/>
  <c r="G91" i="1"/>
  <c r="H91" i="1"/>
  <c r="A92" i="1"/>
  <c r="B92" i="1"/>
  <c r="C92" i="1"/>
  <c r="D92" i="1"/>
  <c r="E92" i="1"/>
  <c r="F92" i="1"/>
  <c r="G92" i="1"/>
  <c r="H92" i="1"/>
  <c r="A93" i="1"/>
  <c r="B93" i="1"/>
  <c r="C93" i="1"/>
  <c r="D93" i="1"/>
  <c r="E93" i="1"/>
  <c r="F93" i="1"/>
  <c r="G93" i="1"/>
  <c r="H93" i="1"/>
  <c r="A94" i="1"/>
  <c r="B94" i="1"/>
  <c r="C94" i="1"/>
  <c r="D94" i="1"/>
  <c r="E94" i="1"/>
  <c r="F94" i="1"/>
  <c r="G94" i="1"/>
  <c r="H94" i="1"/>
  <c r="A95" i="1"/>
  <c r="A124" i="1" s="1"/>
  <c r="C95" i="1"/>
  <c r="D95" i="1"/>
  <c r="E95" i="1"/>
  <c r="F95" i="1"/>
  <c r="G95" i="1"/>
  <c r="H95" i="1"/>
  <c r="A96" i="1"/>
  <c r="B96" i="1"/>
  <c r="C96" i="1"/>
  <c r="D96" i="1"/>
  <c r="E96" i="1"/>
  <c r="F96" i="1"/>
  <c r="G96" i="1"/>
  <c r="H96" i="1"/>
  <c r="A97" i="1"/>
  <c r="B97" i="1"/>
  <c r="C97" i="1"/>
  <c r="D97" i="1"/>
  <c r="E97" i="1"/>
  <c r="F97" i="1"/>
  <c r="G97" i="1"/>
  <c r="H97" i="1"/>
  <c r="A98" i="1"/>
  <c r="B98" i="1"/>
  <c r="C98" i="1"/>
  <c r="D98" i="1"/>
  <c r="E98" i="1"/>
  <c r="F98" i="1"/>
  <c r="G98" i="1"/>
  <c r="H98" i="1"/>
  <c r="A99" i="1"/>
  <c r="A128" i="1" s="1"/>
  <c r="B99" i="1"/>
  <c r="C99" i="1"/>
  <c r="D99" i="1"/>
  <c r="E99" i="1"/>
  <c r="F99" i="1"/>
  <c r="G99" i="1"/>
  <c r="H99" i="1"/>
  <c r="A100" i="1"/>
  <c r="B100" i="1"/>
  <c r="C100" i="1"/>
  <c r="D100" i="1"/>
  <c r="E100" i="1"/>
  <c r="F100" i="1"/>
  <c r="G100" i="1"/>
  <c r="H100" i="1"/>
  <c r="A101" i="1"/>
  <c r="B101" i="1"/>
  <c r="C101" i="1"/>
  <c r="D101" i="1"/>
  <c r="E101" i="1"/>
  <c r="F101" i="1"/>
  <c r="G101" i="1"/>
  <c r="H101" i="1"/>
  <c r="A102" i="1"/>
  <c r="B102" i="1"/>
  <c r="C102" i="1"/>
  <c r="D102" i="1"/>
  <c r="E102" i="1"/>
  <c r="F102" i="1"/>
  <c r="G102" i="1"/>
  <c r="H102" i="1"/>
  <c r="A103" i="1"/>
  <c r="A132" i="1" s="1"/>
  <c r="B103" i="1"/>
  <c r="C103" i="1"/>
  <c r="D103" i="1"/>
  <c r="E103" i="1"/>
  <c r="F103" i="1"/>
  <c r="G103" i="1"/>
  <c r="H103" i="1"/>
  <c r="A104" i="1"/>
  <c r="B104" i="1"/>
  <c r="C104" i="1"/>
  <c r="D104" i="1"/>
  <c r="E104" i="1"/>
  <c r="F104" i="1"/>
  <c r="G104" i="1"/>
  <c r="H104" i="1"/>
  <c r="A105" i="1"/>
  <c r="B105" i="1"/>
  <c r="C105" i="1"/>
  <c r="D105" i="1"/>
  <c r="E105" i="1"/>
  <c r="F105" i="1"/>
  <c r="G105" i="1"/>
  <c r="H105" i="1"/>
  <c r="A106" i="1"/>
  <c r="B106" i="1"/>
  <c r="C106" i="1"/>
  <c r="C135" i="1" s="1"/>
  <c r="D106" i="1"/>
  <c r="D135" i="1" s="1"/>
  <c r="E106" i="1"/>
  <c r="F106" i="1"/>
  <c r="G106" i="1"/>
  <c r="H106" i="1"/>
  <c r="A107" i="1"/>
  <c r="B107" i="1"/>
  <c r="C107" i="1"/>
  <c r="D107" i="1"/>
  <c r="E107" i="1"/>
  <c r="F107" i="1"/>
  <c r="G107" i="1"/>
  <c r="H107" i="1"/>
  <c r="A108" i="1"/>
  <c r="B108" i="1"/>
  <c r="C108" i="1"/>
  <c r="D108" i="1"/>
  <c r="E108" i="1"/>
  <c r="F108" i="1"/>
  <c r="G108" i="1"/>
  <c r="H108" i="1"/>
  <c r="A109" i="1"/>
  <c r="B109" i="1"/>
  <c r="C109" i="1"/>
  <c r="D109" i="1"/>
  <c r="E109" i="1"/>
  <c r="F109" i="1"/>
  <c r="G109" i="1"/>
  <c r="H109" i="1"/>
  <c r="A110" i="1"/>
  <c r="B110" i="1"/>
  <c r="C110" i="1"/>
  <c r="D110" i="1"/>
  <c r="E110" i="1"/>
  <c r="F110" i="1"/>
  <c r="G110" i="1"/>
  <c r="H110" i="1"/>
  <c r="A111" i="1"/>
  <c r="B111" i="1"/>
  <c r="C111" i="1"/>
  <c r="D111" i="1"/>
  <c r="E111" i="1"/>
  <c r="F111" i="1"/>
  <c r="G111" i="1"/>
  <c r="H111" i="1"/>
  <c r="D18" i="1"/>
  <c r="D16" i="1"/>
  <c r="K87" i="1"/>
  <c r="T23" i="1"/>
  <c r="P116" i="1"/>
  <c r="N116" i="1"/>
  <c r="L135" i="1"/>
  <c r="M135" i="1"/>
  <c r="N135" i="1"/>
  <c r="O135" i="1"/>
  <c r="P135" i="1"/>
  <c r="A117" i="1"/>
  <c r="A118" i="1"/>
  <c r="A119" i="1"/>
  <c r="A121" i="1"/>
  <c r="A122" i="1"/>
  <c r="A123" i="1"/>
  <c r="A125" i="1"/>
  <c r="A126" i="1"/>
  <c r="A127" i="1"/>
  <c r="A129" i="1"/>
  <c r="A130" i="1"/>
  <c r="A131" i="1"/>
  <c r="A133" i="1"/>
  <c r="A134" i="1"/>
  <c r="A135" i="1"/>
  <c r="A87" i="1"/>
  <c r="A116" i="1" s="1"/>
  <c r="B135" i="1"/>
  <c r="F35" i="1"/>
  <c r="F37" i="1"/>
  <c r="F50" i="1"/>
  <c r="P126" i="1"/>
  <c r="P127" i="1"/>
  <c r="P128" i="1"/>
  <c r="P129" i="1"/>
  <c r="P130" i="1"/>
  <c r="P131" i="1"/>
  <c r="P132" i="1"/>
  <c r="P133" i="1"/>
  <c r="P134" i="1"/>
  <c r="P117" i="1"/>
  <c r="P118" i="1"/>
  <c r="P119" i="1"/>
  <c r="P120" i="1"/>
  <c r="P121" i="1"/>
  <c r="P122" i="1"/>
  <c r="P123" i="1"/>
  <c r="P124" i="1"/>
  <c r="P125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16" i="1"/>
  <c r="L117" i="1"/>
  <c r="M117" i="1"/>
  <c r="N117" i="1"/>
  <c r="L118" i="1"/>
  <c r="M118" i="1"/>
  <c r="N118" i="1"/>
  <c r="L119" i="1"/>
  <c r="M119" i="1"/>
  <c r="N119" i="1"/>
  <c r="L120" i="1"/>
  <c r="M120" i="1"/>
  <c r="N120" i="1"/>
  <c r="L121" i="1"/>
  <c r="M121" i="1"/>
  <c r="N121" i="1"/>
  <c r="L122" i="1"/>
  <c r="M122" i="1"/>
  <c r="N122" i="1"/>
  <c r="L123" i="1"/>
  <c r="M123" i="1"/>
  <c r="N123" i="1"/>
  <c r="L124" i="1"/>
  <c r="M124" i="1"/>
  <c r="N124" i="1"/>
  <c r="L125" i="1"/>
  <c r="M125" i="1"/>
  <c r="N125" i="1"/>
  <c r="L126" i="1"/>
  <c r="M126" i="1"/>
  <c r="N126" i="1"/>
  <c r="L127" i="1"/>
  <c r="M127" i="1"/>
  <c r="N127" i="1"/>
  <c r="L128" i="1"/>
  <c r="M128" i="1"/>
  <c r="N128" i="1"/>
  <c r="L129" i="1"/>
  <c r="M129" i="1"/>
  <c r="N129" i="1"/>
  <c r="L130" i="1"/>
  <c r="M130" i="1"/>
  <c r="N130" i="1"/>
  <c r="L131" i="1"/>
  <c r="M131" i="1"/>
  <c r="N131" i="1"/>
  <c r="L132" i="1"/>
  <c r="M132" i="1"/>
  <c r="N132" i="1"/>
  <c r="L133" i="1"/>
  <c r="M133" i="1"/>
  <c r="N133" i="1"/>
  <c r="L134" i="1"/>
  <c r="M134" i="1"/>
  <c r="N134" i="1"/>
  <c r="L116" i="1"/>
  <c r="M116" i="1"/>
  <c r="F87" i="1"/>
  <c r="G87" i="1"/>
  <c r="H87" i="1"/>
  <c r="E87" i="1"/>
  <c r="D87" i="1"/>
  <c r="D116" i="1" s="1"/>
  <c r="C87" i="1"/>
  <c r="C116" i="1" s="1"/>
  <c r="B87" i="1"/>
  <c r="B116" i="1" s="1"/>
  <c r="U137" i="1" l="1"/>
  <c r="V137" i="1"/>
  <c r="U136" i="1"/>
  <c r="V136" i="1"/>
  <c r="U142" i="1"/>
  <c r="V142" i="1" s="1"/>
  <c r="R140" i="1"/>
  <c r="V138" i="1"/>
  <c r="U138" i="1"/>
  <c r="U141" i="1"/>
  <c r="V141" i="1"/>
  <c r="U140" i="1"/>
  <c r="V140" i="1" s="1"/>
  <c r="V139" i="1"/>
  <c r="R139" i="1"/>
  <c r="D17" i="1"/>
  <c r="F135" i="1"/>
  <c r="E135" i="1"/>
  <c r="G135" i="1"/>
  <c r="T134" i="1"/>
  <c r="T130" i="1"/>
  <c r="T126" i="1"/>
  <c r="T122" i="1"/>
  <c r="T118" i="1"/>
  <c r="T116" i="1"/>
  <c r="T131" i="1"/>
  <c r="T128" i="1"/>
  <c r="T127" i="1"/>
  <c r="T123" i="1"/>
  <c r="T120" i="1"/>
  <c r="T119" i="1"/>
  <c r="T132" i="1"/>
  <c r="T124" i="1"/>
  <c r="T135" i="1"/>
  <c r="Q135" i="1"/>
  <c r="T133" i="1"/>
  <c r="T129" i="1"/>
  <c r="T125" i="1"/>
  <c r="T121" i="1"/>
  <c r="T117" i="1"/>
  <c r="F116" i="1"/>
  <c r="Q133" i="1"/>
  <c r="E116" i="1"/>
  <c r="Q129" i="1"/>
  <c r="Q125" i="1"/>
  <c r="R125" i="1" s="1"/>
  <c r="Q121" i="1"/>
  <c r="Q117" i="1"/>
  <c r="R117" i="1" s="1"/>
  <c r="Q132" i="1"/>
  <c r="Q128" i="1"/>
  <c r="Q124" i="1"/>
  <c r="Q120" i="1"/>
  <c r="Q116" i="1"/>
  <c r="Q131" i="1"/>
  <c r="Q127" i="1"/>
  <c r="Q123" i="1"/>
  <c r="Q119" i="1"/>
  <c r="Q118" i="1"/>
  <c r="Q134" i="1"/>
  <c r="Q126" i="1"/>
  <c r="Q122" i="1"/>
  <c r="F129" i="1"/>
  <c r="F125" i="1"/>
  <c r="F123" i="1"/>
  <c r="Q130" i="1"/>
  <c r="F133" i="1"/>
  <c r="F119" i="1"/>
  <c r="E121" i="1"/>
  <c r="F134" i="1"/>
  <c r="F132" i="1"/>
  <c r="F131" i="1"/>
  <c r="F130" i="1"/>
  <c r="F128" i="1"/>
  <c r="F127" i="1"/>
  <c r="F126" i="1"/>
  <c r="F124" i="1"/>
  <c r="F122" i="1"/>
  <c r="F121" i="1"/>
  <c r="F120" i="1"/>
  <c r="F118" i="1"/>
  <c r="F117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T24" i="1"/>
  <c r="T25" i="1"/>
  <c r="T26" i="1"/>
  <c r="T27" i="1"/>
  <c r="T28" i="1"/>
  <c r="T29" i="1"/>
  <c r="T30" i="1"/>
  <c r="T32" i="1"/>
  <c r="T33" i="1"/>
  <c r="T34" i="1"/>
  <c r="T35" i="1"/>
  <c r="T36" i="1"/>
  <c r="T37" i="1"/>
  <c r="T38" i="1"/>
  <c r="T39" i="1"/>
  <c r="T41" i="1"/>
  <c r="J31" i="1"/>
  <c r="T31" i="1" s="1"/>
  <c r="J40" i="1"/>
  <c r="Q40" i="1" s="1"/>
  <c r="Q24" i="1"/>
  <c r="Q25" i="1"/>
  <c r="Q26" i="1"/>
  <c r="Q27" i="1"/>
  <c r="Q28" i="1"/>
  <c r="Q29" i="1"/>
  <c r="Q30" i="1"/>
  <c r="Q32" i="1"/>
  <c r="Q33" i="1"/>
  <c r="Q34" i="1"/>
  <c r="Q35" i="1"/>
  <c r="Q36" i="1"/>
  <c r="Q37" i="1"/>
  <c r="Q38" i="1"/>
  <c r="Q39" i="1"/>
  <c r="Q41" i="1"/>
  <c r="Q23" i="1"/>
  <c r="S142" i="1" l="1"/>
  <c r="H142" i="1" s="1"/>
  <c r="X142" i="1"/>
  <c r="X140" i="1"/>
  <c r="S140" i="1"/>
  <c r="H140" i="1" s="1"/>
  <c r="X136" i="1"/>
  <c r="S136" i="1"/>
  <c r="H136" i="1" s="1"/>
  <c r="S137" i="1"/>
  <c r="H137" i="1" s="1"/>
  <c r="W137" i="1"/>
  <c r="X137" i="1"/>
  <c r="S138" i="1"/>
  <c r="H138" i="1" s="1"/>
  <c r="X138" i="1"/>
  <c r="S141" i="1"/>
  <c r="H141" i="1" s="1"/>
  <c r="X141" i="1"/>
  <c r="S139" i="1"/>
  <c r="H139" i="1" s="1"/>
  <c r="W139" i="1"/>
  <c r="X139" i="1"/>
  <c r="G116" i="1"/>
  <c r="R134" i="1"/>
  <c r="R123" i="1"/>
  <c r="R132" i="1"/>
  <c r="R129" i="1"/>
  <c r="U129" i="1"/>
  <c r="V129" i="1" s="1"/>
  <c r="U123" i="1"/>
  <c r="V123" i="1" s="1"/>
  <c r="R120" i="1"/>
  <c r="U117" i="1"/>
  <c r="V117" i="1" s="1"/>
  <c r="U133" i="1"/>
  <c r="V133" i="1" s="1"/>
  <c r="X133" i="1" s="1"/>
  <c r="U132" i="1"/>
  <c r="V132" i="1" s="1"/>
  <c r="X132" i="1" s="1"/>
  <c r="U127" i="1"/>
  <c r="V127" i="1" s="1"/>
  <c r="X127" i="1" s="1"/>
  <c r="U118" i="1"/>
  <c r="V118" i="1" s="1"/>
  <c r="U134" i="1"/>
  <c r="V134" i="1" s="1"/>
  <c r="X134" i="1" s="1"/>
  <c r="U116" i="1"/>
  <c r="V116" i="1" s="1"/>
  <c r="X116" i="1" s="1"/>
  <c r="R130" i="1"/>
  <c r="R122" i="1"/>
  <c r="R118" i="1"/>
  <c r="R127" i="1"/>
  <c r="R124" i="1"/>
  <c r="R121" i="1"/>
  <c r="R133" i="1"/>
  <c r="S133" i="1" s="1"/>
  <c r="U121" i="1"/>
  <c r="V121" i="1" s="1"/>
  <c r="R135" i="1"/>
  <c r="U119" i="1"/>
  <c r="V119" i="1" s="1"/>
  <c r="U128" i="1"/>
  <c r="V128" i="1" s="1"/>
  <c r="U122" i="1"/>
  <c r="V122" i="1" s="1"/>
  <c r="U124" i="1"/>
  <c r="V124" i="1" s="1"/>
  <c r="X124" i="1" s="1"/>
  <c r="U130" i="1"/>
  <c r="V130" i="1" s="1"/>
  <c r="X130" i="1" s="1"/>
  <c r="R126" i="1"/>
  <c r="R119" i="1"/>
  <c r="R131" i="1"/>
  <c r="R128" i="1"/>
  <c r="U125" i="1"/>
  <c r="V125" i="1" s="1"/>
  <c r="U135" i="1"/>
  <c r="V135" i="1" s="1"/>
  <c r="X135" i="1" s="1"/>
  <c r="U120" i="1"/>
  <c r="V120" i="1" s="1"/>
  <c r="X120" i="1" s="1"/>
  <c r="U131" i="1"/>
  <c r="V131" i="1" s="1"/>
  <c r="U126" i="1"/>
  <c r="V126" i="1" s="1"/>
  <c r="R116" i="1"/>
  <c r="G121" i="1"/>
  <c r="E126" i="1"/>
  <c r="G126" i="1" s="1"/>
  <c r="E122" i="1"/>
  <c r="G122" i="1" s="1"/>
  <c r="E118" i="1"/>
  <c r="G118" i="1" s="1"/>
  <c r="E127" i="1"/>
  <c r="G127" i="1" s="1"/>
  <c r="E123" i="1"/>
  <c r="G123" i="1" s="1"/>
  <c r="E133" i="1"/>
  <c r="G133" i="1" s="1"/>
  <c r="E129" i="1"/>
  <c r="G129" i="1" s="1"/>
  <c r="E125" i="1"/>
  <c r="G125" i="1" s="1"/>
  <c r="E117" i="1"/>
  <c r="G117" i="1" s="1"/>
  <c r="E132" i="1"/>
  <c r="G132" i="1" s="1"/>
  <c r="E124" i="1"/>
  <c r="G124" i="1" s="1"/>
  <c r="E131" i="1"/>
  <c r="G131" i="1" s="1"/>
  <c r="E119" i="1"/>
  <c r="G119" i="1" s="1"/>
  <c r="E134" i="1"/>
  <c r="G134" i="1" s="1"/>
  <c r="E130" i="1"/>
  <c r="G130" i="1" s="1"/>
  <c r="E128" i="1"/>
  <c r="G128" i="1" s="1"/>
  <c r="E120" i="1"/>
  <c r="G120" i="1" s="1"/>
  <c r="T40" i="1"/>
  <c r="Q31" i="1"/>
  <c r="W138" i="1" l="1"/>
  <c r="W140" i="1"/>
  <c r="W142" i="1"/>
  <c r="W141" i="1"/>
  <c r="W136" i="1"/>
  <c r="S118" i="1"/>
  <c r="H118" i="1" s="1"/>
  <c r="S123" i="1"/>
  <c r="H123" i="1" s="1"/>
  <c r="X123" i="1"/>
  <c r="S135" i="1"/>
  <c r="W135" i="1" s="1"/>
  <c r="S124" i="1"/>
  <c r="W124" i="1" s="1"/>
  <c r="S130" i="1"/>
  <c r="W130" i="1" s="1"/>
  <c r="S120" i="1"/>
  <c r="W120" i="1" s="1"/>
  <c r="S126" i="1"/>
  <c r="H126" i="1" s="1"/>
  <c r="X126" i="1"/>
  <c r="S125" i="1"/>
  <c r="H125" i="1" s="1"/>
  <c r="X125" i="1"/>
  <c r="X122" i="1"/>
  <c r="X121" i="1"/>
  <c r="S127" i="1"/>
  <c r="H127" i="1" s="1"/>
  <c r="S132" i="1"/>
  <c r="H132" i="1" s="1"/>
  <c r="X131" i="1"/>
  <c r="S131" i="1"/>
  <c r="W131" i="1" s="1"/>
  <c r="X128" i="1"/>
  <c r="S128" i="1"/>
  <c r="H128" i="1" s="1"/>
  <c r="S116" i="1"/>
  <c r="W116" i="1" s="1"/>
  <c r="X119" i="1"/>
  <c r="S119" i="1"/>
  <c r="H119" i="1" s="1"/>
  <c r="X118" i="1"/>
  <c r="S117" i="1"/>
  <c r="H117" i="1" s="1"/>
  <c r="X117" i="1"/>
  <c r="X129" i="1"/>
  <c r="S129" i="1"/>
  <c r="W129" i="1" s="1"/>
  <c r="S134" i="1"/>
  <c r="H134" i="1" s="1"/>
  <c r="S121" i="1"/>
  <c r="W121" i="1" s="1"/>
  <c r="S122" i="1"/>
  <c r="W122" i="1" s="1"/>
  <c r="W133" i="1"/>
  <c r="H133" i="1"/>
  <c r="W125" i="1"/>
  <c r="W128" i="1"/>
  <c r="B50" i="1"/>
  <c r="P24" i="1"/>
  <c r="P25" i="1"/>
  <c r="P26" i="1"/>
  <c r="P27" i="1"/>
  <c r="P28" i="1"/>
  <c r="P29" i="1"/>
  <c r="P30" i="1"/>
  <c r="P31" i="1"/>
  <c r="S31" i="1" s="1"/>
  <c r="P32" i="1"/>
  <c r="P33" i="1"/>
  <c r="P34" i="1"/>
  <c r="P35" i="1"/>
  <c r="P36" i="1"/>
  <c r="P37" i="1"/>
  <c r="P38" i="1"/>
  <c r="P39" i="1"/>
  <c r="P40" i="1"/>
  <c r="P41" i="1"/>
  <c r="P23" i="1"/>
  <c r="W123" i="1" l="1"/>
  <c r="W127" i="1"/>
  <c r="H120" i="1"/>
  <c r="H130" i="1"/>
  <c r="U31" i="1"/>
  <c r="V31" i="1"/>
  <c r="W118" i="1"/>
  <c r="W132" i="1"/>
  <c r="W117" i="1"/>
  <c r="H135" i="1"/>
  <c r="W126" i="1"/>
  <c r="H129" i="1"/>
  <c r="W134" i="1"/>
  <c r="H124" i="1"/>
  <c r="H121" i="1"/>
  <c r="H131" i="1"/>
  <c r="H122" i="1"/>
  <c r="H116" i="1"/>
  <c r="W119" i="1"/>
  <c r="G35" i="1"/>
  <c r="G37" i="1"/>
  <c r="S41" i="1"/>
  <c r="R41" i="1"/>
  <c r="S37" i="1"/>
  <c r="R37" i="1"/>
  <c r="S33" i="1"/>
  <c r="R33" i="1"/>
  <c r="S29" i="1"/>
  <c r="R29" i="1"/>
  <c r="S25" i="1"/>
  <c r="R25" i="1"/>
  <c r="S23" i="1"/>
  <c r="P50" i="1"/>
  <c r="R23" i="1"/>
  <c r="S38" i="1"/>
  <c r="R38" i="1"/>
  <c r="R40" i="1"/>
  <c r="S40" i="1"/>
  <c r="S36" i="1"/>
  <c r="R36" i="1"/>
  <c r="S32" i="1"/>
  <c r="R32" i="1"/>
  <c r="S28" i="1"/>
  <c r="R28" i="1"/>
  <c r="S24" i="1"/>
  <c r="R24" i="1"/>
  <c r="S39" i="1"/>
  <c r="R39" i="1"/>
  <c r="S35" i="1"/>
  <c r="R35" i="1"/>
  <c r="S27" i="1"/>
  <c r="R27" i="1"/>
  <c r="S34" i="1"/>
  <c r="R34" i="1"/>
  <c r="S30" i="1"/>
  <c r="R30" i="1"/>
  <c r="S26" i="1"/>
  <c r="R26" i="1"/>
  <c r="R31" i="1"/>
  <c r="G40" i="1"/>
  <c r="G27" i="1"/>
  <c r="U23" i="1" l="1"/>
  <c r="V23" i="1"/>
  <c r="U29" i="1"/>
  <c r="V29" i="1"/>
  <c r="U37" i="1"/>
  <c r="V37" i="1"/>
  <c r="U30" i="1"/>
  <c r="V30" i="1"/>
  <c r="U27" i="1"/>
  <c r="V27" i="1"/>
  <c r="U39" i="1"/>
  <c r="V39" i="1"/>
  <c r="U28" i="1"/>
  <c r="V28" i="1"/>
  <c r="U36" i="1"/>
  <c r="V36" i="1"/>
  <c r="U38" i="1"/>
  <c r="V38" i="1"/>
  <c r="U40" i="1"/>
  <c r="V40" i="1"/>
  <c r="U25" i="1"/>
  <c r="V25" i="1"/>
  <c r="U33" i="1"/>
  <c r="V33" i="1"/>
  <c r="U41" i="1"/>
  <c r="V41" i="1"/>
  <c r="U26" i="1"/>
  <c r="V26" i="1"/>
  <c r="U34" i="1"/>
  <c r="V34" i="1"/>
  <c r="U35" i="1"/>
  <c r="V35" i="1"/>
  <c r="U24" i="1"/>
  <c r="V24" i="1"/>
  <c r="U32" i="1"/>
  <c r="V32" i="1"/>
  <c r="R50" i="1"/>
  <c r="Q51" i="1" s="1"/>
  <c r="G50" i="1"/>
  <c r="U50" i="1" l="1"/>
  <c r="T51" i="1" s="1"/>
  <c r="B5" i="1"/>
</calcChain>
</file>

<file path=xl/sharedStrings.xml><?xml version="1.0" encoding="utf-8"?>
<sst xmlns="http://schemas.openxmlformats.org/spreadsheetml/2006/main" count="177" uniqueCount="107">
  <si>
    <t>crate</t>
  </si>
  <si>
    <t>mrate</t>
  </si>
  <si>
    <t>mult buffer</t>
  </si>
  <si>
    <t>INFLATION</t>
  </si>
  <si>
    <t>POPULATION</t>
  </si>
  <si>
    <t>EFFICIENCY</t>
  </si>
  <si>
    <t>General Assumptions</t>
  </si>
  <si>
    <t>Sector Assumptions</t>
  </si>
  <si>
    <t>Value</t>
  </si>
  <si>
    <t>Explanation</t>
  </si>
  <si>
    <t>5% interest rate</t>
  </si>
  <si>
    <t>10% cost of equity</t>
  </si>
  <si>
    <t>Assuming the current 2-year estimation of downside covering 40% (0.52 sigma), then 95% (1.96 sigma) of the time, the investigated entity is still profitable after interest.</t>
  </si>
  <si>
    <t>3% inflation rate</t>
  </si>
  <si>
    <t>Genetic economic growth due to population growth</t>
  </si>
  <si>
    <t>Norminal</t>
  </si>
  <si>
    <t>Normal growth = Inflation + Efficiency + Efficiency</t>
  </si>
  <si>
    <t>Near</t>
  </si>
  <si>
    <t>Long-term</t>
  </si>
  <si>
    <t>GOOG</t>
  </si>
  <si>
    <t>Justification</t>
  </si>
  <si>
    <t>* Expanding market</t>
  </si>
  <si>
    <t>Efficiency improvement (only assumed for mature sector)</t>
  </si>
  <si>
    <t>EPS</t>
  </si>
  <si>
    <t>COST</t>
  </si>
  <si>
    <t>ON</t>
  </si>
  <si>
    <t>CRM</t>
  </si>
  <si>
    <t>Code</t>
  </si>
  <si>
    <t>MSFT</t>
  </si>
  <si>
    <t>AAPL</t>
  </si>
  <si>
    <t>ADBE</t>
  </si>
  <si>
    <t>ULTA</t>
  </si>
  <si>
    <t>KO</t>
  </si>
  <si>
    <t>PEP</t>
  </si>
  <si>
    <t>BKNG</t>
  </si>
  <si>
    <t>V</t>
  </si>
  <si>
    <t>PFE</t>
  </si>
  <si>
    <t>MA</t>
  </si>
  <si>
    <t>JNJ</t>
  </si>
  <si>
    <t>TSLA</t>
  </si>
  <si>
    <t>FSLR</t>
  </si>
  <si>
    <t>ENPH</t>
  </si>
  <si>
    <t>MCHP</t>
  </si>
  <si>
    <t>Optimisation results - average shortfall</t>
  </si>
  <si>
    <t>2024-11</t>
  </si>
  <si>
    <t>Price</t>
  </si>
  <si>
    <t>PE</t>
  </si>
  <si>
    <t>G-p</t>
  </si>
  <si>
    <t>G-f</t>
  </si>
  <si>
    <t>G-c</t>
  </si>
  <si>
    <t>G-n</t>
  </si>
  <si>
    <t>PE-regression</t>
  </si>
  <si>
    <t>errors</t>
  </si>
  <si>
    <t>Variance</t>
  </si>
  <si>
    <t>Standard</t>
  </si>
  <si>
    <t>PEG</t>
  </si>
  <si>
    <t>Reference</t>
  </si>
  <si>
    <t>PEG-regression</t>
  </si>
  <si>
    <t>Friction loss</t>
  </si>
  <si>
    <t>Odds</t>
  </si>
  <si>
    <t>ud_min</t>
  </si>
  <si>
    <t>hd_max</t>
  </si>
  <si>
    <t>Scale 1</t>
  </si>
  <si>
    <t>Scale 2</t>
  </si>
  <si>
    <t>Scale 3</t>
  </si>
  <si>
    <t>Tolerance</t>
  </si>
  <si>
    <t>Scale Sum</t>
  </si>
  <si>
    <t>S-point</t>
  </si>
  <si>
    <t>cd_min_50</t>
  </si>
  <si>
    <t>cd_max_50</t>
  </si>
  <si>
    <t>cd_min_80</t>
  </si>
  <si>
    <t>cd_max_80</t>
  </si>
  <si>
    <t>Scale 4</t>
  </si>
  <si>
    <t>Scale 5</t>
  </si>
  <si>
    <t>B-point - relaxed</t>
  </si>
  <si>
    <t>min</t>
  </si>
  <si>
    <t>B-point -adjusted for sufficient range</t>
  </si>
  <si>
    <t>max</t>
  </si>
  <si>
    <t>S-point - relax</t>
  </si>
  <si>
    <t>Minimum range</t>
  </si>
  <si>
    <t>AMZN</t>
  </si>
  <si>
    <t>Central</t>
  </si>
  <si>
    <t>central</t>
  </si>
  <si>
    <t>Ideal Range</t>
  </si>
  <si>
    <t>Current Range</t>
  </si>
  <si>
    <t>standard errors</t>
  </si>
  <si>
    <t>Adjusted</t>
  </si>
  <si>
    <t>SECTOR - Simiplified - 3 types are defined out of specific sectors in previous versions.</t>
  </si>
  <si>
    <t>Traditional</t>
  </si>
  <si>
    <t>Evolving</t>
  </si>
  <si>
    <t>Expanding</t>
  </si>
  <si>
    <t>Stable &amp; Mature Markets</t>
  </si>
  <si>
    <t>New modes in traditional sectors</t>
  </si>
  <si>
    <t>New bussiness model</t>
  </si>
  <si>
    <t>Assumed revenue growth rate for expanding sectors.</t>
  </si>
  <si>
    <t>Trad</t>
  </si>
  <si>
    <t>Evol</t>
  </si>
  <si>
    <t>Exp</t>
  </si>
  <si>
    <t>BAC</t>
  </si>
  <si>
    <t>AXP</t>
  </si>
  <si>
    <t>DIS</t>
  </si>
  <si>
    <t>META</t>
  </si>
  <si>
    <t>MCO</t>
  </si>
  <si>
    <t>SPGI</t>
  </si>
  <si>
    <t>UBER</t>
  </si>
  <si>
    <t>20% - Constrained</t>
  </si>
  <si>
    <t>20% - unconstrained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</si>
</sst>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ucida Calligraphy"/>
      <family val="4"/>
    </font>
    <font>
      <sz val="11"/>
      <color rgb="FFFF0000"/>
      <name val="Lucida Calligraphy"/>
      <family val="4"/>
    </font>
    <font>
      <sz val="8"/>
      <name val="Calibri"/>
      <family val="2"/>
      <scheme val="minor"/>
    </font>
    <font>
      <sz val="11"/>
      <color theme="0"/>
      <name val="Lucida Calligraphy"/>
      <family val="4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2" fillId="0" borderId="0" xfId="1" applyFont="1" applyAlignment="1">
      <alignment horizontal="center"/>
    </xf>
    <xf numFmtId="9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9" fontId="2" fillId="0" borderId="0" xfId="1" applyFont="1"/>
    <xf numFmtId="0" fontId="2" fillId="4" borderId="0" xfId="0" applyFont="1" applyFill="1"/>
    <xf numFmtId="1" fontId="2" fillId="4" borderId="0" xfId="0" applyNumberFormat="1" applyFont="1" applyFill="1"/>
    <xf numFmtId="0" fontId="2" fillId="5" borderId="0" xfId="0" applyFont="1" applyFill="1"/>
    <xf numFmtId="9" fontId="2" fillId="2" borderId="0" xfId="0" applyNumberFormat="1" applyFont="1" applyFill="1" applyAlignment="1">
      <alignment horizontal="center"/>
    </xf>
    <xf numFmtId="1" fontId="2" fillId="6" borderId="0" xfId="0" applyNumberFormat="1" applyFont="1" applyFill="1"/>
    <xf numFmtId="2" fontId="2" fillId="0" borderId="0" xfId="0" applyNumberFormat="1" applyFont="1"/>
    <xf numFmtId="0" fontId="2" fillId="7" borderId="0" xfId="0" applyFont="1" applyFill="1"/>
    <xf numFmtId="0" fontId="2" fillId="3" borderId="0" xfId="0" applyFont="1" applyFill="1"/>
    <xf numFmtId="9" fontId="3" fillId="2" borderId="0" xfId="0" applyNumberFormat="1" applyFont="1" applyFill="1" applyAlignment="1">
      <alignment horizontal="center"/>
    </xf>
    <xf numFmtId="0" fontId="2" fillId="8" borderId="0" xfId="0" applyFont="1" applyFill="1"/>
    <xf numFmtId="1" fontId="2" fillId="8" borderId="0" xfId="0" applyNumberFormat="1" applyFont="1" applyFill="1"/>
    <xf numFmtId="9" fontId="2" fillId="8" borderId="0" xfId="1" applyFont="1" applyFill="1"/>
    <xf numFmtId="9" fontId="2" fillId="0" borderId="0" xfId="0" applyNumberFormat="1" applyFont="1"/>
    <xf numFmtId="9" fontId="2" fillId="9" borderId="0" xfId="0" applyNumberFormat="1" applyFont="1" applyFill="1" applyAlignment="1">
      <alignment horizontal="center"/>
    </xf>
    <xf numFmtId="1" fontId="2" fillId="2" borderId="0" xfId="0" applyNumberFormat="1" applyFont="1" applyFill="1"/>
    <xf numFmtId="0" fontId="2" fillId="10" borderId="0" xfId="0" applyFont="1" applyFill="1"/>
    <xf numFmtId="1" fontId="2" fillId="11" borderId="0" xfId="0" applyNumberFormat="1" applyFont="1" applyFill="1"/>
    <xf numFmtId="0" fontId="5" fillId="0" borderId="0" xfId="0" applyFont="1"/>
    <xf numFmtId="1" fontId="2" fillId="12" borderId="0" xfId="0" applyNumberFormat="1" applyFont="1" applyFill="1"/>
    <xf numFmtId="1" fontId="2" fillId="13" borderId="0" xfId="0" applyNumberFormat="1" applyFont="1" applyFill="1"/>
    <xf numFmtId="1" fontId="2" fillId="10" borderId="0" xfId="0" applyNumberFormat="1" applyFont="1" applyFill="1"/>
    <xf numFmtId="0" fontId="2" fillId="1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Lucida Calligraphy" panose="03010101010101010101" pitchFamily="66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Assumptions!$J$23:$J$41</c:f>
              <c:numCache>
                <c:formatCode>0%</c:formatCode>
                <c:ptCount val="19"/>
                <c:pt idx="0">
                  <c:v>0.1</c:v>
                </c:pt>
                <c:pt idx="1">
                  <c:v>0.1</c:v>
                </c:pt>
                <c:pt idx="2">
                  <c:v>0.17</c:v>
                </c:pt>
                <c:pt idx="3">
                  <c:v>0.3</c:v>
                </c:pt>
                <c:pt idx="4">
                  <c:v>0.16</c:v>
                </c:pt>
                <c:pt idx="5">
                  <c:v>0.16</c:v>
                </c:pt>
                <c:pt idx="6">
                  <c:v>0.16</c:v>
                </c:pt>
                <c:pt idx="7">
                  <c:v>0.32</c:v>
                </c:pt>
                <c:pt idx="8">
                  <c:v>0.29500900497091131</c:v>
                </c:pt>
                <c:pt idx="9">
                  <c:v>0.48</c:v>
                </c:pt>
                <c:pt idx="10">
                  <c:v>0.1</c:v>
                </c:pt>
                <c:pt idx="11">
                  <c:v>0.27</c:v>
                </c:pt>
                <c:pt idx="12">
                  <c:v>0.18</c:v>
                </c:pt>
                <c:pt idx="13">
                  <c:v>0.19</c:v>
                </c:pt>
                <c:pt idx="14">
                  <c:v>0.24</c:v>
                </c:pt>
                <c:pt idx="15">
                  <c:v>0.2</c:v>
                </c:pt>
                <c:pt idx="16">
                  <c:v>0.21</c:v>
                </c:pt>
                <c:pt idx="17">
                  <c:v>4.9759674695576628E-2</c:v>
                </c:pt>
                <c:pt idx="18">
                  <c:v>0.06</c:v>
                </c:pt>
              </c:numCache>
            </c:numRef>
          </c:xVal>
          <c:yVal>
            <c:numRef>
              <c:f>Assumptions!$S$23:$S$41</c:f>
              <c:numCache>
                <c:formatCode>0.00</c:formatCode>
                <c:ptCount val="19"/>
                <c:pt idx="0">
                  <c:v>2.68</c:v>
                </c:pt>
                <c:pt idx="1">
                  <c:v>2.4328147100424324</c:v>
                </c:pt>
                <c:pt idx="2">
                  <c:v>3.738783649052841</c:v>
                </c:pt>
                <c:pt idx="3">
                  <c:v>0.47765398898706624</c:v>
                </c:pt>
                <c:pt idx="4">
                  <c:v>1.7655367231638419</c:v>
                </c:pt>
                <c:pt idx="5">
                  <c:v>2.203125</c:v>
                </c:pt>
                <c:pt idx="6">
                  <c:v>2.5897226753670468</c:v>
                </c:pt>
                <c:pt idx="7">
                  <c:v>0.84786821705426352</c:v>
                </c:pt>
                <c:pt idx="8">
                  <c:v>2.8573660591541432</c:v>
                </c:pt>
                <c:pt idx="9">
                  <c:v>0.44495991937055729</c:v>
                </c:pt>
                <c:pt idx="10">
                  <c:v>1.5853658536585364</c:v>
                </c:pt>
                <c:pt idx="11">
                  <c:v>1.3066594575110388</c:v>
                </c:pt>
                <c:pt idx="12">
                  <c:v>1.8193412859179237</c:v>
                </c:pt>
                <c:pt idx="13">
                  <c:v>1.9090098126672612</c:v>
                </c:pt>
                <c:pt idx="14">
                  <c:v>1.2068965517241379</c:v>
                </c:pt>
                <c:pt idx="15">
                  <c:v>2.0069808027923206</c:v>
                </c:pt>
                <c:pt idx="16">
                  <c:v>0.91782744843969322</c:v>
                </c:pt>
                <c:pt idx="17">
                  <c:v>3.1673980309639056</c:v>
                </c:pt>
                <c:pt idx="18">
                  <c:v>2.721774193548387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37-486D-9A81-2996C6EF4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726495"/>
        <c:axId val="701716895"/>
      </c:scatterChart>
      <c:valAx>
        <c:axId val="70172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Lucida Calligraphy" panose="03010101010101010101" pitchFamily="66" charset="0"/>
                <a:ea typeface="+mn-ea"/>
                <a:cs typeface="+mn-cs"/>
              </a:defRPr>
            </a:pPr>
            <a:endParaRPr lang="en-US"/>
          </a:p>
        </c:txPr>
        <c:crossAx val="701716895"/>
        <c:crosses val="autoZero"/>
        <c:crossBetween val="midCat"/>
      </c:valAx>
      <c:valAx>
        <c:axId val="70171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Lucida Calligraphy" panose="03010101010101010101" pitchFamily="66" charset="0"/>
                <a:ea typeface="+mn-ea"/>
                <a:cs typeface="+mn-cs"/>
              </a:defRPr>
            </a:pPr>
            <a:endParaRPr lang="en-US"/>
          </a:p>
        </c:txPr>
        <c:crossAx val="701726495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Lucida Calligraphy" panose="03010101010101010101" pitchFamily="66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BBFF55-1DD9-4253-B234-49B8967FB3FB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87FB6-3A15-215A-99D4-DEF9DCCB24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2"/>
  <sheetViews>
    <sheetView tabSelected="1" topLeftCell="A116" zoomScale="90" zoomScaleNormal="90" workbookViewId="0">
      <pane xSplit="4416" topLeftCell="C1" activePane="topRight"/>
      <selection activeCell="A108" sqref="A108:XFD108"/>
      <selection pane="topRight" activeCell="E93" sqref="E93"/>
    </sheetView>
  </sheetViews>
  <sheetFormatPr defaultColWidth="8.88671875" defaultRowHeight="15" x14ac:dyDescent="0.35"/>
  <cols>
    <col min="1" max="1" width="20.6640625" style="1" customWidth="1"/>
    <col min="2" max="2" width="20.6640625" style="2" customWidth="1"/>
    <col min="3" max="4" width="20.6640625" style="1" customWidth="1"/>
    <col min="5" max="22" width="15.6640625" style="1" customWidth="1"/>
    <col min="23" max="30" width="15.77734375" style="1" customWidth="1"/>
    <col min="31" max="16384" width="8.88671875" style="1"/>
  </cols>
  <sheetData>
    <row r="1" spans="1:6" x14ac:dyDescent="0.35">
      <c r="A1" s="1" t="s">
        <v>6</v>
      </c>
    </row>
    <row r="2" spans="1:6" x14ac:dyDescent="0.35">
      <c r="B2" s="2" t="s">
        <v>8</v>
      </c>
      <c r="C2" s="1" t="s">
        <v>9</v>
      </c>
    </row>
    <row r="3" spans="1:6" x14ac:dyDescent="0.35">
      <c r="A3" s="1" t="s">
        <v>0</v>
      </c>
      <c r="B3" s="4">
        <v>0.05</v>
      </c>
      <c r="C3" s="1" t="s">
        <v>10</v>
      </c>
    </row>
    <row r="4" spans="1:6" x14ac:dyDescent="0.35">
      <c r="A4" s="1" t="s">
        <v>1</v>
      </c>
      <c r="B4" s="4">
        <v>0.1</v>
      </c>
      <c r="C4" s="1" t="s">
        <v>11</v>
      </c>
    </row>
    <row r="5" spans="1:6" x14ac:dyDescent="0.35">
      <c r="A5" s="1" t="s">
        <v>2</v>
      </c>
      <c r="B5" s="3">
        <f>1.96/0.52</f>
        <v>3.7692307692307692</v>
      </c>
      <c r="C5" s="1" t="s">
        <v>12</v>
      </c>
    </row>
    <row r="6" spans="1:6" x14ac:dyDescent="0.35">
      <c r="A6" s="1" t="s">
        <v>3</v>
      </c>
      <c r="B6" s="5">
        <v>0.03</v>
      </c>
      <c r="C6" s="1" t="s">
        <v>13</v>
      </c>
    </row>
    <row r="7" spans="1:6" x14ac:dyDescent="0.35">
      <c r="A7" s="1" t="s">
        <v>4</v>
      </c>
      <c r="B7" s="5">
        <v>0.01</v>
      </c>
      <c r="C7" s="1" t="s">
        <v>14</v>
      </c>
    </row>
    <row r="8" spans="1:6" x14ac:dyDescent="0.35">
      <c r="A8" s="1" t="s">
        <v>5</v>
      </c>
      <c r="B8" s="5">
        <v>0.02</v>
      </c>
      <c r="C8" s="1" t="s">
        <v>22</v>
      </c>
    </row>
    <row r="9" spans="1:6" x14ac:dyDescent="0.35">
      <c r="A9" s="1" t="s">
        <v>15</v>
      </c>
      <c r="B9" s="5">
        <v>0.06</v>
      </c>
      <c r="C9" s="1" t="s">
        <v>16</v>
      </c>
    </row>
    <row r="10" spans="1:6" x14ac:dyDescent="0.35">
      <c r="A10" s="1" t="s">
        <v>90</v>
      </c>
      <c r="B10" s="5">
        <v>0.08</v>
      </c>
      <c r="C10" s="1" t="s">
        <v>94</v>
      </c>
    </row>
    <row r="13" spans="1:6" x14ac:dyDescent="0.35">
      <c r="A13" s="1" t="s">
        <v>7</v>
      </c>
    </row>
    <row r="15" spans="1:6" x14ac:dyDescent="0.35">
      <c r="A15" s="1" t="s">
        <v>87</v>
      </c>
      <c r="B15" s="1"/>
      <c r="C15" s="1" t="s">
        <v>27</v>
      </c>
      <c r="D15" s="2" t="s">
        <v>17</v>
      </c>
      <c r="E15" s="2" t="s">
        <v>18</v>
      </c>
      <c r="F15" s="1" t="s">
        <v>20</v>
      </c>
    </row>
    <row r="16" spans="1:6" x14ac:dyDescent="0.35">
      <c r="A16" s="1" t="s">
        <v>88</v>
      </c>
      <c r="B16" s="1" t="s">
        <v>91</v>
      </c>
      <c r="C16" s="1" t="s">
        <v>95</v>
      </c>
      <c r="D16" s="6">
        <f>SUM(B6:B8)</f>
        <v>0.06</v>
      </c>
      <c r="E16" s="6">
        <v>0.06</v>
      </c>
    </row>
    <row r="17" spans="1:22" x14ac:dyDescent="0.35">
      <c r="A17" s="1" t="s">
        <v>89</v>
      </c>
      <c r="B17" s="1" t="s">
        <v>92</v>
      </c>
      <c r="C17" s="1" t="s">
        <v>96</v>
      </c>
      <c r="D17" s="6">
        <f>(D16+D18)/2</f>
        <v>0.08</v>
      </c>
      <c r="E17" s="6">
        <v>0.06</v>
      </c>
    </row>
    <row r="18" spans="1:22" x14ac:dyDescent="0.35">
      <c r="A18" s="1" t="s">
        <v>90</v>
      </c>
      <c r="B18" s="1" t="s">
        <v>93</v>
      </c>
      <c r="C18" s="1" t="s">
        <v>97</v>
      </c>
      <c r="D18" s="6">
        <f>B10+B8</f>
        <v>0.1</v>
      </c>
      <c r="E18" s="6">
        <v>0.06</v>
      </c>
      <c r="F18" s="1" t="s">
        <v>21</v>
      </c>
    </row>
    <row r="21" spans="1:22" x14ac:dyDescent="0.35">
      <c r="A21" s="1" t="s">
        <v>43</v>
      </c>
      <c r="D21" s="1">
        <v>10133</v>
      </c>
      <c r="H21" s="13">
        <v>117.17407435450608</v>
      </c>
      <c r="I21" s="13"/>
      <c r="J21" s="13">
        <v>0</v>
      </c>
      <c r="K21" s="13">
        <v>17.055614770595472</v>
      </c>
      <c r="L21" s="13">
        <v>12.521677405447273</v>
      </c>
    </row>
    <row r="22" spans="1:22" x14ac:dyDescent="0.35">
      <c r="B22" s="22"/>
      <c r="C22" s="22" t="s">
        <v>105</v>
      </c>
      <c r="D22" s="22" t="s">
        <v>106</v>
      </c>
      <c r="E22" s="22"/>
      <c r="F22" s="18" t="s">
        <v>44</v>
      </c>
      <c r="G22" s="18"/>
      <c r="J22" s="11" t="s">
        <v>47</v>
      </c>
      <c r="K22" s="11" t="s">
        <v>48</v>
      </c>
      <c r="L22" s="11" t="s">
        <v>49</v>
      </c>
      <c r="M22" s="11" t="s">
        <v>50</v>
      </c>
      <c r="N22" s="11" t="s">
        <v>45</v>
      </c>
      <c r="O22" s="11" t="s">
        <v>23</v>
      </c>
      <c r="P22" s="11" t="s">
        <v>46</v>
      </c>
      <c r="Q22" s="15" t="s">
        <v>51</v>
      </c>
      <c r="R22" s="15" t="s">
        <v>52</v>
      </c>
      <c r="S22" s="16" t="s">
        <v>55</v>
      </c>
      <c r="T22" s="16" t="s">
        <v>57</v>
      </c>
      <c r="U22" s="16" t="s">
        <v>52</v>
      </c>
      <c r="V22" s="16" t="s">
        <v>85</v>
      </c>
    </row>
    <row r="23" spans="1:22" x14ac:dyDescent="0.35">
      <c r="A23" s="1" t="s">
        <v>32</v>
      </c>
      <c r="B23" s="5"/>
      <c r="C23" s="5"/>
      <c r="D23" s="5"/>
      <c r="E23" s="4"/>
      <c r="J23" s="12">
        <v>0.1</v>
      </c>
      <c r="K23" s="12">
        <v>0.06</v>
      </c>
      <c r="L23" s="12">
        <v>0.14000000000000001</v>
      </c>
      <c r="M23" s="12">
        <v>0.05</v>
      </c>
      <c r="N23" s="9">
        <v>67</v>
      </c>
      <c r="O23" s="9">
        <v>2.5</v>
      </c>
      <c r="P23" s="10">
        <f>N23/O23</f>
        <v>26.8</v>
      </c>
      <c r="Q23" s="13" t="e">
        <f t="shared" ref="Q23:Q41" si="0">SUMPRODUCT(H$21:L$21,J23:M23)</f>
        <v>#VALUE!</v>
      </c>
      <c r="R23" s="13" t="e">
        <f>(P23-Q23)^2</f>
        <v>#VALUE!</v>
      </c>
      <c r="S23" s="14">
        <f>P23/J23/100</f>
        <v>2.68</v>
      </c>
      <c r="T23" s="14">
        <f t="shared" ref="T23:T41" si="1">J23^2*3-J23*7+3</f>
        <v>2.33</v>
      </c>
      <c r="U23" s="14">
        <f t="shared" ref="U23:U41" si="2">(T23-S23)^2</f>
        <v>0.12250000000000007</v>
      </c>
      <c r="V23" s="14">
        <f>(T23-S23)</f>
        <v>-0.35000000000000009</v>
      </c>
    </row>
    <row r="24" spans="1:22" x14ac:dyDescent="0.35">
      <c r="A24" s="1" t="s">
        <v>33</v>
      </c>
      <c r="B24" s="5"/>
      <c r="C24" s="5"/>
      <c r="D24" s="5">
        <v>0.02</v>
      </c>
      <c r="E24" s="4"/>
      <c r="J24" s="12">
        <v>0.1</v>
      </c>
      <c r="K24" s="12">
        <v>0.06</v>
      </c>
      <c r="L24" s="12">
        <v>0.14000000000000001</v>
      </c>
      <c r="M24" s="12">
        <v>0.05</v>
      </c>
      <c r="N24" s="9">
        <v>172</v>
      </c>
      <c r="O24" s="9">
        <v>7.07</v>
      </c>
      <c r="P24" s="10">
        <f t="shared" ref="P24:P41" si="3">N24/O24</f>
        <v>24.328147100424328</v>
      </c>
      <c r="Q24" s="13" t="e">
        <f t="shared" si="0"/>
        <v>#VALUE!</v>
      </c>
      <c r="R24" s="13" t="e">
        <f t="shared" ref="R24:R41" si="4">(P24-Q24)^2</f>
        <v>#VALUE!</v>
      </c>
      <c r="S24" s="14">
        <f t="shared" ref="S24:S41" si="5">P24/J24/100</f>
        <v>2.4328147100424324</v>
      </c>
      <c r="T24" s="14">
        <f t="shared" si="1"/>
        <v>2.33</v>
      </c>
      <c r="U24" s="14">
        <f t="shared" si="2"/>
        <v>1.0570864601109443E-2</v>
      </c>
      <c r="V24" s="14">
        <f t="shared" ref="V24:V41" si="6">(T24-S24)</f>
        <v>-0.10281471004243237</v>
      </c>
    </row>
    <row r="25" spans="1:22" x14ac:dyDescent="0.35">
      <c r="A25" s="1" t="s">
        <v>24</v>
      </c>
      <c r="C25" s="5"/>
      <c r="D25" s="5"/>
      <c r="E25" s="4"/>
      <c r="J25" s="12">
        <v>0.17</v>
      </c>
      <c r="K25" s="12">
        <v>0.1</v>
      </c>
      <c r="L25" s="12">
        <v>0.08</v>
      </c>
      <c r="M25" s="12">
        <v>0.1</v>
      </c>
      <c r="N25" s="9">
        <v>900</v>
      </c>
      <c r="O25" s="9">
        <v>14.16</v>
      </c>
      <c r="P25" s="10">
        <f t="shared" si="3"/>
        <v>63.559322033898304</v>
      </c>
      <c r="Q25" s="13" t="e">
        <f t="shared" si="0"/>
        <v>#VALUE!</v>
      </c>
      <c r="R25" s="13" t="e">
        <f t="shared" si="4"/>
        <v>#VALUE!</v>
      </c>
      <c r="S25" s="14">
        <f t="shared" si="5"/>
        <v>3.738783649052841</v>
      </c>
      <c r="T25" s="14">
        <f t="shared" si="1"/>
        <v>1.8966999999999998</v>
      </c>
      <c r="U25" s="14">
        <f t="shared" si="2"/>
        <v>3.393272170107831</v>
      </c>
      <c r="V25" s="14">
        <f t="shared" si="6"/>
        <v>-1.8420836490528412</v>
      </c>
    </row>
    <row r="26" spans="1:22" x14ac:dyDescent="0.35">
      <c r="A26" s="1" t="s">
        <v>31</v>
      </c>
      <c r="B26" s="5"/>
      <c r="C26" s="5">
        <v>7.0000000000000007E-2</v>
      </c>
      <c r="D26" s="5">
        <v>0.04</v>
      </c>
      <c r="E26" s="4"/>
      <c r="F26" s="1">
        <f>8*K60</f>
        <v>3072</v>
      </c>
      <c r="G26" s="8">
        <f>F26/F$50</f>
        <v>7.0892307692307685E-2</v>
      </c>
      <c r="J26" s="12">
        <v>0.3</v>
      </c>
      <c r="K26" s="12">
        <v>-2.8000000000000001E-2</v>
      </c>
      <c r="L26" s="12">
        <v>-0.11</v>
      </c>
      <c r="M26" s="12">
        <v>0</v>
      </c>
      <c r="N26" s="9">
        <v>373</v>
      </c>
      <c r="O26" s="9">
        <v>26.03</v>
      </c>
      <c r="P26" s="10">
        <f t="shared" si="3"/>
        <v>14.329619669611986</v>
      </c>
      <c r="Q26" s="13" t="e">
        <f t="shared" si="0"/>
        <v>#VALUE!</v>
      </c>
      <c r="R26" s="13" t="e">
        <f t="shared" si="4"/>
        <v>#VALUE!</v>
      </c>
      <c r="S26" s="14">
        <f t="shared" si="5"/>
        <v>0.47765398898706624</v>
      </c>
      <c r="T26" s="14">
        <f t="shared" si="1"/>
        <v>1.17</v>
      </c>
      <c r="U26" s="14">
        <f t="shared" si="2"/>
        <v>0.47934299896552129</v>
      </c>
      <c r="V26" s="14">
        <f t="shared" si="6"/>
        <v>0.69234601101293369</v>
      </c>
    </row>
    <row r="27" spans="1:22" x14ac:dyDescent="0.35">
      <c r="A27" s="1" t="s">
        <v>34</v>
      </c>
      <c r="B27" s="5"/>
      <c r="C27" s="5">
        <v>0.11</v>
      </c>
      <c r="D27" s="5"/>
      <c r="E27" s="4"/>
      <c r="F27" s="1">
        <f>K61</f>
        <v>4776</v>
      </c>
      <c r="G27" s="8">
        <f>F27/F$50</f>
        <v>0.1102153846153846</v>
      </c>
      <c r="H27" s="8"/>
      <c r="I27" s="8"/>
      <c r="J27" s="12">
        <v>0.16</v>
      </c>
      <c r="K27" s="12">
        <v>0.22</v>
      </c>
      <c r="L27" s="12">
        <v>0.15</v>
      </c>
      <c r="M27" s="12">
        <v>0.15</v>
      </c>
      <c r="N27" s="9">
        <v>4300</v>
      </c>
      <c r="O27" s="9">
        <v>152.22</v>
      </c>
      <c r="P27" s="10">
        <f t="shared" si="3"/>
        <v>28.248587570621471</v>
      </c>
      <c r="Q27" s="13" t="e">
        <f t="shared" si="0"/>
        <v>#VALUE!</v>
      </c>
      <c r="R27" s="13" t="e">
        <f t="shared" si="4"/>
        <v>#VALUE!</v>
      </c>
      <c r="S27" s="14">
        <f t="shared" si="5"/>
        <v>1.7655367231638419</v>
      </c>
      <c r="T27" s="14">
        <f t="shared" si="1"/>
        <v>1.9567999999999999</v>
      </c>
      <c r="U27" s="14">
        <f t="shared" si="2"/>
        <v>3.65816410661048E-2</v>
      </c>
      <c r="V27" s="14">
        <f t="shared" si="6"/>
        <v>0.19126327683615796</v>
      </c>
    </row>
    <row r="28" spans="1:22" x14ac:dyDescent="0.35">
      <c r="A28" s="1" t="s">
        <v>35</v>
      </c>
      <c r="B28" s="5"/>
      <c r="C28" s="5"/>
      <c r="D28" s="5">
        <v>0.02</v>
      </c>
      <c r="E28" s="4"/>
      <c r="J28" s="12">
        <v>0.16</v>
      </c>
      <c r="K28" s="12">
        <v>0.13</v>
      </c>
      <c r="L28" s="12">
        <v>0.24</v>
      </c>
      <c r="M28" s="12">
        <v>0.12</v>
      </c>
      <c r="N28" s="9">
        <v>282</v>
      </c>
      <c r="O28" s="9">
        <v>8</v>
      </c>
      <c r="P28" s="10">
        <f t="shared" si="3"/>
        <v>35.25</v>
      </c>
      <c r="Q28" s="13" t="e">
        <f t="shared" si="0"/>
        <v>#VALUE!</v>
      </c>
      <c r="R28" s="13" t="e">
        <f t="shared" si="4"/>
        <v>#VALUE!</v>
      </c>
      <c r="S28" s="14">
        <f t="shared" si="5"/>
        <v>2.203125</v>
      </c>
      <c r="T28" s="14">
        <f t="shared" si="1"/>
        <v>1.9567999999999999</v>
      </c>
      <c r="U28" s="14">
        <f t="shared" si="2"/>
        <v>6.0676005625000064E-2</v>
      </c>
      <c r="V28" s="14">
        <f t="shared" si="6"/>
        <v>-0.24632500000000013</v>
      </c>
    </row>
    <row r="29" spans="1:22" x14ac:dyDescent="0.35">
      <c r="A29" s="1" t="s">
        <v>37</v>
      </c>
      <c r="B29" s="5"/>
      <c r="C29" s="5"/>
      <c r="D29" s="5"/>
      <c r="E29" s="4"/>
      <c r="J29" s="12">
        <v>0.16</v>
      </c>
      <c r="K29" s="12">
        <v>0.16</v>
      </c>
      <c r="L29" s="12">
        <v>0.17</v>
      </c>
      <c r="M29" s="12">
        <v>0.16</v>
      </c>
      <c r="N29" s="9">
        <v>508</v>
      </c>
      <c r="O29" s="9">
        <v>12.26</v>
      </c>
      <c r="P29" s="10">
        <f t="shared" si="3"/>
        <v>41.435562805872756</v>
      </c>
      <c r="Q29" s="13" t="e">
        <f t="shared" si="0"/>
        <v>#VALUE!</v>
      </c>
      <c r="R29" s="13" t="e">
        <f t="shared" si="4"/>
        <v>#VALUE!</v>
      </c>
      <c r="S29" s="14">
        <f t="shared" si="5"/>
        <v>2.5897226753670468</v>
      </c>
      <c r="T29" s="14">
        <f t="shared" si="1"/>
        <v>1.9567999999999999</v>
      </c>
      <c r="U29" s="14">
        <f t="shared" si="2"/>
        <v>0.40059111299378031</v>
      </c>
      <c r="V29" s="14">
        <f t="shared" si="6"/>
        <v>-0.63292267536704694</v>
      </c>
    </row>
    <row r="30" spans="1:22" x14ac:dyDescent="0.35">
      <c r="A30" s="1" t="s">
        <v>40</v>
      </c>
      <c r="B30" s="5"/>
      <c r="C30" s="5"/>
      <c r="D30" s="5"/>
      <c r="E30" s="4"/>
      <c r="J30" s="12">
        <v>0.32</v>
      </c>
      <c r="K30" s="12">
        <v>0.56000000000000005</v>
      </c>
      <c r="L30" s="12">
        <v>0.74</v>
      </c>
      <c r="M30" s="12">
        <v>0.57999999999999996</v>
      </c>
      <c r="N30" s="9">
        <v>210</v>
      </c>
      <c r="O30" s="9">
        <v>7.74</v>
      </c>
      <c r="P30" s="10">
        <f t="shared" si="3"/>
        <v>27.131782945736433</v>
      </c>
      <c r="Q30" s="13" t="e">
        <f t="shared" si="0"/>
        <v>#VALUE!</v>
      </c>
      <c r="R30" s="13" t="e">
        <f t="shared" si="4"/>
        <v>#VALUE!</v>
      </c>
      <c r="S30" s="14">
        <f t="shared" si="5"/>
        <v>0.84786821705426352</v>
      </c>
      <c r="T30" s="14">
        <f t="shared" si="1"/>
        <v>1.0671999999999997</v>
      </c>
      <c r="U30" s="14">
        <f t="shared" si="2"/>
        <v>4.8106431010155534E-2</v>
      </c>
      <c r="V30" s="14">
        <f t="shared" si="6"/>
        <v>0.21933178294573619</v>
      </c>
    </row>
    <row r="31" spans="1:22" x14ac:dyDescent="0.35">
      <c r="A31" s="1" t="s">
        <v>39</v>
      </c>
      <c r="C31" s="2"/>
      <c r="D31" s="2"/>
      <c r="E31" s="4"/>
      <c r="J31" s="17">
        <f>(1.47^4*0.78)^0.2-1</f>
        <v>0.29500900497091131</v>
      </c>
      <c r="K31" s="12">
        <v>0.05</v>
      </c>
      <c r="L31" s="12">
        <v>-0.22</v>
      </c>
      <c r="M31" s="12">
        <v>0.32</v>
      </c>
      <c r="N31" s="9">
        <v>263</v>
      </c>
      <c r="O31" s="9">
        <v>3.12</v>
      </c>
      <c r="P31" s="10">
        <f t="shared" si="3"/>
        <v>84.294871794871796</v>
      </c>
      <c r="Q31" s="13" t="e">
        <f t="shared" si="0"/>
        <v>#VALUE!</v>
      </c>
      <c r="R31" s="13" t="e">
        <f t="shared" si="4"/>
        <v>#VALUE!</v>
      </c>
      <c r="S31" s="14">
        <f t="shared" si="5"/>
        <v>2.8573660591541432</v>
      </c>
      <c r="T31" s="14">
        <f t="shared" si="1"/>
        <v>1.1960279042454021</v>
      </c>
      <c r="U31" s="14">
        <f t="shared" si="2"/>
        <v>2.7600444649555804</v>
      </c>
      <c r="V31" s="14">
        <f t="shared" si="6"/>
        <v>-1.6613381549087411</v>
      </c>
    </row>
    <row r="32" spans="1:22" x14ac:dyDescent="0.35">
      <c r="A32" s="1" t="s">
        <v>25</v>
      </c>
      <c r="C32" s="2"/>
      <c r="D32" s="5">
        <v>0.02</v>
      </c>
      <c r="E32" s="4"/>
      <c r="J32" s="12">
        <v>0.48</v>
      </c>
      <c r="K32" s="12">
        <v>0.05</v>
      </c>
      <c r="L32" s="12">
        <v>-0.22500000000000001</v>
      </c>
      <c r="M32" s="12">
        <v>0.17</v>
      </c>
      <c r="N32" s="9">
        <v>72</v>
      </c>
      <c r="O32" s="9">
        <v>3.3710901469999999</v>
      </c>
      <c r="P32" s="10">
        <f t="shared" si="3"/>
        <v>21.358076129786749</v>
      </c>
      <c r="Q32" s="13" t="e">
        <f t="shared" si="0"/>
        <v>#VALUE!</v>
      </c>
      <c r="R32" s="13" t="e">
        <f t="shared" si="4"/>
        <v>#VALUE!</v>
      </c>
      <c r="S32" s="14">
        <f t="shared" si="5"/>
        <v>0.44495991937055729</v>
      </c>
      <c r="T32" s="14">
        <f t="shared" si="1"/>
        <v>0.33119999999999994</v>
      </c>
      <c r="U32" s="14">
        <f t="shared" si="2"/>
        <v>1.294131925519571E-2</v>
      </c>
      <c r="V32" s="14">
        <f t="shared" si="6"/>
        <v>-0.11375991937055735</v>
      </c>
    </row>
    <row r="33" spans="1:22" x14ac:dyDescent="0.35">
      <c r="A33" s="1" t="s">
        <v>42</v>
      </c>
      <c r="C33" s="2"/>
      <c r="D33" s="5">
        <v>0.02</v>
      </c>
      <c r="E33" s="4"/>
      <c r="J33" s="12">
        <v>0.1</v>
      </c>
      <c r="K33" s="12">
        <v>-0.1</v>
      </c>
      <c r="L33" s="12">
        <v>-0.6</v>
      </c>
      <c r="M33" s="12">
        <v>0.68</v>
      </c>
      <c r="N33" s="9">
        <v>78</v>
      </c>
      <c r="O33" s="9">
        <v>4.92</v>
      </c>
      <c r="P33" s="10">
        <f t="shared" si="3"/>
        <v>15.853658536585366</v>
      </c>
      <c r="Q33" s="13" t="e">
        <f t="shared" si="0"/>
        <v>#VALUE!</v>
      </c>
      <c r="R33" s="13" t="e">
        <f t="shared" si="4"/>
        <v>#VALUE!</v>
      </c>
      <c r="S33" s="14">
        <f t="shared" si="5"/>
        <v>1.5853658536585364</v>
      </c>
      <c r="T33" s="14">
        <f t="shared" si="1"/>
        <v>2.33</v>
      </c>
      <c r="U33" s="14">
        <f t="shared" si="2"/>
        <v>0.55448001189768026</v>
      </c>
      <c r="V33" s="14">
        <f t="shared" si="6"/>
        <v>0.74463414634146363</v>
      </c>
    </row>
    <row r="34" spans="1:22" x14ac:dyDescent="0.35">
      <c r="A34" s="1" t="s">
        <v>26</v>
      </c>
      <c r="C34" s="2"/>
      <c r="D34" s="2"/>
      <c r="E34" s="4"/>
      <c r="J34" s="12">
        <v>0.27</v>
      </c>
      <c r="K34" s="12">
        <v>0.16</v>
      </c>
      <c r="L34" s="12">
        <v>0.23</v>
      </c>
      <c r="M34" s="12">
        <v>0.1</v>
      </c>
      <c r="N34" s="9">
        <v>290</v>
      </c>
      <c r="O34" s="9">
        <v>8.2200000000000006</v>
      </c>
      <c r="P34" s="10">
        <f t="shared" si="3"/>
        <v>35.27980535279805</v>
      </c>
      <c r="Q34" s="13" t="e">
        <f t="shared" si="0"/>
        <v>#VALUE!</v>
      </c>
      <c r="R34" s="13" t="e">
        <f t="shared" si="4"/>
        <v>#VALUE!</v>
      </c>
      <c r="S34" s="14">
        <f t="shared" si="5"/>
        <v>1.3066594575110388</v>
      </c>
      <c r="T34" s="14">
        <f t="shared" si="1"/>
        <v>1.3287</v>
      </c>
      <c r="U34" s="14">
        <f t="shared" si="2"/>
        <v>4.8578551320770157E-4</v>
      </c>
      <c r="V34" s="14">
        <f t="shared" si="6"/>
        <v>2.2040542488961146E-2</v>
      </c>
    </row>
    <row r="35" spans="1:22" x14ac:dyDescent="0.35">
      <c r="A35" s="1" t="s">
        <v>30</v>
      </c>
      <c r="B35" s="5"/>
      <c r="C35" s="5">
        <v>0.22</v>
      </c>
      <c r="D35" s="5">
        <v>0.04</v>
      </c>
      <c r="E35" s="4"/>
      <c r="F35" s="1">
        <f>5*485</f>
        <v>2425</v>
      </c>
      <c r="G35" s="8">
        <f t="shared" ref="G35:G36" si="7">F35/F$50</f>
        <v>5.5961538461538458E-2</v>
      </c>
      <c r="H35" s="8"/>
      <c r="I35" s="8"/>
      <c r="J35" s="12">
        <v>0.18</v>
      </c>
      <c r="K35" s="12">
        <v>0.14000000000000001</v>
      </c>
      <c r="L35" s="12">
        <v>0.23</v>
      </c>
      <c r="M35" s="12">
        <v>0.12</v>
      </c>
      <c r="N35" s="9">
        <v>485</v>
      </c>
      <c r="O35" s="9">
        <v>14.81</v>
      </c>
      <c r="P35" s="10">
        <f t="shared" si="3"/>
        <v>32.748143146522622</v>
      </c>
      <c r="Q35" s="13" t="e">
        <f t="shared" si="0"/>
        <v>#VALUE!</v>
      </c>
      <c r="R35" s="13" t="e">
        <f t="shared" si="4"/>
        <v>#VALUE!</v>
      </c>
      <c r="S35" s="14">
        <f t="shared" si="5"/>
        <v>1.8193412859179237</v>
      </c>
      <c r="T35" s="14">
        <f t="shared" si="1"/>
        <v>1.8371999999999999</v>
      </c>
      <c r="U35" s="14">
        <f t="shared" si="2"/>
        <v>3.189336686653499E-4</v>
      </c>
      <c r="V35" s="14">
        <f t="shared" si="6"/>
        <v>1.7858714082076288E-2</v>
      </c>
    </row>
    <row r="36" spans="1:22" x14ac:dyDescent="0.35">
      <c r="A36" s="1" t="s">
        <v>28</v>
      </c>
      <c r="B36" s="5"/>
      <c r="C36" s="5">
        <v>0.08</v>
      </c>
      <c r="D36" s="5">
        <v>0.03</v>
      </c>
      <c r="E36" s="4"/>
      <c r="F36" s="1">
        <f>8*K70</f>
        <v>3272</v>
      </c>
      <c r="G36" s="8">
        <f t="shared" si="7"/>
        <v>7.5507692307692303E-2</v>
      </c>
      <c r="H36" s="8"/>
      <c r="I36" s="8"/>
      <c r="J36" s="12">
        <v>0.19</v>
      </c>
      <c r="K36" s="12">
        <v>0.15</v>
      </c>
      <c r="L36" s="12">
        <v>0.11</v>
      </c>
      <c r="M36" s="12">
        <v>0.16</v>
      </c>
      <c r="N36" s="9">
        <v>428</v>
      </c>
      <c r="O36" s="9">
        <v>11.8</v>
      </c>
      <c r="P36" s="10">
        <f t="shared" si="3"/>
        <v>36.271186440677965</v>
      </c>
      <c r="Q36" s="13" t="e">
        <f t="shared" si="0"/>
        <v>#VALUE!</v>
      </c>
      <c r="R36" s="13" t="e">
        <f t="shared" si="4"/>
        <v>#VALUE!</v>
      </c>
      <c r="S36" s="14">
        <f t="shared" si="5"/>
        <v>1.9090098126672612</v>
      </c>
      <c r="T36" s="14">
        <f t="shared" si="1"/>
        <v>1.7783</v>
      </c>
      <c r="U36" s="14">
        <f t="shared" si="2"/>
        <v>1.7085055127510525E-2</v>
      </c>
      <c r="V36" s="14">
        <f t="shared" si="6"/>
        <v>-0.13070981266726123</v>
      </c>
    </row>
    <row r="37" spans="1:22" x14ac:dyDescent="0.35">
      <c r="A37" s="1" t="s">
        <v>19</v>
      </c>
      <c r="B37" s="5"/>
      <c r="C37" s="5">
        <v>0.3</v>
      </c>
      <c r="D37" s="5">
        <v>0.35</v>
      </c>
      <c r="E37" s="4"/>
      <c r="F37" s="1">
        <f>70*170</f>
        <v>11900</v>
      </c>
      <c r="G37" s="8">
        <f>F37/F$50</f>
        <v>0.27461538461538459</v>
      </c>
      <c r="H37" s="8"/>
      <c r="I37" s="8"/>
      <c r="J37" s="12">
        <v>0.24</v>
      </c>
      <c r="K37" s="12">
        <v>0.2</v>
      </c>
      <c r="L37" s="12">
        <v>0.32</v>
      </c>
      <c r="M37" s="12">
        <v>0.13</v>
      </c>
      <c r="N37" s="9">
        <v>168</v>
      </c>
      <c r="O37" s="9">
        <v>5.8</v>
      </c>
      <c r="P37" s="10">
        <f t="shared" si="3"/>
        <v>28.96551724137931</v>
      </c>
      <c r="Q37" s="13" t="e">
        <f t="shared" si="0"/>
        <v>#VALUE!</v>
      </c>
      <c r="R37" s="13" t="e">
        <f t="shared" si="4"/>
        <v>#VALUE!</v>
      </c>
      <c r="S37" s="14">
        <f t="shared" si="5"/>
        <v>1.2068965517241379</v>
      </c>
      <c r="T37" s="14">
        <f t="shared" si="1"/>
        <v>1.4928000000000001</v>
      </c>
      <c r="U37" s="14">
        <f t="shared" si="2"/>
        <v>8.1740781736028625E-2</v>
      </c>
      <c r="V37" s="14">
        <f t="shared" si="6"/>
        <v>0.28590344827586223</v>
      </c>
    </row>
    <row r="38" spans="1:22" x14ac:dyDescent="0.35">
      <c r="A38" s="1" t="s">
        <v>29</v>
      </c>
      <c r="B38" s="5"/>
      <c r="C38" s="5"/>
      <c r="D38" s="5"/>
      <c r="E38" s="4"/>
      <c r="J38" s="12">
        <v>0.2</v>
      </c>
      <c r="K38" s="12">
        <v>0.1</v>
      </c>
      <c r="L38" s="12">
        <v>0.16</v>
      </c>
      <c r="M38" s="12">
        <v>0.12</v>
      </c>
      <c r="N38" s="9">
        <v>230</v>
      </c>
      <c r="O38" s="9">
        <v>5.73</v>
      </c>
      <c r="P38" s="10">
        <f t="shared" si="3"/>
        <v>40.139616055846417</v>
      </c>
      <c r="Q38" s="13" t="e">
        <f t="shared" si="0"/>
        <v>#VALUE!</v>
      </c>
      <c r="R38" s="13" t="e">
        <f t="shared" si="4"/>
        <v>#VALUE!</v>
      </c>
      <c r="S38" s="14">
        <f t="shared" si="5"/>
        <v>2.0069808027923206</v>
      </c>
      <c r="T38" s="14">
        <f t="shared" si="1"/>
        <v>1.72</v>
      </c>
      <c r="U38" s="14">
        <f t="shared" si="2"/>
        <v>8.2357981171324826E-2</v>
      </c>
      <c r="V38" s="14">
        <f t="shared" si="6"/>
        <v>-0.28698080279232063</v>
      </c>
    </row>
    <row r="39" spans="1:22" x14ac:dyDescent="0.35">
      <c r="A39" s="1" t="s">
        <v>41</v>
      </c>
      <c r="C39" s="2"/>
      <c r="D39" s="2"/>
      <c r="E39" s="4"/>
      <c r="J39" s="12">
        <v>0.21</v>
      </c>
      <c r="K39" s="12">
        <v>0.1</v>
      </c>
      <c r="L39" s="12">
        <v>-0.51</v>
      </c>
      <c r="M39" s="12">
        <v>0.75</v>
      </c>
      <c r="N39" s="9">
        <v>85</v>
      </c>
      <c r="O39" s="9">
        <v>4.41</v>
      </c>
      <c r="P39" s="10">
        <f t="shared" si="3"/>
        <v>19.274376417233558</v>
      </c>
      <c r="Q39" s="13" t="e">
        <f t="shared" si="0"/>
        <v>#VALUE!</v>
      </c>
      <c r="R39" s="13" t="e">
        <f t="shared" si="4"/>
        <v>#VALUE!</v>
      </c>
      <c r="S39" s="14">
        <f t="shared" si="5"/>
        <v>0.91782744843969322</v>
      </c>
      <c r="T39" s="14">
        <f t="shared" si="1"/>
        <v>1.6623000000000001</v>
      </c>
      <c r="U39" s="14">
        <f t="shared" si="2"/>
        <v>0.5542393800267138</v>
      </c>
      <c r="V39" s="14">
        <f t="shared" si="6"/>
        <v>0.74447255156030689</v>
      </c>
    </row>
    <row r="40" spans="1:22" x14ac:dyDescent="0.35">
      <c r="A40" s="1" t="s">
        <v>36</v>
      </c>
      <c r="C40" s="2"/>
      <c r="D40" s="2"/>
      <c r="E40" s="4"/>
      <c r="F40" s="1">
        <v>0</v>
      </c>
      <c r="G40" s="8">
        <f>F40/F$50</f>
        <v>0</v>
      </c>
      <c r="H40" s="8"/>
      <c r="I40" s="8"/>
      <c r="J40" s="17">
        <f>(0.97^4*1.44)^0.2-1</f>
        <v>4.9759674695576628E-2</v>
      </c>
      <c r="K40" s="12">
        <v>0.18</v>
      </c>
      <c r="L40" s="12">
        <v>0.44</v>
      </c>
      <c r="M40" s="12">
        <v>0.08</v>
      </c>
      <c r="N40" s="9">
        <v>29</v>
      </c>
      <c r="O40" s="9">
        <v>1.84</v>
      </c>
      <c r="P40" s="10">
        <f t="shared" si="3"/>
        <v>15.760869565217391</v>
      </c>
      <c r="Q40" s="13" t="e">
        <f t="shared" si="0"/>
        <v>#VALUE!</v>
      </c>
      <c r="R40" s="13" t="e">
        <f t="shared" si="4"/>
        <v>#VALUE!</v>
      </c>
      <c r="S40" s="14">
        <f t="shared" si="5"/>
        <v>3.1673980309639056</v>
      </c>
      <c r="T40" s="14">
        <f t="shared" si="1"/>
        <v>2.6591103528083924</v>
      </c>
      <c r="U40" s="14">
        <f t="shared" si="2"/>
        <v>0.2583563637647226</v>
      </c>
      <c r="V40" s="14">
        <f t="shared" si="6"/>
        <v>-0.50828767815551323</v>
      </c>
    </row>
    <row r="41" spans="1:22" x14ac:dyDescent="0.35">
      <c r="A41" s="1" t="s">
        <v>38</v>
      </c>
      <c r="B41" s="5"/>
      <c r="C41" s="5"/>
      <c r="D41" s="5">
        <v>0.05</v>
      </c>
      <c r="E41" s="4"/>
      <c r="J41" s="12">
        <v>0.06</v>
      </c>
      <c r="K41" s="12">
        <v>0.03</v>
      </c>
      <c r="L41" s="12">
        <v>0</v>
      </c>
      <c r="M41" s="12">
        <v>7.0000000000000007E-2</v>
      </c>
      <c r="N41" s="9">
        <v>162</v>
      </c>
      <c r="O41" s="9">
        <v>9.92</v>
      </c>
      <c r="P41" s="10">
        <f t="shared" si="3"/>
        <v>16.330645161290324</v>
      </c>
      <c r="Q41" s="13" t="e">
        <f t="shared" si="0"/>
        <v>#VALUE!</v>
      </c>
      <c r="R41" s="13" t="e">
        <f t="shared" si="4"/>
        <v>#VALUE!</v>
      </c>
      <c r="S41" s="14">
        <f t="shared" si="5"/>
        <v>2.721774193548387</v>
      </c>
      <c r="T41" s="14">
        <f t="shared" si="1"/>
        <v>2.5907999999999998</v>
      </c>
      <c r="U41" s="14">
        <f t="shared" si="2"/>
        <v>1.7154239375650401E-2</v>
      </c>
      <c r="V41" s="14">
        <f t="shared" si="6"/>
        <v>-0.13097419354838724</v>
      </c>
    </row>
    <row r="42" spans="1:22" x14ac:dyDescent="0.35">
      <c r="A42" s="1" t="s">
        <v>80</v>
      </c>
      <c r="C42" s="2"/>
      <c r="D42" s="2"/>
    </row>
    <row r="43" spans="1:22" x14ac:dyDescent="0.35">
      <c r="A43" s="1" t="s">
        <v>98</v>
      </c>
      <c r="C43" s="2"/>
      <c r="D43" s="2"/>
    </row>
    <row r="44" spans="1:22" x14ac:dyDescent="0.35">
      <c r="A44" s="1" t="s">
        <v>99</v>
      </c>
      <c r="C44" s="5">
        <v>0.1</v>
      </c>
      <c r="D44" s="5">
        <v>0.13</v>
      </c>
    </row>
    <row r="45" spans="1:22" x14ac:dyDescent="0.35">
      <c r="A45" s="1" t="s">
        <v>100</v>
      </c>
      <c r="C45" s="2"/>
      <c r="D45" s="2"/>
    </row>
    <row r="46" spans="1:22" x14ac:dyDescent="0.35">
      <c r="A46" s="1" t="s">
        <v>101</v>
      </c>
      <c r="C46" s="5">
        <v>0.12</v>
      </c>
      <c r="D46" s="5">
        <v>0.2</v>
      </c>
    </row>
    <row r="47" spans="1:22" x14ac:dyDescent="0.35">
      <c r="A47" s="1" t="s">
        <v>102</v>
      </c>
      <c r="C47" s="2"/>
      <c r="D47" s="2"/>
    </row>
    <row r="48" spans="1:22" x14ac:dyDescent="0.35">
      <c r="A48" s="1" t="s">
        <v>103</v>
      </c>
      <c r="C48" s="2"/>
      <c r="D48" s="2"/>
    </row>
    <row r="49" spans="1:21" x14ac:dyDescent="0.35">
      <c r="A49" s="1" t="s">
        <v>104</v>
      </c>
      <c r="C49" s="2"/>
      <c r="D49" s="5">
        <v>0.02</v>
      </c>
    </row>
    <row r="50" spans="1:21" x14ac:dyDescent="0.35">
      <c r="B50" s="4">
        <f>SUM(B23:B41)</f>
        <v>0</v>
      </c>
      <c r="C50" s="4">
        <f>SUM(C23:C49)</f>
        <v>1</v>
      </c>
      <c r="D50" s="4">
        <f>SUM(D23:D49)</f>
        <v>0.94000000000000017</v>
      </c>
      <c r="E50" s="4"/>
      <c r="F50" s="19">
        <f>65000/1.5</f>
        <v>43333.333333333336</v>
      </c>
      <c r="G50" s="20">
        <f>SUM(G23:G41)</f>
        <v>0.58719230769230768</v>
      </c>
      <c r="H50" s="8"/>
      <c r="I50" s="8"/>
      <c r="P50" s="1">
        <f>COUNT(P23:P41)</f>
        <v>19</v>
      </c>
      <c r="Q50" s="1" t="s">
        <v>53</v>
      </c>
      <c r="R50" s="7" t="e">
        <f>SUM(R23:R41)/P50</f>
        <v>#VALUE!</v>
      </c>
      <c r="U50" s="7">
        <f>SUM(U23:U41)/P50</f>
        <v>0.46793923899272533</v>
      </c>
    </row>
    <row r="51" spans="1:21" x14ac:dyDescent="0.35">
      <c r="P51" s="1" t="s">
        <v>54</v>
      </c>
      <c r="Q51" s="7" t="e">
        <f>R50^0.5</f>
        <v>#VALUE!</v>
      </c>
      <c r="T51" s="14">
        <f>U50^0.5</f>
        <v>0.68406084451072435</v>
      </c>
    </row>
    <row r="53" spans="1:21" x14ac:dyDescent="0.35">
      <c r="A53" s="1" t="s">
        <v>58</v>
      </c>
      <c r="B53" s="2">
        <v>0.9</v>
      </c>
      <c r="C53" s="1" t="s">
        <v>65</v>
      </c>
      <c r="D53" s="21">
        <v>-0.3</v>
      </c>
    </row>
    <row r="54" spans="1:21" x14ac:dyDescent="0.35">
      <c r="A54" s="1" t="s">
        <v>59</v>
      </c>
      <c r="B54" s="2">
        <v>2</v>
      </c>
      <c r="C54" s="1" t="s">
        <v>79</v>
      </c>
      <c r="D54" s="21">
        <v>0.2</v>
      </c>
    </row>
    <row r="56" spans="1:21" x14ac:dyDescent="0.35">
      <c r="A56" t="s">
        <v>27</v>
      </c>
      <c r="B56" t="s">
        <v>81</v>
      </c>
      <c r="C56" t="s">
        <v>60</v>
      </c>
      <c r="D56" t="s">
        <v>61</v>
      </c>
      <c r="E56" t="s">
        <v>70</v>
      </c>
      <c r="F56" t="s">
        <v>71</v>
      </c>
      <c r="G56" t="s">
        <v>68</v>
      </c>
      <c r="H56" t="s">
        <v>69</v>
      </c>
      <c r="I56"/>
      <c r="K56" s="1" t="s">
        <v>56</v>
      </c>
    </row>
    <row r="57" spans="1:21" x14ac:dyDescent="0.35">
      <c r="A57" t="s">
        <v>32</v>
      </c>
      <c r="B57">
        <v>71.599999999999994</v>
      </c>
      <c r="C57">
        <v>47.18</v>
      </c>
      <c r="D57">
        <v>55.63</v>
      </c>
      <c r="E57">
        <v>39.31</v>
      </c>
      <c r="F57">
        <v>105.46</v>
      </c>
      <c r="G57">
        <v>43.17</v>
      </c>
      <c r="H57">
        <v>136.43</v>
      </c>
      <c r="I57"/>
      <c r="J57" t="s">
        <v>32</v>
      </c>
      <c r="K57">
        <v>65</v>
      </c>
    </row>
    <row r="58" spans="1:21" x14ac:dyDescent="0.35">
      <c r="A58" t="s">
        <v>33</v>
      </c>
      <c r="B58">
        <v>174.5</v>
      </c>
      <c r="C58">
        <v>125.69</v>
      </c>
      <c r="D58">
        <v>151.15</v>
      </c>
      <c r="E58">
        <v>108.74</v>
      </c>
      <c r="F58">
        <v>269.76</v>
      </c>
      <c r="G58">
        <v>121.06</v>
      </c>
      <c r="H58">
        <v>317.69</v>
      </c>
      <c r="I58"/>
      <c r="J58" t="s">
        <v>33</v>
      </c>
      <c r="K58">
        <v>167</v>
      </c>
    </row>
    <row r="59" spans="1:21" x14ac:dyDescent="0.35">
      <c r="A59" t="s">
        <v>24</v>
      </c>
      <c r="B59">
        <v>657.5</v>
      </c>
      <c r="C59">
        <v>319.67</v>
      </c>
      <c r="D59">
        <v>452.85</v>
      </c>
      <c r="E59">
        <v>191.06</v>
      </c>
      <c r="F59">
        <v>844.64</v>
      </c>
      <c r="G59">
        <v>270</v>
      </c>
      <c r="H59">
        <v>1612.7</v>
      </c>
      <c r="I59"/>
      <c r="J59" t="s">
        <v>24</v>
      </c>
      <c r="K59">
        <v>886</v>
      </c>
    </row>
    <row r="60" spans="1:21" x14ac:dyDescent="0.35">
      <c r="A60" t="s">
        <v>31</v>
      </c>
      <c r="B60">
        <v>592.70000000000005</v>
      </c>
      <c r="C60">
        <v>161.1</v>
      </c>
      <c r="D60">
        <v>637.99</v>
      </c>
      <c r="E60">
        <v>84.29</v>
      </c>
      <c r="F60">
        <v>949.29</v>
      </c>
      <c r="G60">
        <v>112.24</v>
      </c>
      <c r="H60">
        <v>1379.87</v>
      </c>
      <c r="I60"/>
      <c r="J60" t="s">
        <v>31</v>
      </c>
      <c r="K60">
        <v>384</v>
      </c>
    </row>
    <row r="61" spans="1:21" x14ac:dyDescent="0.35">
      <c r="A61" t="s">
        <v>34</v>
      </c>
      <c r="B61">
        <v>4853.3</v>
      </c>
      <c r="C61">
        <v>2312.14</v>
      </c>
      <c r="D61">
        <v>4687.82</v>
      </c>
      <c r="E61">
        <v>872</v>
      </c>
      <c r="F61">
        <v>7597.46</v>
      </c>
      <c r="G61">
        <v>2276.1999999999998</v>
      </c>
      <c r="H61">
        <v>10992.08</v>
      </c>
      <c r="I61"/>
      <c r="J61" t="s">
        <v>34</v>
      </c>
      <c r="K61">
        <v>4776</v>
      </c>
    </row>
    <row r="62" spans="1:21" x14ac:dyDescent="0.35">
      <c r="A62" t="s">
        <v>35</v>
      </c>
      <c r="B62">
        <v>341.5</v>
      </c>
      <c r="C62">
        <v>197.42</v>
      </c>
      <c r="D62">
        <v>267.23</v>
      </c>
      <c r="E62">
        <v>172.52</v>
      </c>
      <c r="F62">
        <v>520.63</v>
      </c>
      <c r="G62">
        <v>190.81</v>
      </c>
      <c r="H62">
        <v>658.2</v>
      </c>
      <c r="I62"/>
      <c r="J62" t="s">
        <v>35</v>
      </c>
      <c r="K62">
        <v>292</v>
      </c>
    </row>
    <row r="63" spans="1:21" x14ac:dyDescent="0.35">
      <c r="A63" t="s">
        <v>37</v>
      </c>
      <c r="B63">
        <v>534.35</v>
      </c>
      <c r="C63">
        <v>295.99</v>
      </c>
      <c r="D63">
        <v>396.56</v>
      </c>
      <c r="E63">
        <v>253.41</v>
      </c>
      <c r="F63">
        <v>794.22</v>
      </c>
      <c r="G63">
        <v>281.95</v>
      </c>
      <c r="H63">
        <v>1038.51</v>
      </c>
      <c r="I63"/>
      <c r="J63" t="s">
        <v>37</v>
      </c>
      <c r="K63">
        <v>506</v>
      </c>
    </row>
    <row r="64" spans="1:21" x14ac:dyDescent="0.35">
      <c r="A64" t="s">
        <v>40</v>
      </c>
      <c r="B64">
        <v>0.1</v>
      </c>
      <c r="C64">
        <v>0</v>
      </c>
      <c r="D64">
        <v>616.71</v>
      </c>
      <c r="E64">
        <v>0</v>
      </c>
      <c r="F64">
        <v>844.92</v>
      </c>
      <c r="G64">
        <v>0</v>
      </c>
      <c r="H64">
        <v>1341.52</v>
      </c>
      <c r="I64"/>
      <c r="J64" t="s">
        <v>40</v>
      </c>
      <c r="K64">
        <v>212</v>
      </c>
    </row>
    <row r="65" spans="1:11" x14ac:dyDescent="0.35">
      <c r="A65" t="s">
        <v>39</v>
      </c>
      <c r="B65">
        <v>0</v>
      </c>
      <c r="C65">
        <v>0</v>
      </c>
      <c r="D65">
        <v>104.94</v>
      </c>
      <c r="E65">
        <v>0</v>
      </c>
      <c r="F65">
        <v>134.06</v>
      </c>
      <c r="G65">
        <v>0</v>
      </c>
      <c r="H65">
        <v>212.37</v>
      </c>
      <c r="I65"/>
      <c r="J65" t="s">
        <v>39</v>
      </c>
      <c r="K65">
        <v>360</v>
      </c>
    </row>
    <row r="66" spans="1:11" x14ac:dyDescent="0.35">
      <c r="A66" t="s">
        <v>25</v>
      </c>
      <c r="B66">
        <v>0.1</v>
      </c>
      <c r="C66">
        <v>0</v>
      </c>
      <c r="D66">
        <v>142.24</v>
      </c>
      <c r="E66">
        <v>0</v>
      </c>
      <c r="F66">
        <v>183.4</v>
      </c>
      <c r="G66">
        <v>0</v>
      </c>
      <c r="H66">
        <v>283.67</v>
      </c>
      <c r="I66"/>
      <c r="J66" t="s">
        <v>25</v>
      </c>
      <c r="K66">
        <v>70</v>
      </c>
    </row>
    <row r="67" spans="1:11" x14ac:dyDescent="0.35">
      <c r="A67" t="s">
        <v>42</v>
      </c>
      <c r="B67">
        <v>0</v>
      </c>
      <c r="C67">
        <v>0</v>
      </c>
      <c r="D67">
        <v>98.49</v>
      </c>
      <c r="E67">
        <v>0</v>
      </c>
      <c r="F67">
        <v>116.37</v>
      </c>
      <c r="G67">
        <v>0</v>
      </c>
      <c r="H67">
        <v>512.23</v>
      </c>
      <c r="I67"/>
      <c r="J67" t="s">
        <v>42</v>
      </c>
      <c r="K67">
        <v>75</v>
      </c>
    </row>
    <row r="68" spans="1:11" x14ac:dyDescent="0.35">
      <c r="A68" t="s">
        <v>26</v>
      </c>
      <c r="B68">
        <v>160.35</v>
      </c>
      <c r="C68">
        <v>103.8</v>
      </c>
      <c r="D68">
        <v>284.95999999999998</v>
      </c>
      <c r="E68">
        <v>33.28</v>
      </c>
      <c r="F68">
        <v>417.18</v>
      </c>
      <c r="G68">
        <v>68.56</v>
      </c>
      <c r="H68">
        <v>517.13</v>
      </c>
      <c r="I68"/>
      <c r="J68" t="s">
        <v>26</v>
      </c>
      <c r="K68">
        <v>298</v>
      </c>
    </row>
    <row r="69" spans="1:11" x14ac:dyDescent="0.35">
      <c r="A69" t="s">
        <v>30</v>
      </c>
      <c r="B69">
        <v>632.04999999999995</v>
      </c>
      <c r="C69">
        <v>376.49</v>
      </c>
      <c r="D69">
        <v>506.84</v>
      </c>
      <c r="E69">
        <v>322.55</v>
      </c>
      <c r="F69">
        <v>983.86</v>
      </c>
      <c r="G69">
        <v>359.28</v>
      </c>
      <c r="H69">
        <v>1214.5899999999999</v>
      </c>
      <c r="I69"/>
      <c r="J69" t="s">
        <v>30</v>
      </c>
      <c r="K69">
        <v>482</v>
      </c>
    </row>
    <row r="70" spans="1:11" x14ac:dyDescent="0.35">
      <c r="A70" t="s">
        <v>28</v>
      </c>
      <c r="B70">
        <v>642.5</v>
      </c>
      <c r="C70">
        <v>279.33999999999997</v>
      </c>
      <c r="D70">
        <v>404.45</v>
      </c>
      <c r="E70">
        <v>222.41</v>
      </c>
      <c r="F70">
        <v>832.41</v>
      </c>
      <c r="G70">
        <v>250.23</v>
      </c>
      <c r="H70">
        <v>1445.22</v>
      </c>
      <c r="I70"/>
      <c r="J70" t="s">
        <v>28</v>
      </c>
      <c r="K70">
        <v>409</v>
      </c>
    </row>
    <row r="71" spans="1:11" x14ac:dyDescent="0.35">
      <c r="A71" t="s">
        <v>19</v>
      </c>
      <c r="B71">
        <v>518.04999999999995</v>
      </c>
      <c r="C71">
        <v>141.12</v>
      </c>
      <c r="D71">
        <v>283.8</v>
      </c>
      <c r="E71">
        <v>114.89</v>
      </c>
      <c r="F71">
        <v>671.76</v>
      </c>
      <c r="G71">
        <v>136.07</v>
      </c>
      <c r="H71">
        <v>1430.74</v>
      </c>
      <c r="I71"/>
      <c r="J71" t="s">
        <v>19</v>
      </c>
      <c r="K71">
        <v>171</v>
      </c>
    </row>
    <row r="72" spans="1:11" x14ac:dyDescent="0.35">
      <c r="A72" t="s">
        <v>29</v>
      </c>
      <c r="B72">
        <v>283.7</v>
      </c>
      <c r="C72">
        <v>117.32</v>
      </c>
      <c r="D72">
        <v>199.12</v>
      </c>
      <c r="E72">
        <v>48.41</v>
      </c>
      <c r="F72">
        <v>357.05</v>
      </c>
      <c r="G72">
        <v>107</v>
      </c>
      <c r="H72">
        <v>716.66</v>
      </c>
      <c r="I72"/>
      <c r="J72" t="s">
        <v>29</v>
      </c>
      <c r="K72">
        <v>222</v>
      </c>
    </row>
    <row r="73" spans="1:11" x14ac:dyDescent="0.35">
      <c r="A73" t="s">
        <v>41</v>
      </c>
      <c r="B73">
        <v>0</v>
      </c>
      <c r="C73">
        <v>0</v>
      </c>
      <c r="D73">
        <v>123.99</v>
      </c>
      <c r="E73">
        <v>0</v>
      </c>
      <c r="F73">
        <v>149.54</v>
      </c>
      <c r="G73">
        <v>0</v>
      </c>
      <c r="H73">
        <v>351.92</v>
      </c>
      <c r="I73"/>
      <c r="J73" t="s">
        <v>41</v>
      </c>
      <c r="K73">
        <v>67</v>
      </c>
    </row>
    <row r="74" spans="1:11" x14ac:dyDescent="0.35">
      <c r="A74" t="s">
        <v>36</v>
      </c>
      <c r="B74">
        <v>0.2</v>
      </c>
      <c r="C74">
        <v>0</v>
      </c>
      <c r="D74">
        <v>56.37</v>
      </c>
      <c r="E74">
        <v>0</v>
      </c>
      <c r="F74">
        <v>85.34</v>
      </c>
      <c r="G74">
        <v>0</v>
      </c>
      <c r="H74">
        <v>124.08</v>
      </c>
      <c r="I74"/>
      <c r="J74" t="s">
        <v>36</v>
      </c>
      <c r="K74">
        <v>28</v>
      </c>
    </row>
    <row r="75" spans="1:11" x14ac:dyDescent="0.35">
      <c r="A75" t="s">
        <v>38</v>
      </c>
      <c r="B75">
        <v>202.4</v>
      </c>
      <c r="C75">
        <v>101.64</v>
      </c>
      <c r="D75">
        <v>146.13999999999999</v>
      </c>
      <c r="E75">
        <v>53.74</v>
      </c>
      <c r="F75">
        <v>275.64999999999998</v>
      </c>
      <c r="G75">
        <v>84.14</v>
      </c>
      <c r="H75">
        <v>396.6</v>
      </c>
      <c r="I75"/>
      <c r="J75" t="s">
        <v>38</v>
      </c>
      <c r="K75">
        <v>159</v>
      </c>
    </row>
    <row r="76" spans="1:11" x14ac:dyDescent="0.35">
      <c r="A76" t="s">
        <v>80</v>
      </c>
      <c r="B76">
        <v>4.8</v>
      </c>
      <c r="C76">
        <v>0</v>
      </c>
      <c r="D76">
        <v>170.01</v>
      </c>
      <c r="E76">
        <v>0</v>
      </c>
      <c r="F76">
        <v>256.39</v>
      </c>
      <c r="G76">
        <v>0</v>
      </c>
      <c r="H76">
        <v>409.22</v>
      </c>
      <c r="I76"/>
      <c r="J76" t="s">
        <v>80</v>
      </c>
      <c r="K76">
        <v>196</v>
      </c>
    </row>
    <row r="77" spans="1:11" x14ac:dyDescent="0.35">
      <c r="A77" t="s">
        <v>98</v>
      </c>
      <c r="B77">
        <v>2.2999999999999998</v>
      </c>
      <c r="C77">
        <v>0</v>
      </c>
      <c r="D77">
        <v>67.08</v>
      </c>
      <c r="E77">
        <v>0</v>
      </c>
      <c r="F77">
        <v>93.99</v>
      </c>
      <c r="G77">
        <v>0</v>
      </c>
      <c r="H77">
        <v>122.75</v>
      </c>
      <c r="I77"/>
      <c r="J77" t="s">
        <v>98</v>
      </c>
      <c r="K77">
        <v>45</v>
      </c>
    </row>
    <row r="78" spans="1:11" x14ac:dyDescent="0.35">
      <c r="A78" t="s">
        <v>99</v>
      </c>
      <c r="B78">
        <v>379.55</v>
      </c>
      <c r="C78">
        <v>275.61</v>
      </c>
      <c r="D78">
        <v>369.98</v>
      </c>
      <c r="E78">
        <v>226.67</v>
      </c>
      <c r="F78">
        <v>580.53</v>
      </c>
      <c r="G78">
        <v>253.16</v>
      </c>
      <c r="H78">
        <v>721.44</v>
      </c>
      <c r="I78"/>
      <c r="J78" t="s">
        <v>99</v>
      </c>
      <c r="K78">
        <v>290</v>
      </c>
    </row>
    <row r="79" spans="1:11" x14ac:dyDescent="0.35">
      <c r="A79" t="s">
        <v>100</v>
      </c>
      <c r="B79">
        <v>40.5</v>
      </c>
      <c r="C79">
        <v>21.43</v>
      </c>
      <c r="D79">
        <v>110.06</v>
      </c>
      <c r="E79">
        <v>6.56</v>
      </c>
      <c r="F79">
        <v>158.16999999999999</v>
      </c>
      <c r="G79">
        <v>15.77</v>
      </c>
      <c r="H79">
        <v>186.81</v>
      </c>
      <c r="I79"/>
      <c r="J79" t="s">
        <v>100</v>
      </c>
      <c r="K79">
        <v>99</v>
      </c>
    </row>
    <row r="80" spans="1:11" x14ac:dyDescent="0.35">
      <c r="A80" t="s">
        <v>101</v>
      </c>
      <c r="B80">
        <v>1749.4</v>
      </c>
      <c r="C80">
        <v>352.85</v>
      </c>
      <c r="D80">
        <v>972.34</v>
      </c>
      <c r="E80">
        <v>280.99</v>
      </c>
      <c r="F80">
        <v>2265.6</v>
      </c>
      <c r="G80">
        <v>346.58</v>
      </c>
      <c r="H80">
        <v>5709.72</v>
      </c>
      <c r="I80"/>
      <c r="J80" t="s">
        <v>101</v>
      </c>
      <c r="K80">
        <v>590</v>
      </c>
    </row>
    <row r="81" spans="1:11" x14ac:dyDescent="0.35">
      <c r="A81" t="s">
        <v>102</v>
      </c>
      <c r="B81">
        <v>489.6</v>
      </c>
      <c r="C81">
        <v>57.71</v>
      </c>
      <c r="D81">
        <v>299.93</v>
      </c>
      <c r="E81">
        <v>51.93</v>
      </c>
      <c r="F81">
        <v>642.34</v>
      </c>
      <c r="G81">
        <v>60.9</v>
      </c>
      <c r="H81">
        <v>1114.55</v>
      </c>
      <c r="I81"/>
      <c r="J81" t="s">
        <v>102</v>
      </c>
      <c r="K81">
        <v>477</v>
      </c>
    </row>
    <row r="82" spans="1:11" x14ac:dyDescent="0.35">
      <c r="A82" t="s">
        <v>103</v>
      </c>
      <c r="B82">
        <v>283.5</v>
      </c>
      <c r="C82">
        <v>169.54</v>
      </c>
      <c r="D82">
        <v>305.55</v>
      </c>
      <c r="E82">
        <v>145.43</v>
      </c>
      <c r="F82">
        <v>521.41999999999996</v>
      </c>
      <c r="G82">
        <v>175.96</v>
      </c>
      <c r="H82">
        <v>627.49</v>
      </c>
      <c r="I82"/>
      <c r="J82" t="s">
        <v>103</v>
      </c>
      <c r="K82">
        <v>503</v>
      </c>
    </row>
    <row r="83" spans="1:11" x14ac:dyDescent="0.35">
      <c r="A83" t="s">
        <v>104</v>
      </c>
      <c r="B83">
        <v>0</v>
      </c>
      <c r="C83">
        <v>0</v>
      </c>
      <c r="D83">
        <v>91.13</v>
      </c>
      <c r="E83">
        <v>0</v>
      </c>
      <c r="F83">
        <v>141.63</v>
      </c>
      <c r="G83">
        <v>0</v>
      </c>
      <c r="H83">
        <v>444.54</v>
      </c>
      <c r="I83"/>
      <c r="J83" t="s">
        <v>104</v>
      </c>
      <c r="K83">
        <v>72</v>
      </c>
    </row>
    <row r="86" spans="1:11" x14ac:dyDescent="0.35">
      <c r="A86" s="1" t="s">
        <v>27</v>
      </c>
      <c r="B86" s="1" t="s">
        <v>82</v>
      </c>
      <c r="C86" s="1" t="s">
        <v>60</v>
      </c>
      <c r="D86" s="1" t="s">
        <v>61</v>
      </c>
      <c r="E86" s="1" t="s">
        <v>70</v>
      </c>
      <c r="F86" s="1" t="s">
        <v>71</v>
      </c>
      <c r="G86" s="1" t="s">
        <v>68</v>
      </c>
      <c r="H86" s="1" t="s">
        <v>69</v>
      </c>
    </row>
    <row r="87" spans="1:11" x14ac:dyDescent="0.35">
      <c r="A87" s="1" t="str">
        <f>A57</f>
        <v>KO</v>
      </c>
      <c r="B87" s="8">
        <f>B57/$K57-1</f>
        <v>0.10153846153846136</v>
      </c>
      <c r="C87" s="8">
        <f>C57/$K57-1</f>
        <v>-0.27415384615384619</v>
      </c>
      <c r="D87" s="8">
        <f>D57/$K57-1</f>
        <v>-0.14415384615384608</v>
      </c>
      <c r="E87" s="8">
        <f>E57/$K57-1</f>
        <v>-0.39523076923076916</v>
      </c>
      <c r="F87" s="8">
        <f>F57/$K57-1</f>
        <v>0.6224615384615384</v>
      </c>
      <c r="G87" s="8">
        <f>G57/$K57-1</f>
        <v>-0.33584615384615379</v>
      </c>
      <c r="H87" s="8">
        <f>H57/$K57-1</f>
        <v>1.0989230769230769</v>
      </c>
      <c r="I87" s="8"/>
      <c r="K87" s="1">
        <f>1.2^12-1.1^12</f>
        <v>5.7776720715349956</v>
      </c>
    </row>
    <row r="88" spans="1:11" x14ac:dyDescent="0.35">
      <c r="A88" s="1" t="str">
        <f t="shared" ref="A88:A113" si="8">A58</f>
        <v>PEP</v>
      </c>
      <c r="B88" s="8">
        <f t="shared" ref="B88:H88" si="9">B58/$K58-1</f>
        <v>4.4910179640718528E-2</v>
      </c>
      <c r="C88" s="8">
        <f t="shared" si="9"/>
        <v>-0.24736526946107784</v>
      </c>
      <c r="D88" s="8">
        <f t="shared" si="9"/>
        <v>-9.4910179640718573E-2</v>
      </c>
      <c r="E88" s="8">
        <f t="shared" si="9"/>
        <v>-0.34886227544910187</v>
      </c>
      <c r="F88" s="8">
        <f t="shared" si="9"/>
        <v>0.61532934131736527</v>
      </c>
      <c r="G88" s="8">
        <f t="shared" si="9"/>
        <v>-0.27508982035928142</v>
      </c>
      <c r="H88" s="8">
        <f t="shared" si="9"/>
        <v>0.90233532934131744</v>
      </c>
      <c r="I88" s="8"/>
    </row>
    <row r="89" spans="1:11" x14ac:dyDescent="0.35">
      <c r="A89" s="1" t="str">
        <f t="shared" si="8"/>
        <v>COST</v>
      </c>
      <c r="B89" s="8">
        <f t="shared" ref="B89:H89" si="10">B59/$K59-1</f>
        <v>-0.25790067720090293</v>
      </c>
      <c r="C89" s="8">
        <f t="shared" si="10"/>
        <v>-0.63919864559819417</v>
      </c>
      <c r="D89" s="8">
        <f t="shared" si="10"/>
        <v>-0.48888261851015802</v>
      </c>
      <c r="E89" s="8">
        <f t="shared" si="10"/>
        <v>-0.7843566591422122</v>
      </c>
      <c r="F89" s="8">
        <f t="shared" si="10"/>
        <v>-4.668171557562073E-2</v>
      </c>
      <c r="G89" s="8">
        <f t="shared" si="10"/>
        <v>-0.69525959367945822</v>
      </c>
      <c r="H89" s="8">
        <f t="shared" si="10"/>
        <v>0.82020316027088036</v>
      </c>
      <c r="I89" s="8"/>
    </row>
    <row r="90" spans="1:11" x14ac:dyDescent="0.35">
      <c r="A90" s="1" t="str">
        <f t="shared" si="8"/>
        <v>ULTA</v>
      </c>
      <c r="B90" s="8">
        <f t="shared" ref="B90:H90" si="11">B60/$K60-1</f>
        <v>0.54348958333333353</v>
      </c>
      <c r="C90" s="8">
        <f t="shared" si="11"/>
        <v>-0.58046875000000009</v>
      </c>
      <c r="D90" s="8">
        <f t="shared" si="11"/>
        <v>0.66143229166666662</v>
      </c>
      <c r="E90" s="8">
        <f t="shared" si="11"/>
        <v>-0.78049479166666669</v>
      </c>
      <c r="F90" s="8">
        <f t="shared" si="11"/>
        <v>1.4721093750000001</v>
      </c>
      <c r="G90" s="8">
        <f t="shared" si="11"/>
        <v>-0.70770833333333338</v>
      </c>
      <c r="H90" s="8">
        <f t="shared" si="11"/>
        <v>2.5934114583333332</v>
      </c>
      <c r="I90" s="8"/>
    </row>
    <row r="91" spans="1:11" x14ac:dyDescent="0.35">
      <c r="A91" s="1" t="str">
        <f t="shared" si="8"/>
        <v>BKNG</v>
      </c>
      <c r="B91" s="8">
        <f t="shared" ref="B91:H91" si="12">B61/$K61-1</f>
        <v>1.6185092127303236E-2</v>
      </c>
      <c r="C91" s="8">
        <f t="shared" si="12"/>
        <v>-0.51588358458961481</v>
      </c>
      <c r="D91" s="8">
        <f t="shared" si="12"/>
        <v>-1.8463149078727037E-2</v>
      </c>
      <c r="E91" s="8">
        <f t="shared" si="12"/>
        <v>-0.81742043551088783</v>
      </c>
      <c r="F91" s="8">
        <f t="shared" si="12"/>
        <v>0.59075795644891116</v>
      </c>
      <c r="G91" s="8">
        <f t="shared" si="12"/>
        <v>-0.52340871021775548</v>
      </c>
      <c r="H91" s="8">
        <f t="shared" si="12"/>
        <v>1.3015242881072027</v>
      </c>
      <c r="I91" s="8"/>
    </row>
    <row r="92" spans="1:11" x14ac:dyDescent="0.35">
      <c r="A92" s="1" t="str">
        <f t="shared" si="8"/>
        <v>V</v>
      </c>
      <c r="B92" s="8">
        <f t="shared" ref="B92:H92" si="13">B62/$K62-1</f>
        <v>0.16952054794520555</v>
      </c>
      <c r="C92" s="8">
        <f t="shared" si="13"/>
        <v>-0.32390410958904114</v>
      </c>
      <c r="D92" s="8">
        <f t="shared" si="13"/>
        <v>-8.4828767123287574E-2</v>
      </c>
      <c r="E92" s="8">
        <f t="shared" si="13"/>
        <v>-0.40917808219178076</v>
      </c>
      <c r="F92" s="8">
        <f t="shared" si="13"/>
        <v>0.78297945205479458</v>
      </c>
      <c r="G92" s="8">
        <f t="shared" si="13"/>
        <v>-0.34654109589041093</v>
      </c>
      <c r="H92" s="8">
        <f t="shared" si="13"/>
        <v>1.254109589041096</v>
      </c>
      <c r="I92" s="8"/>
    </row>
    <row r="93" spans="1:11" x14ac:dyDescent="0.35">
      <c r="A93" s="1" t="str">
        <f t="shared" si="8"/>
        <v>MA</v>
      </c>
      <c r="B93" s="8">
        <f t="shared" ref="B93:H93" si="14">B63/$K63-1</f>
        <v>5.6027667984189788E-2</v>
      </c>
      <c r="C93" s="8">
        <f t="shared" si="14"/>
        <v>-0.41503952569169955</v>
      </c>
      <c r="D93" s="8">
        <f t="shared" si="14"/>
        <v>-0.21628458498023717</v>
      </c>
      <c r="E93" s="8">
        <f t="shared" si="14"/>
        <v>-0.4991897233201581</v>
      </c>
      <c r="F93" s="8">
        <f t="shared" si="14"/>
        <v>0.56960474308300402</v>
      </c>
      <c r="G93" s="8">
        <f t="shared" si="14"/>
        <v>-0.44278656126482219</v>
      </c>
      <c r="H93" s="8">
        <f t="shared" si="14"/>
        <v>1.0523913043478261</v>
      </c>
      <c r="I93" s="8"/>
    </row>
    <row r="94" spans="1:11" x14ac:dyDescent="0.35">
      <c r="A94" s="1" t="str">
        <f t="shared" si="8"/>
        <v>FSLR</v>
      </c>
      <c r="B94" s="8">
        <f t="shared" ref="B94:H94" si="15">B64/$K64-1</f>
        <v>-0.99952830188679243</v>
      </c>
      <c r="C94" s="8">
        <f t="shared" si="15"/>
        <v>-1</v>
      </c>
      <c r="D94" s="8">
        <f t="shared" si="15"/>
        <v>1.9090094339622645</v>
      </c>
      <c r="E94" s="8">
        <f t="shared" si="15"/>
        <v>-1</v>
      </c>
      <c r="F94" s="8">
        <f t="shared" si="15"/>
        <v>2.9854716981132072</v>
      </c>
      <c r="G94" s="8">
        <f t="shared" si="15"/>
        <v>-1</v>
      </c>
      <c r="H94" s="8">
        <f t="shared" si="15"/>
        <v>5.327924528301887</v>
      </c>
      <c r="I94" s="8"/>
    </row>
    <row r="95" spans="1:11" x14ac:dyDescent="0.35">
      <c r="A95" s="1" t="str">
        <f t="shared" si="8"/>
        <v>TSLA</v>
      </c>
      <c r="B95" s="8">
        <f>B65/$K65-1</f>
        <v>-1</v>
      </c>
      <c r="C95" s="8">
        <f t="shared" ref="B95:H95" si="16">C65/$K65-1</f>
        <v>-1</v>
      </c>
      <c r="D95" s="8">
        <f t="shared" si="16"/>
        <v>-0.70850000000000002</v>
      </c>
      <c r="E95" s="8">
        <f t="shared" si="16"/>
        <v>-1</v>
      </c>
      <c r="F95" s="8">
        <f t="shared" si="16"/>
        <v>-0.62761111111111112</v>
      </c>
      <c r="G95" s="8">
        <f t="shared" si="16"/>
        <v>-1</v>
      </c>
      <c r="H95" s="8">
        <f t="shared" si="16"/>
        <v>-0.41008333333333336</v>
      </c>
      <c r="I95" s="8"/>
    </row>
    <row r="96" spans="1:11" x14ac:dyDescent="0.35">
      <c r="A96" s="1" t="str">
        <f t="shared" si="8"/>
        <v>ON</v>
      </c>
      <c r="B96" s="8">
        <f t="shared" ref="B96:H96" si="17">B66/$K66-1</f>
        <v>-0.99857142857142855</v>
      </c>
      <c r="C96" s="8">
        <f t="shared" si="17"/>
        <v>-1</v>
      </c>
      <c r="D96" s="8">
        <f t="shared" si="17"/>
        <v>1.032</v>
      </c>
      <c r="E96" s="8">
        <f t="shared" si="17"/>
        <v>-1</v>
      </c>
      <c r="F96" s="8">
        <f t="shared" si="17"/>
        <v>1.62</v>
      </c>
      <c r="G96" s="8">
        <f t="shared" si="17"/>
        <v>-1</v>
      </c>
      <c r="H96" s="8">
        <f t="shared" si="17"/>
        <v>3.0524285714285719</v>
      </c>
      <c r="I96" s="8"/>
    </row>
    <row r="97" spans="1:9" x14ac:dyDescent="0.35">
      <c r="A97" s="1" t="str">
        <f t="shared" si="8"/>
        <v>MCHP</v>
      </c>
      <c r="B97" s="8">
        <f t="shared" ref="B97:H97" si="18">B67/$K67-1</f>
        <v>-1</v>
      </c>
      <c r="C97" s="8">
        <f t="shared" si="18"/>
        <v>-1</v>
      </c>
      <c r="D97" s="8">
        <f t="shared" si="18"/>
        <v>0.31319999999999992</v>
      </c>
      <c r="E97" s="8">
        <f t="shared" si="18"/>
        <v>-1</v>
      </c>
      <c r="F97" s="8">
        <f t="shared" si="18"/>
        <v>0.55160000000000009</v>
      </c>
      <c r="G97" s="8">
        <f t="shared" si="18"/>
        <v>-1</v>
      </c>
      <c r="H97" s="8">
        <f t="shared" si="18"/>
        <v>5.8297333333333334</v>
      </c>
      <c r="I97" s="8"/>
    </row>
    <row r="98" spans="1:9" x14ac:dyDescent="0.35">
      <c r="A98" s="1" t="str">
        <f t="shared" si="8"/>
        <v>CRM</v>
      </c>
      <c r="B98" s="8">
        <f t="shared" ref="B98:H98" si="19">B68/$K68-1</f>
        <v>-0.4619127516778524</v>
      </c>
      <c r="C98" s="8">
        <f t="shared" si="19"/>
        <v>-0.65167785234899323</v>
      </c>
      <c r="D98" s="8">
        <f t="shared" si="19"/>
        <v>-4.3758389261745023E-2</v>
      </c>
      <c r="E98" s="8">
        <f t="shared" si="19"/>
        <v>-0.8883221476510067</v>
      </c>
      <c r="F98" s="8">
        <f t="shared" si="19"/>
        <v>0.39993288590604026</v>
      </c>
      <c r="G98" s="8">
        <f t="shared" si="19"/>
        <v>-0.76993288590604025</v>
      </c>
      <c r="H98" s="8">
        <f t="shared" si="19"/>
        <v>0.73533557046979858</v>
      </c>
      <c r="I98" s="8"/>
    </row>
    <row r="99" spans="1:9" x14ac:dyDescent="0.35">
      <c r="A99" s="1" t="str">
        <f t="shared" si="8"/>
        <v>ADBE</v>
      </c>
      <c r="B99" s="8">
        <f t="shared" ref="B99:H99" si="20">B69/$K69-1</f>
        <v>0.31130705394190872</v>
      </c>
      <c r="C99" s="8">
        <f t="shared" si="20"/>
        <v>-0.21890041493775936</v>
      </c>
      <c r="D99" s="8">
        <f t="shared" si="20"/>
        <v>5.1535269709543474E-2</v>
      </c>
      <c r="E99" s="8">
        <f t="shared" si="20"/>
        <v>-0.33080912863070533</v>
      </c>
      <c r="F99" s="8">
        <f t="shared" si="20"/>
        <v>1.0412033195020749</v>
      </c>
      <c r="G99" s="8">
        <f t="shared" si="20"/>
        <v>-0.25460580912863073</v>
      </c>
      <c r="H99" s="8">
        <f t="shared" si="20"/>
        <v>1.519896265560166</v>
      </c>
      <c r="I99" s="8"/>
    </row>
    <row r="100" spans="1:9" x14ac:dyDescent="0.35">
      <c r="A100" s="1" t="str">
        <f t="shared" si="8"/>
        <v>MSFT</v>
      </c>
      <c r="B100" s="8">
        <f t="shared" ref="B100:H100" si="21">B70/$K70-1</f>
        <v>0.57090464547677255</v>
      </c>
      <c r="C100" s="8">
        <f t="shared" si="21"/>
        <v>-0.31701711491442552</v>
      </c>
      <c r="D100" s="8">
        <f t="shared" si="21"/>
        <v>-1.1124694376528188E-2</v>
      </c>
      <c r="E100" s="8">
        <f t="shared" si="21"/>
        <v>-0.45621026894865524</v>
      </c>
      <c r="F100" s="8">
        <f t="shared" si="21"/>
        <v>1.0352322738386306</v>
      </c>
      <c r="G100" s="8">
        <f t="shared" si="21"/>
        <v>-0.38819070904645481</v>
      </c>
      <c r="H100" s="8">
        <f t="shared" si="21"/>
        <v>2.5335452322738385</v>
      </c>
      <c r="I100" s="8"/>
    </row>
    <row r="101" spans="1:9" x14ac:dyDescent="0.35">
      <c r="A101" s="1" t="str">
        <f t="shared" si="8"/>
        <v>GOOG</v>
      </c>
      <c r="B101" s="8">
        <f t="shared" ref="B101:H101" si="22">B71/$K71-1</f>
        <v>2.0295321637426897</v>
      </c>
      <c r="C101" s="8">
        <f t="shared" si="22"/>
        <v>-0.17473684210526308</v>
      </c>
      <c r="D101" s="8">
        <f t="shared" si="22"/>
        <v>0.6596491228070176</v>
      </c>
      <c r="E101" s="8">
        <f t="shared" si="22"/>
        <v>-0.32812865497076027</v>
      </c>
      <c r="F101" s="8">
        <f t="shared" si="22"/>
        <v>2.9284210526315788</v>
      </c>
      <c r="G101" s="8">
        <f t="shared" si="22"/>
        <v>-0.20426900584795327</v>
      </c>
      <c r="H101" s="8">
        <f t="shared" si="22"/>
        <v>7.3669005847953208</v>
      </c>
      <c r="I101" s="8"/>
    </row>
    <row r="102" spans="1:9" x14ac:dyDescent="0.35">
      <c r="A102" s="1" t="str">
        <f t="shared" si="8"/>
        <v>AAPL</v>
      </c>
      <c r="B102" s="8">
        <f t="shared" ref="B102:H102" si="23">B72/$K72-1</f>
        <v>0.27792792792792786</v>
      </c>
      <c r="C102" s="8">
        <f t="shared" si="23"/>
        <v>-0.4715315315315316</v>
      </c>
      <c r="D102" s="8">
        <f t="shared" si="23"/>
        <v>-0.10306306306306301</v>
      </c>
      <c r="E102" s="8">
        <f t="shared" si="23"/>
        <v>-0.78193693693693689</v>
      </c>
      <c r="F102" s="8">
        <f t="shared" si="23"/>
        <v>0.60833333333333339</v>
      </c>
      <c r="G102" s="8">
        <f t="shared" si="23"/>
        <v>-0.51801801801801806</v>
      </c>
      <c r="H102" s="8">
        <f t="shared" si="23"/>
        <v>2.2281981981981982</v>
      </c>
      <c r="I102" s="8"/>
    </row>
    <row r="103" spans="1:9" x14ac:dyDescent="0.35">
      <c r="A103" s="1" t="str">
        <f t="shared" si="8"/>
        <v>ENPH</v>
      </c>
      <c r="B103" s="8">
        <f t="shared" ref="B103:H103" si="24">B73/$K73-1</f>
        <v>-1</v>
      </c>
      <c r="C103" s="8">
        <f t="shared" si="24"/>
        <v>-1</v>
      </c>
      <c r="D103" s="8">
        <f t="shared" si="24"/>
        <v>0.85059701492537299</v>
      </c>
      <c r="E103" s="8">
        <f t="shared" si="24"/>
        <v>-1</v>
      </c>
      <c r="F103" s="8">
        <f t="shared" si="24"/>
        <v>1.2319402985074626</v>
      </c>
      <c r="G103" s="8">
        <f t="shared" si="24"/>
        <v>-1</v>
      </c>
      <c r="H103" s="8">
        <f t="shared" si="24"/>
        <v>4.2525373134328364</v>
      </c>
      <c r="I103" s="8"/>
    </row>
    <row r="104" spans="1:9" x14ac:dyDescent="0.35">
      <c r="A104" s="1" t="str">
        <f t="shared" si="8"/>
        <v>PFE</v>
      </c>
      <c r="B104" s="8">
        <f t="shared" ref="B104:H104" si="25">B74/$K74-1</f>
        <v>-0.99285714285714288</v>
      </c>
      <c r="C104" s="8">
        <f t="shared" si="25"/>
        <v>-1</v>
      </c>
      <c r="D104" s="8">
        <f t="shared" si="25"/>
        <v>1.0132142857142856</v>
      </c>
      <c r="E104" s="8">
        <f t="shared" si="25"/>
        <v>-1</v>
      </c>
      <c r="F104" s="8">
        <f t="shared" si="25"/>
        <v>2.047857142857143</v>
      </c>
      <c r="G104" s="8">
        <f t="shared" si="25"/>
        <v>-1</v>
      </c>
      <c r="H104" s="8">
        <f t="shared" si="25"/>
        <v>3.4314285714285715</v>
      </c>
      <c r="I104" s="8"/>
    </row>
    <row r="105" spans="1:9" x14ac:dyDescent="0.35">
      <c r="A105" s="1" t="str">
        <f t="shared" si="8"/>
        <v>JNJ</v>
      </c>
      <c r="B105" s="8">
        <f t="shared" ref="B105:H105" si="26">B75/$K75-1</f>
        <v>0.27295597484276723</v>
      </c>
      <c r="C105" s="8">
        <f t="shared" si="26"/>
        <v>-0.36075471698113204</v>
      </c>
      <c r="D105" s="8">
        <f t="shared" si="26"/>
        <v>-8.0880503144654226E-2</v>
      </c>
      <c r="E105" s="8">
        <f t="shared" si="26"/>
        <v>-0.66201257861635221</v>
      </c>
      <c r="F105" s="8">
        <f t="shared" si="26"/>
        <v>0.73364779874213815</v>
      </c>
      <c r="G105" s="8">
        <f t="shared" si="26"/>
        <v>-0.47081761006289313</v>
      </c>
      <c r="H105" s="8">
        <f t="shared" si="26"/>
        <v>1.4943396226415095</v>
      </c>
      <c r="I105" s="8"/>
    </row>
    <row r="106" spans="1:9" x14ac:dyDescent="0.35">
      <c r="A106" s="1" t="str">
        <f t="shared" si="8"/>
        <v>AMZN</v>
      </c>
      <c r="B106" s="8">
        <f t="shared" ref="B106:H106" si="27">B76/$K76-1</f>
        <v>-0.97551020408163269</v>
      </c>
      <c r="C106" s="8">
        <f t="shared" si="27"/>
        <v>-1</v>
      </c>
      <c r="D106" s="8">
        <f t="shared" si="27"/>
        <v>-0.13260204081632654</v>
      </c>
      <c r="E106" s="8">
        <f t="shared" si="27"/>
        <v>-1</v>
      </c>
      <c r="F106" s="8">
        <f t="shared" si="27"/>
        <v>0.30811224489795919</v>
      </c>
      <c r="G106" s="8">
        <f t="shared" si="27"/>
        <v>-1</v>
      </c>
      <c r="H106" s="8">
        <f t="shared" si="27"/>
        <v>1.0878571428571431</v>
      </c>
      <c r="I106" s="8"/>
    </row>
    <row r="107" spans="1:9" x14ac:dyDescent="0.35">
      <c r="A107" s="1" t="str">
        <f t="shared" si="8"/>
        <v>BAC</v>
      </c>
      <c r="B107" s="8">
        <f t="shared" ref="B107:H107" si="28">B77/$K77-1</f>
        <v>-0.94888888888888889</v>
      </c>
      <c r="C107" s="8">
        <f t="shared" si="28"/>
        <v>-1</v>
      </c>
      <c r="D107" s="8">
        <f t="shared" si="28"/>
        <v>0.49066666666666658</v>
      </c>
      <c r="E107" s="8">
        <f t="shared" si="28"/>
        <v>-1</v>
      </c>
      <c r="F107" s="8">
        <f t="shared" si="28"/>
        <v>1.0886666666666667</v>
      </c>
      <c r="G107" s="8">
        <f t="shared" si="28"/>
        <v>-1</v>
      </c>
      <c r="H107" s="8">
        <f t="shared" si="28"/>
        <v>1.7277777777777779</v>
      </c>
    </row>
    <row r="108" spans="1:9" x14ac:dyDescent="0.35">
      <c r="A108" s="1" t="str">
        <f t="shared" si="8"/>
        <v>AXP</v>
      </c>
      <c r="B108" s="8">
        <f t="shared" ref="B108:H108" si="29">B78/$K78-1</f>
        <v>0.30879310344827582</v>
      </c>
      <c r="C108" s="8">
        <f t="shared" si="29"/>
        <v>-4.9620689655172412E-2</v>
      </c>
      <c r="D108" s="8">
        <f t="shared" si="29"/>
        <v>0.2757931034482759</v>
      </c>
      <c r="E108" s="8">
        <f t="shared" si="29"/>
        <v>-0.2183793103448276</v>
      </c>
      <c r="F108" s="8">
        <f t="shared" si="29"/>
        <v>1.0018275862068964</v>
      </c>
      <c r="G108" s="8">
        <f t="shared" si="29"/>
        <v>-0.12703448275862073</v>
      </c>
      <c r="H108" s="8">
        <f t="shared" si="29"/>
        <v>1.4877241379310346</v>
      </c>
    </row>
    <row r="109" spans="1:9" x14ac:dyDescent="0.35">
      <c r="A109" s="1" t="str">
        <f t="shared" si="8"/>
        <v>DIS</v>
      </c>
      <c r="B109" s="8">
        <f t="shared" ref="B109:H109" si="30">B79/$K79-1</f>
        <v>-0.59090909090909083</v>
      </c>
      <c r="C109" s="8">
        <f t="shared" si="30"/>
        <v>-0.78353535353535353</v>
      </c>
      <c r="D109" s="8">
        <f t="shared" si="30"/>
        <v>0.11171717171717166</v>
      </c>
      <c r="E109" s="8">
        <f t="shared" si="30"/>
        <v>-0.93373737373737375</v>
      </c>
      <c r="F109" s="8">
        <f t="shared" si="30"/>
        <v>0.59767676767676758</v>
      </c>
      <c r="G109" s="8">
        <f t="shared" si="30"/>
        <v>-0.84070707070707074</v>
      </c>
      <c r="H109" s="8">
        <f t="shared" si="30"/>
        <v>0.88696969696969696</v>
      </c>
    </row>
    <row r="110" spans="1:9" x14ac:dyDescent="0.35">
      <c r="A110" s="1" t="str">
        <f t="shared" si="8"/>
        <v>META</v>
      </c>
      <c r="B110" s="8">
        <f t="shared" ref="B110:H110" si="31">B80/$K80-1</f>
        <v>1.9650847457627121</v>
      </c>
      <c r="C110" s="8">
        <f t="shared" si="31"/>
        <v>-0.40194915254237285</v>
      </c>
      <c r="D110" s="8">
        <f t="shared" si="31"/>
        <v>0.64803389830508484</v>
      </c>
      <c r="E110" s="8">
        <f t="shared" si="31"/>
        <v>-0.52374576271186446</v>
      </c>
      <c r="F110" s="8">
        <f t="shared" si="31"/>
        <v>2.84</v>
      </c>
      <c r="G110" s="8">
        <f t="shared" si="31"/>
        <v>-0.41257627118644069</v>
      </c>
      <c r="H110" s="8">
        <f t="shared" si="31"/>
        <v>8.6774915254237293</v>
      </c>
    </row>
    <row r="111" spans="1:9" x14ac:dyDescent="0.35">
      <c r="A111" s="1" t="str">
        <f t="shared" si="8"/>
        <v>MCO</v>
      </c>
      <c r="B111" s="8">
        <f t="shared" ref="B111:H111" si="32">B81/$K81-1</f>
        <v>2.6415094339622636E-2</v>
      </c>
      <c r="C111" s="8">
        <f t="shared" si="32"/>
        <v>-0.87901467505241093</v>
      </c>
      <c r="D111" s="8">
        <f t="shared" si="32"/>
        <v>-0.37121593291404609</v>
      </c>
      <c r="E111" s="8">
        <f t="shared" si="32"/>
        <v>-0.89113207547169815</v>
      </c>
      <c r="F111" s="8">
        <f t="shared" si="32"/>
        <v>0.34662473794549276</v>
      </c>
      <c r="G111" s="8">
        <f t="shared" si="32"/>
        <v>-0.87232704402515726</v>
      </c>
      <c r="H111" s="8">
        <f t="shared" si="32"/>
        <v>1.3365828092243186</v>
      </c>
    </row>
    <row r="112" spans="1:9" x14ac:dyDescent="0.35">
      <c r="A112" s="1" t="str">
        <f>A82</f>
        <v>SPGI</v>
      </c>
      <c r="B112" s="8">
        <f>B82/$K82-1</f>
        <v>-0.43638170974155066</v>
      </c>
      <c r="C112" s="8">
        <f>C82/$K82-1</f>
        <v>-0.66294234592445322</v>
      </c>
      <c r="D112" s="8">
        <f>D82/$K82-1</f>
        <v>-0.39254473161033798</v>
      </c>
      <c r="E112" s="8">
        <f>E82/$K82-1</f>
        <v>-0.71087475149105361</v>
      </c>
      <c r="F112" s="8">
        <f>F82/$K82-1</f>
        <v>3.6620278330019795E-2</v>
      </c>
      <c r="G112" s="8">
        <f>G82/$K82-1</f>
        <v>-0.65017892644135189</v>
      </c>
      <c r="H112" s="8">
        <f>H82/$K82-1</f>
        <v>0.24749502982107363</v>
      </c>
    </row>
    <row r="113" spans="1:24" x14ac:dyDescent="0.35">
      <c r="A113" s="1" t="str">
        <f t="shared" si="8"/>
        <v>UBER</v>
      </c>
      <c r="B113" s="8">
        <f t="shared" ref="B113:H113" si="33">B83/$K83-1</f>
        <v>-1</v>
      </c>
      <c r="C113" s="8">
        <f t="shared" si="33"/>
        <v>-1</v>
      </c>
      <c r="D113" s="8">
        <f t="shared" si="33"/>
        <v>0.26569444444444446</v>
      </c>
      <c r="E113" s="8">
        <f t="shared" si="33"/>
        <v>-1</v>
      </c>
      <c r="F113" s="8">
        <f t="shared" si="33"/>
        <v>0.96708333333333329</v>
      </c>
      <c r="G113" s="8">
        <f t="shared" si="33"/>
        <v>-1</v>
      </c>
      <c r="H113" s="8">
        <f t="shared" si="33"/>
        <v>5.1741666666666672</v>
      </c>
    </row>
    <row r="115" spans="1:24" x14ac:dyDescent="0.35">
      <c r="A115" s="1" t="s">
        <v>27</v>
      </c>
      <c r="B115" s="15" t="s">
        <v>62</v>
      </c>
      <c r="C115" s="15" t="s">
        <v>63</v>
      </c>
      <c r="D115" s="15" t="s">
        <v>64</v>
      </c>
      <c r="E115" s="15" t="s">
        <v>72</v>
      </c>
      <c r="F115" s="15" t="s">
        <v>73</v>
      </c>
      <c r="G115" s="15" t="s">
        <v>66</v>
      </c>
      <c r="H115" s="24" t="s">
        <v>86</v>
      </c>
      <c r="I115" s="24"/>
      <c r="L115" s="15" t="s">
        <v>62</v>
      </c>
      <c r="M115" s="15" t="s">
        <v>63</v>
      </c>
      <c r="N115" s="15" t="s">
        <v>64</v>
      </c>
      <c r="O115" s="15" t="s">
        <v>72</v>
      </c>
      <c r="P115" s="15" t="s">
        <v>73</v>
      </c>
      <c r="Q115" s="15" t="s">
        <v>75</v>
      </c>
      <c r="R115" s="15" t="s">
        <v>74</v>
      </c>
      <c r="S115" s="15" t="s">
        <v>76</v>
      </c>
      <c r="T115" s="15" t="s">
        <v>77</v>
      </c>
      <c r="U115" s="15" t="s">
        <v>78</v>
      </c>
      <c r="V115" s="24" t="s">
        <v>67</v>
      </c>
      <c r="W115" s="30" t="s">
        <v>83</v>
      </c>
      <c r="X115" s="30" t="s">
        <v>84</v>
      </c>
    </row>
    <row r="116" spans="1:24" x14ac:dyDescent="0.35">
      <c r="A116" s="1" t="str">
        <f>A87</f>
        <v>KO</v>
      </c>
      <c r="B116" s="1">
        <f>IF(B87&gt;0,1,0)</f>
        <v>1</v>
      </c>
      <c r="C116" s="1">
        <f>IF(C87&gt;D$53,1,0)</f>
        <v>1</v>
      </c>
      <c r="D116" s="1">
        <f>IF(D87&gt;0,1,0)</f>
        <v>0</v>
      </c>
      <c r="E116" s="1">
        <f>IF(F87&gt;-E87,1,0)</f>
        <v>1</v>
      </c>
      <c r="F116" s="1">
        <f>IF(H87&gt;-$B$54*G87,1,0)</f>
        <v>1</v>
      </c>
      <c r="G116" s="1">
        <f>SUM(B116:F116)-3</f>
        <v>1</v>
      </c>
      <c r="H116" s="1">
        <f>IF(K57&lt;S116,1,0)</f>
        <v>0</v>
      </c>
      <c r="K116" s="26">
        <v>0</v>
      </c>
      <c r="L116" s="27">
        <f>B57</f>
        <v>71.599999999999994</v>
      </c>
      <c r="M116" s="27">
        <f>C57/0.7</f>
        <v>67.400000000000006</v>
      </c>
      <c r="N116" s="27">
        <f>D57</f>
        <v>55.63</v>
      </c>
      <c r="O116" s="27">
        <f>(E57+F57)/2</f>
        <v>72.384999999999991</v>
      </c>
      <c r="P116" s="27">
        <f>(G57*2+H57)*(1/3)</f>
        <v>74.256666666666661</v>
      </c>
      <c r="Q116" s="28">
        <f>MIN(L116:P116)</f>
        <v>55.63</v>
      </c>
      <c r="R116" s="28">
        <f>IF(COUNTIF(L116:P116,"="&amp;K116)&gt;1,0,_xlfn.MINIFS(L116:P116,L116:P116,"&gt;"&amp;Q116))</f>
        <v>67.400000000000006</v>
      </c>
      <c r="S116" s="23">
        <f>MIN(AVERAGE(Q116:R116),V116*(1-$D$54))</f>
        <v>58.656666666666666</v>
      </c>
      <c r="T116" s="29">
        <f>MAX(L116:P116)</f>
        <v>74.256666666666661</v>
      </c>
      <c r="U116" s="29">
        <f>_xlfn.MAXIFS(L116:P116,L116:P116,"&lt;"&amp;T116)</f>
        <v>72.384999999999991</v>
      </c>
      <c r="V116" s="25">
        <f>AVERAGE(T116:U116)</f>
        <v>73.320833333333326</v>
      </c>
      <c r="W116" s="8">
        <f>IFERROR(MIN(V116/S116-1,200%),0)</f>
        <v>0.24999999999999978</v>
      </c>
      <c r="X116" s="8">
        <f>V116/K57-1</f>
        <v>0.12801282051282037</v>
      </c>
    </row>
    <row r="117" spans="1:24" x14ac:dyDescent="0.35">
      <c r="A117" s="1" t="str">
        <f>A88</f>
        <v>PEP</v>
      </c>
      <c r="B117" s="1">
        <f>IF(B88&gt;0,1,0)</f>
        <v>1</v>
      </c>
      <c r="C117" s="1">
        <f>IF(C88&gt;D$53,1,0)</f>
        <v>1</v>
      </c>
      <c r="D117" s="1">
        <f>IF(D88&gt;0,1,0)</f>
        <v>0</v>
      </c>
      <c r="E117" s="1">
        <f>IF(F88&gt;-B$54*E88,1,0)</f>
        <v>0</v>
      </c>
      <c r="F117" s="1">
        <f>IF(H88&gt;-$B$54*G88,1,0)</f>
        <v>1</v>
      </c>
      <c r="G117" s="1">
        <f t="shared" ref="G117:G134" si="34">SUM(B117:F117)-3</f>
        <v>0</v>
      </c>
      <c r="H117" s="1">
        <f>IF(K58&lt;S117,1,0)</f>
        <v>0</v>
      </c>
      <c r="K117" s="26">
        <v>0</v>
      </c>
      <c r="L117" s="27">
        <f>B58</f>
        <v>174.5</v>
      </c>
      <c r="M117" s="27">
        <f>C58/0.7</f>
        <v>179.55714285714288</v>
      </c>
      <c r="N117" s="27">
        <f>D58</f>
        <v>151.15</v>
      </c>
      <c r="O117" s="27">
        <f>(E58+F58)/2</f>
        <v>189.25</v>
      </c>
      <c r="P117" s="27">
        <f>(G58*2+H58)*(1/3)</f>
        <v>186.6033333333333</v>
      </c>
      <c r="Q117" s="28">
        <f t="shared" ref="Q117:Q134" si="35">MIN(L117:P117)</f>
        <v>151.15</v>
      </c>
      <c r="R117" s="28">
        <f t="shared" ref="R117:R134" si="36">IF(COUNTIF(L117:P117,"="&amp;K117)&gt;1,0,_xlfn.MINIFS(L117:P117,L117:P117,"&gt;"&amp;Q117))</f>
        <v>174.5</v>
      </c>
      <c r="S117" s="23">
        <f t="shared" ref="S117:S135" si="37">MIN(AVERAGE(Q117:R117),V117*(1-$D$54))</f>
        <v>150.34133333333332</v>
      </c>
      <c r="T117" s="29">
        <f t="shared" ref="T117:T134" si="38">MAX(L117:P117)</f>
        <v>189.25</v>
      </c>
      <c r="U117" s="29">
        <f t="shared" ref="U117:U134" si="39">_xlfn.MAXIFS(L117:P117,L117:P117,"&lt;"&amp;T117)</f>
        <v>186.6033333333333</v>
      </c>
      <c r="V117" s="25">
        <f t="shared" ref="V117:V135" si="40">AVERAGE(T117:U117)</f>
        <v>187.92666666666665</v>
      </c>
      <c r="W117" s="8">
        <f t="shared" ref="W117:W135" si="41">IFERROR(MIN(V117/S117-1,200%),0)</f>
        <v>0.25</v>
      </c>
      <c r="X117" s="8">
        <f>V117/K58-1</f>
        <v>0.12530938123752478</v>
      </c>
    </row>
    <row r="118" spans="1:24" x14ac:dyDescent="0.35">
      <c r="A118" s="1" t="str">
        <f>A89</f>
        <v>COST</v>
      </c>
      <c r="B118" s="1">
        <f>IF(B89&gt;0,1,0)</f>
        <v>0</v>
      </c>
      <c r="C118" s="1">
        <f>IF(C89&gt;D$53,1,0)</f>
        <v>0</v>
      </c>
      <c r="D118" s="1">
        <f>IF(D89&gt;0,1,0)</f>
        <v>0</v>
      </c>
      <c r="E118" s="1">
        <f>IF(F89&gt;-B$54*E89,1,0)</f>
        <v>0</v>
      </c>
      <c r="F118" s="1">
        <f>IF(H89&gt;-$B$54*G89,1,0)</f>
        <v>0</v>
      </c>
      <c r="G118" s="1">
        <f t="shared" si="34"/>
        <v>-3</v>
      </c>
      <c r="H118" s="1">
        <f>IF(K59&lt;S118,1,0)</f>
        <v>0</v>
      </c>
      <c r="K118" s="26">
        <v>0</v>
      </c>
      <c r="L118" s="27">
        <f>B59</f>
        <v>657.5</v>
      </c>
      <c r="M118" s="27">
        <f>C59/0.7</f>
        <v>456.67142857142863</v>
      </c>
      <c r="N118" s="27">
        <f>D59</f>
        <v>452.85</v>
      </c>
      <c r="O118" s="27">
        <f>(E59+F59)/2</f>
        <v>517.85</v>
      </c>
      <c r="P118" s="27">
        <f>(G59*2+H59)*(1/3)</f>
        <v>717.56666666666661</v>
      </c>
      <c r="Q118" s="28">
        <f t="shared" si="35"/>
        <v>452.85</v>
      </c>
      <c r="R118" s="28">
        <f t="shared" si="36"/>
        <v>456.67142857142863</v>
      </c>
      <c r="S118" s="23">
        <f t="shared" si="37"/>
        <v>454.76071428571436</v>
      </c>
      <c r="T118" s="29">
        <f t="shared" si="38"/>
        <v>717.56666666666661</v>
      </c>
      <c r="U118" s="29">
        <f t="shared" si="39"/>
        <v>657.5</v>
      </c>
      <c r="V118" s="25">
        <f t="shared" si="40"/>
        <v>687.5333333333333</v>
      </c>
      <c r="W118" s="8">
        <f t="shared" si="41"/>
        <v>0.51185736088314338</v>
      </c>
      <c r="X118" s="8">
        <f>V118/K59-1</f>
        <v>-0.22400300978179088</v>
      </c>
    </row>
    <row r="119" spans="1:24" x14ac:dyDescent="0.35">
      <c r="A119" s="1" t="str">
        <f>A90</f>
        <v>ULTA</v>
      </c>
      <c r="B119" s="1">
        <f>IF(B90&gt;0,1,0)</f>
        <v>1</v>
      </c>
      <c r="C119" s="1">
        <f>IF(C90&gt;D$53,1,0)</f>
        <v>0</v>
      </c>
      <c r="D119" s="1">
        <f>IF(D90&gt;0,1,0)</f>
        <v>1</v>
      </c>
      <c r="E119" s="1">
        <f>IF(F90&gt;-B$54*E90,1,0)</f>
        <v>0</v>
      </c>
      <c r="F119" s="1">
        <f>IF(H90&gt;-$B$54*G90,1,0)</f>
        <v>1</v>
      </c>
      <c r="G119" s="1">
        <f t="shared" si="34"/>
        <v>0</v>
      </c>
      <c r="H119" s="1">
        <f>IF(K60&lt;S119,1,0)</f>
        <v>0</v>
      </c>
      <c r="K119" s="26">
        <v>0</v>
      </c>
      <c r="L119" s="27">
        <f>B60</f>
        <v>592.70000000000005</v>
      </c>
      <c r="M119" s="27">
        <f>C60/0.7</f>
        <v>230.14285714285714</v>
      </c>
      <c r="N119" s="27">
        <f>D60</f>
        <v>637.99</v>
      </c>
      <c r="O119" s="27">
        <f>(E60+F60)/2</f>
        <v>516.79</v>
      </c>
      <c r="P119" s="27">
        <f>(G60*2+H60)*(1/3)</f>
        <v>534.7833333333333</v>
      </c>
      <c r="Q119" s="28">
        <f t="shared" si="35"/>
        <v>230.14285714285714</v>
      </c>
      <c r="R119" s="28">
        <f t="shared" si="36"/>
        <v>516.79</v>
      </c>
      <c r="S119" s="23">
        <f t="shared" si="37"/>
        <v>373.46642857142854</v>
      </c>
      <c r="T119" s="29">
        <f t="shared" si="38"/>
        <v>637.99</v>
      </c>
      <c r="U119" s="29">
        <f t="shared" si="39"/>
        <v>592.70000000000005</v>
      </c>
      <c r="V119" s="25">
        <f t="shared" si="40"/>
        <v>615.34500000000003</v>
      </c>
      <c r="W119" s="8">
        <f t="shared" si="41"/>
        <v>0.64765813718196141</v>
      </c>
      <c r="X119" s="8">
        <f>V119/K60-1</f>
        <v>0.60246093750000007</v>
      </c>
    </row>
    <row r="120" spans="1:24" x14ac:dyDescent="0.35">
      <c r="A120" s="1" t="str">
        <f>A91</f>
        <v>BKNG</v>
      </c>
      <c r="B120" s="1">
        <f>IF(B91&gt;0,1,0)</f>
        <v>1</v>
      </c>
      <c r="C120" s="1">
        <f>IF(C91&gt;D$53,1,0)</f>
        <v>0</v>
      </c>
      <c r="D120" s="1">
        <f>IF(D91&gt;0,1,0)</f>
        <v>0</v>
      </c>
      <c r="E120" s="1">
        <f>IF(F91&gt;-B$54*E91,1,0)</f>
        <v>0</v>
      </c>
      <c r="F120" s="1">
        <f>IF(H91&gt;-$B$54*G91,1,0)</f>
        <v>1</v>
      </c>
      <c r="G120" s="1">
        <f t="shared" si="34"/>
        <v>-1</v>
      </c>
      <c r="H120" s="1">
        <f>IF(K61&lt;S120,1,0)</f>
        <v>0</v>
      </c>
      <c r="K120" s="26">
        <v>0</v>
      </c>
      <c r="L120" s="27">
        <f>B61</f>
        <v>4853.3</v>
      </c>
      <c r="M120" s="27">
        <f>C61/0.7</f>
        <v>3303.0571428571429</v>
      </c>
      <c r="N120" s="27">
        <f>D61</f>
        <v>4687.82</v>
      </c>
      <c r="O120" s="27">
        <f>(E61+F61)/2</f>
        <v>4234.7299999999996</v>
      </c>
      <c r="P120" s="27">
        <f>(G61*2+H61)*(1/3)</f>
        <v>5181.4933333333329</v>
      </c>
      <c r="Q120" s="28">
        <f t="shared" si="35"/>
        <v>3303.0571428571429</v>
      </c>
      <c r="R120" s="28">
        <f t="shared" si="36"/>
        <v>4234.7299999999996</v>
      </c>
      <c r="S120" s="23">
        <f t="shared" si="37"/>
        <v>3768.8935714285712</v>
      </c>
      <c r="T120" s="29">
        <f t="shared" si="38"/>
        <v>5181.4933333333329</v>
      </c>
      <c r="U120" s="29">
        <f t="shared" si="39"/>
        <v>4853.3</v>
      </c>
      <c r="V120" s="25">
        <f t="shared" si="40"/>
        <v>5017.3966666666665</v>
      </c>
      <c r="W120" s="8">
        <f t="shared" si="41"/>
        <v>0.33126515025598335</v>
      </c>
      <c r="X120" s="8">
        <f>V120/K61-1</f>
        <v>5.0543690675600272E-2</v>
      </c>
    </row>
    <row r="121" spans="1:24" x14ac:dyDescent="0.35">
      <c r="A121" s="1" t="str">
        <f>A92</f>
        <v>V</v>
      </c>
      <c r="B121" s="1">
        <f>IF(B92&gt;0,1,0)</f>
        <v>1</v>
      </c>
      <c r="C121" s="1">
        <f>IF(C92&gt;D$53,1,0)</f>
        <v>0</v>
      </c>
      <c r="D121" s="1">
        <f>IF(D92&gt;0,1,0)</f>
        <v>0</v>
      </c>
      <c r="E121" s="1">
        <f>IF(F92&gt;-B$54*E92,1,0)</f>
        <v>0</v>
      </c>
      <c r="F121" s="1">
        <f>IF(H92&gt;-$B$54*G92,1,0)</f>
        <v>1</v>
      </c>
      <c r="G121" s="1">
        <f t="shared" si="34"/>
        <v>-1</v>
      </c>
      <c r="H121" s="1">
        <f>IF(K62&lt;S121,1,0)</f>
        <v>0</v>
      </c>
      <c r="K121" s="26">
        <v>0</v>
      </c>
      <c r="L121" s="27">
        <f>B62</f>
        <v>341.5</v>
      </c>
      <c r="M121" s="27">
        <f>C62/0.7</f>
        <v>282.02857142857141</v>
      </c>
      <c r="N121" s="27">
        <f>D62</f>
        <v>267.23</v>
      </c>
      <c r="O121" s="27">
        <f>(E62+F62)/2</f>
        <v>346.57499999999999</v>
      </c>
      <c r="P121" s="27">
        <f>(G62*2+H62)*(1/3)</f>
        <v>346.60666666666668</v>
      </c>
      <c r="Q121" s="28">
        <f t="shared" si="35"/>
        <v>267.23</v>
      </c>
      <c r="R121" s="28">
        <f t="shared" si="36"/>
        <v>282.02857142857141</v>
      </c>
      <c r="S121" s="23">
        <f t="shared" si="37"/>
        <v>274.62928571428574</v>
      </c>
      <c r="T121" s="29">
        <f t="shared" si="38"/>
        <v>346.60666666666668</v>
      </c>
      <c r="U121" s="29">
        <f t="shared" si="39"/>
        <v>346.57499999999999</v>
      </c>
      <c r="V121" s="25">
        <f t="shared" si="40"/>
        <v>346.59083333333331</v>
      </c>
      <c r="W121" s="8">
        <f t="shared" si="41"/>
        <v>0.26203158716989017</v>
      </c>
      <c r="X121" s="8">
        <f>V121/K62-1</f>
        <v>0.18695490867579889</v>
      </c>
    </row>
    <row r="122" spans="1:24" x14ac:dyDescent="0.35">
      <c r="A122" s="1" t="str">
        <f>A93</f>
        <v>MA</v>
      </c>
      <c r="B122" s="1">
        <f>IF(B93&gt;0,1,0)</f>
        <v>1</v>
      </c>
      <c r="C122" s="1">
        <f>IF(C93&gt;D$53,1,0)</f>
        <v>0</v>
      </c>
      <c r="D122" s="1">
        <f>IF(D93&gt;0,1,0)</f>
        <v>0</v>
      </c>
      <c r="E122" s="1">
        <f>IF(F93&gt;-B$54*E93,1,0)</f>
        <v>0</v>
      </c>
      <c r="F122" s="1">
        <f>IF(H93&gt;-$B$54*G93,1,0)</f>
        <v>1</v>
      </c>
      <c r="G122" s="1">
        <f t="shared" si="34"/>
        <v>-1</v>
      </c>
      <c r="H122" s="1">
        <f>IF(K63&lt;S122,1,0)</f>
        <v>0</v>
      </c>
      <c r="K122" s="26">
        <v>0</v>
      </c>
      <c r="L122" s="27">
        <f>B63</f>
        <v>534.35</v>
      </c>
      <c r="M122" s="27">
        <f>C63/0.7</f>
        <v>422.84285714285716</v>
      </c>
      <c r="N122" s="27">
        <f>D63</f>
        <v>396.56</v>
      </c>
      <c r="O122" s="27">
        <f>(E63+F63)/2</f>
        <v>523.81500000000005</v>
      </c>
      <c r="P122" s="27">
        <f>(G63*2+H63)*(1/3)</f>
        <v>534.13666666666654</v>
      </c>
      <c r="Q122" s="28">
        <f t="shared" si="35"/>
        <v>396.56</v>
      </c>
      <c r="R122" s="28">
        <f t="shared" si="36"/>
        <v>422.84285714285716</v>
      </c>
      <c r="S122" s="23">
        <f t="shared" si="37"/>
        <v>409.70142857142855</v>
      </c>
      <c r="T122" s="29">
        <f t="shared" si="38"/>
        <v>534.35</v>
      </c>
      <c r="U122" s="29">
        <f t="shared" si="39"/>
        <v>534.13666666666654</v>
      </c>
      <c r="V122" s="25">
        <f t="shared" si="40"/>
        <v>534.24333333333334</v>
      </c>
      <c r="W122" s="8">
        <f t="shared" si="41"/>
        <v>0.30398211008481213</v>
      </c>
      <c r="X122" s="8">
        <f>V122/K63-1</f>
        <v>5.5816864295125113E-2</v>
      </c>
    </row>
    <row r="123" spans="1:24" x14ac:dyDescent="0.35">
      <c r="A123" s="1" t="str">
        <f>A94</f>
        <v>FSLR</v>
      </c>
      <c r="B123" s="1">
        <f>IF(B94&gt;0,1,0)</f>
        <v>0</v>
      </c>
      <c r="C123" s="1">
        <f>IF(C94&gt;D$53,1,0)</f>
        <v>0</v>
      </c>
      <c r="D123" s="1">
        <f>IF(D94&gt;0,1,0)</f>
        <v>1</v>
      </c>
      <c r="E123" s="1">
        <f>IF(F94&gt;-B$54*E94,1,0)</f>
        <v>1</v>
      </c>
      <c r="F123" s="1">
        <f>IF(H94&gt;-$B$54*G94,1,0)</f>
        <v>1</v>
      </c>
      <c r="G123" s="1">
        <f t="shared" si="34"/>
        <v>0</v>
      </c>
      <c r="H123" s="1">
        <f>IF(K64&lt;S123,1,0)</f>
        <v>0</v>
      </c>
      <c r="K123" s="26">
        <v>0</v>
      </c>
      <c r="L123" s="27">
        <f>B64</f>
        <v>0.1</v>
      </c>
      <c r="M123" s="27">
        <f>C64/0.7</f>
        <v>0</v>
      </c>
      <c r="N123" s="27">
        <f>D64</f>
        <v>616.71</v>
      </c>
      <c r="O123" s="27">
        <f>(E64+F64)/2</f>
        <v>422.46</v>
      </c>
      <c r="P123" s="27">
        <f>(G64*2+H64)*(1/3)</f>
        <v>447.17333333333329</v>
      </c>
      <c r="Q123" s="28">
        <f t="shared" si="35"/>
        <v>0</v>
      </c>
      <c r="R123" s="28">
        <f t="shared" si="36"/>
        <v>0.1</v>
      </c>
      <c r="S123" s="23">
        <f t="shared" si="37"/>
        <v>0.05</v>
      </c>
      <c r="T123" s="29">
        <f t="shared" si="38"/>
        <v>616.71</v>
      </c>
      <c r="U123" s="29">
        <f t="shared" si="39"/>
        <v>447.17333333333329</v>
      </c>
      <c r="V123" s="25">
        <f t="shared" si="40"/>
        <v>531.94166666666661</v>
      </c>
      <c r="W123" s="8">
        <f t="shared" si="41"/>
        <v>2</v>
      </c>
      <c r="X123" s="8">
        <f>V123/K64-1</f>
        <v>1.5091588050314462</v>
      </c>
    </row>
    <row r="124" spans="1:24" x14ac:dyDescent="0.35">
      <c r="A124" s="1" t="str">
        <f>A95</f>
        <v>TSLA</v>
      </c>
      <c r="B124" s="1">
        <f>IF(B95&gt;0,1,0)</f>
        <v>0</v>
      </c>
      <c r="C124" s="1">
        <f>IF(C95&gt;D$53,1,0)</f>
        <v>0</v>
      </c>
      <c r="D124" s="1">
        <f>IF(D95&gt;0,1,0)</f>
        <v>0</v>
      </c>
      <c r="E124" s="1">
        <f>IF(F95&gt;-B$54*E95,1,0)</f>
        <v>0</v>
      </c>
      <c r="F124" s="1">
        <f>IF(H95&gt;-$B$54*G95,1,0)</f>
        <v>0</v>
      </c>
      <c r="G124" s="1">
        <f t="shared" si="34"/>
        <v>-3</v>
      </c>
      <c r="H124" s="1">
        <f>IF(K65&lt;S124,1,0)</f>
        <v>0</v>
      </c>
      <c r="K124" s="26">
        <v>0</v>
      </c>
      <c r="L124" s="27">
        <f>B65</f>
        <v>0</v>
      </c>
      <c r="M124" s="27">
        <f>C65/0.7</f>
        <v>0</v>
      </c>
      <c r="N124" s="27">
        <f>D65</f>
        <v>104.94</v>
      </c>
      <c r="O124" s="27">
        <f>(E65+F65)/2</f>
        <v>67.03</v>
      </c>
      <c r="P124" s="27">
        <f>(G65*2+H65)*(1/3)</f>
        <v>70.789999999999992</v>
      </c>
      <c r="Q124" s="28">
        <f t="shared" si="35"/>
        <v>0</v>
      </c>
      <c r="R124" s="28">
        <f t="shared" si="36"/>
        <v>0</v>
      </c>
      <c r="S124" s="23">
        <f t="shared" si="37"/>
        <v>0</v>
      </c>
      <c r="T124" s="29">
        <f t="shared" si="38"/>
        <v>104.94</v>
      </c>
      <c r="U124" s="29">
        <f t="shared" si="39"/>
        <v>70.789999999999992</v>
      </c>
      <c r="V124" s="25">
        <f t="shared" si="40"/>
        <v>87.864999999999995</v>
      </c>
      <c r="W124" s="8">
        <f t="shared" si="41"/>
        <v>0</v>
      </c>
      <c r="X124" s="8">
        <f>V124/K65-1</f>
        <v>-0.75593055555555555</v>
      </c>
    </row>
    <row r="125" spans="1:24" x14ac:dyDescent="0.35">
      <c r="A125" s="1" t="str">
        <f>A96</f>
        <v>ON</v>
      </c>
      <c r="B125" s="1">
        <f>IF(B96&gt;0,1,0)</f>
        <v>0</v>
      </c>
      <c r="C125" s="1">
        <f>IF(C96&gt;D$53,1,0)</f>
        <v>0</v>
      </c>
      <c r="D125" s="1">
        <f>IF(D96&gt;0,1,0)</f>
        <v>1</v>
      </c>
      <c r="E125" s="1">
        <f>IF(F96&gt;-B$54*E96,1,0)</f>
        <v>0</v>
      </c>
      <c r="F125" s="1">
        <f>IF(H96&gt;-$B$54*G96,1,0)</f>
        <v>1</v>
      </c>
      <c r="G125" s="1">
        <f t="shared" si="34"/>
        <v>-1</v>
      </c>
      <c r="H125" s="1">
        <f>IF(K66&lt;S125,1,0)</f>
        <v>0</v>
      </c>
      <c r="K125" s="26">
        <v>0</v>
      </c>
      <c r="L125" s="27">
        <f>B66</f>
        <v>0.1</v>
      </c>
      <c r="M125" s="27">
        <f>C66/0.7</f>
        <v>0</v>
      </c>
      <c r="N125" s="27">
        <f>D66</f>
        <v>142.24</v>
      </c>
      <c r="O125" s="27">
        <f>(E66+F66)/2</f>
        <v>91.7</v>
      </c>
      <c r="P125" s="27">
        <f>(G66*2+H66)*(1/3)</f>
        <v>94.556666666666672</v>
      </c>
      <c r="Q125" s="28">
        <f t="shared" si="35"/>
        <v>0</v>
      </c>
      <c r="R125" s="28">
        <f t="shared" si="36"/>
        <v>0.1</v>
      </c>
      <c r="S125" s="23">
        <f t="shared" si="37"/>
        <v>0.05</v>
      </c>
      <c r="T125" s="29">
        <f t="shared" si="38"/>
        <v>142.24</v>
      </c>
      <c r="U125" s="29">
        <f t="shared" si="39"/>
        <v>94.556666666666672</v>
      </c>
      <c r="V125" s="25">
        <f t="shared" si="40"/>
        <v>118.39833333333334</v>
      </c>
      <c r="W125" s="8">
        <f t="shared" si="41"/>
        <v>2</v>
      </c>
      <c r="X125" s="8">
        <f>V125/K66-1</f>
        <v>0.69140476190476208</v>
      </c>
    </row>
    <row r="126" spans="1:24" x14ac:dyDescent="0.35">
      <c r="A126" s="1" t="str">
        <f>A97</f>
        <v>MCHP</v>
      </c>
      <c r="B126" s="1">
        <f>IF(B97&gt;0,1,0)</f>
        <v>0</v>
      </c>
      <c r="C126" s="1">
        <f>IF(C97&gt;D$53,1,0)</f>
        <v>0</v>
      </c>
      <c r="D126" s="1">
        <f>IF(D97&gt;0,1,0)</f>
        <v>1</v>
      </c>
      <c r="E126" s="1">
        <f>IF(F97&gt;-B$54*E97,1,0)</f>
        <v>0</v>
      </c>
      <c r="F126" s="1">
        <f>IF(H97&gt;-$B$54*G97,1,0)</f>
        <v>1</v>
      </c>
      <c r="G126" s="1">
        <f t="shared" si="34"/>
        <v>-1</v>
      </c>
      <c r="H126" s="1">
        <f>IF(K67&lt;S126,1,0)</f>
        <v>0</v>
      </c>
      <c r="K126" s="26">
        <v>0</v>
      </c>
      <c r="L126" s="27">
        <f>B67</f>
        <v>0</v>
      </c>
      <c r="M126" s="27">
        <f>C67/0.7</f>
        <v>0</v>
      </c>
      <c r="N126" s="27">
        <f>D67</f>
        <v>98.49</v>
      </c>
      <c r="O126" s="27">
        <f>(E67+F67)/2</f>
        <v>58.185000000000002</v>
      </c>
      <c r="P126" s="27">
        <f>(G67*2+H67)*(1/3)</f>
        <v>170.74333333333334</v>
      </c>
      <c r="Q126" s="28">
        <f t="shared" si="35"/>
        <v>0</v>
      </c>
      <c r="R126" s="28">
        <f t="shared" si="36"/>
        <v>0</v>
      </c>
      <c r="S126" s="23">
        <f t="shared" si="37"/>
        <v>0</v>
      </c>
      <c r="T126" s="29">
        <f t="shared" si="38"/>
        <v>170.74333333333334</v>
      </c>
      <c r="U126" s="29">
        <f t="shared" si="39"/>
        <v>98.49</v>
      </c>
      <c r="V126" s="25">
        <f t="shared" si="40"/>
        <v>134.61666666666667</v>
      </c>
      <c r="W126" s="8">
        <f t="shared" si="41"/>
        <v>0</v>
      </c>
      <c r="X126" s="8">
        <f>V126/K67-1</f>
        <v>0.79488888888888898</v>
      </c>
    </row>
    <row r="127" spans="1:24" x14ac:dyDescent="0.35">
      <c r="A127" s="1" t="str">
        <f>A98</f>
        <v>CRM</v>
      </c>
      <c r="B127" s="1">
        <f>IF(B98&gt;0,1,0)</f>
        <v>0</v>
      </c>
      <c r="C127" s="1">
        <f>IF(C98&gt;D$53,1,0)</f>
        <v>0</v>
      </c>
      <c r="D127" s="1">
        <f>IF(D98&gt;0,1,0)</f>
        <v>0</v>
      </c>
      <c r="E127" s="1">
        <f>IF(F98&gt;-B$54*E98,1,0)</f>
        <v>0</v>
      </c>
      <c r="F127" s="1">
        <f>IF(H98&gt;-$B$54*G98,1,0)</f>
        <v>0</v>
      </c>
      <c r="G127" s="1">
        <f t="shared" si="34"/>
        <v>-3</v>
      </c>
      <c r="H127" s="1">
        <f>IF(K68&lt;S127,1,0)</f>
        <v>0</v>
      </c>
      <c r="K127" s="26">
        <v>0</v>
      </c>
      <c r="L127" s="27">
        <f>B68</f>
        <v>160.35</v>
      </c>
      <c r="M127" s="27">
        <f>C68/0.7</f>
        <v>148.28571428571428</v>
      </c>
      <c r="N127" s="27">
        <f>D68</f>
        <v>284.95999999999998</v>
      </c>
      <c r="O127" s="27">
        <f>(E68+F68)/2</f>
        <v>225.23000000000002</v>
      </c>
      <c r="P127" s="27">
        <f>(G68*2+H68)*(1/3)</f>
        <v>218.08333333333331</v>
      </c>
      <c r="Q127" s="28">
        <f t="shared" si="35"/>
        <v>148.28571428571428</v>
      </c>
      <c r="R127" s="28">
        <f t="shared" si="36"/>
        <v>160.35</v>
      </c>
      <c r="S127" s="23">
        <f t="shared" si="37"/>
        <v>154.31785714285712</v>
      </c>
      <c r="T127" s="29">
        <f t="shared" si="38"/>
        <v>284.95999999999998</v>
      </c>
      <c r="U127" s="29">
        <f t="shared" si="39"/>
        <v>225.23000000000002</v>
      </c>
      <c r="V127" s="25">
        <f t="shared" si="40"/>
        <v>255.095</v>
      </c>
      <c r="W127" s="8">
        <f t="shared" si="41"/>
        <v>0.6530491332824182</v>
      </c>
      <c r="X127" s="8">
        <f>V127/K68-1</f>
        <v>-0.14397651006711409</v>
      </c>
    </row>
    <row r="128" spans="1:24" x14ac:dyDescent="0.35">
      <c r="A128" s="1" t="str">
        <f>A99</f>
        <v>ADBE</v>
      </c>
      <c r="B128" s="1">
        <f>IF(B99&gt;0,1,0)</f>
        <v>1</v>
      </c>
      <c r="C128" s="1">
        <f>IF(C99&gt;D$53,1,0)</f>
        <v>1</v>
      </c>
      <c r="D128" s="1">
        <f>IF(D99&gt;0,1,0)</f>
        <v>1</v>
      </c>
      <c r="E128" s="1">
        <f>IF(F99&gt;-B$54*E99,1,0)</f>
        <v>1</v>
      </c>
      <c r="F128" s="1">
        <f>IF(H99&gt;-$B$54*G99,1,0)</f>
        <v>1</v>
      </c>
      <c r="G128" s="1">
        <f t="shared" si="34"/>
        <v>2</v>
      </c>
      <c r="H128" s="1">
        <f>IF(K69&lt;S128,1,0)</f>
        <v>1</v>
      </c>
      <c r="K128" s="26">
        <v>0</v>
      </c>
      <c r="L128" s="27">
        <f>B69</f>
        <v>632.04999999999995</v>
      </c>
      <c r="M128" s="27">
        <f>C69/0.7</f>
        <v>537.84285714285716</v>
      </c>
      <c r="N128" s="27">
        <f>D69</f>
        <v>506.84</v>
      </c>
      <c r="O128" s="27">
        <f>(E69+F69)/2</f>
        <v>653.20500000000004</v>
      </c>
      <c r="P128" s="27">
        <f>(G69*2+H69)*(1/3)</f>
        <v>644.38333333333321</v>
      </c>
      <c r="Q128" s="28">
        <f t="shared" si="35"/>
        <v>506.84</v>
      </c>
      <c r="R128" s="28">
        <f t="shared" si="36"/>
        <v>537.84285714285716</v>
      </c>
      <c r="S128" s="23">
        <f t="shared" si="37"/>
        <v>519.03533333333326</v>
      </c>
      <c r="T128" s="29">
        <f t="shared" si="38"/>
        <v>653.20500000000004</v>
      </c>
      <c r="U128" s="29">
        <f t="shared" si="39"/>
        <v>644.38333333333321</v>
      </c>
      <c r="V128" s="25">
        <f t="shared" si="40"/>
        <v>648.79416666666657</v>
      </c>
      <c r="W128" s="8">
        <f t="shared" si="41"/>
        <v>0.25</v>
      </c>
      <c r="X128" s="8">
        <f>V128/K69-1</f>
        <v>0.34604598893499294</v>
      </c>
    </row>
    <row r="129" spans="1:24" x14ac:dyDescent="0.35">
      <c r="A129" s="1" t="str">
        <f>A100</f>
        <v>MSFT</v>
      </c>
      <c r="B129" s="1">
        <f>IF(B100&gt;0,1,0)</f>
        <v>1</v>
      </c>
      <c r="C129" s="1">
        <f>IF(C100&gt;D$53,1,0)</f>
        <v>0</v>
      </c>
      <c r="D129" s="1">
        <f>IF(D100&gt;0,1,0)</f>
        <v>0</v>
      </c>
      <c r="E129" s="1">
        <f>IF(F100&gt;-B$54*E100,1,0)</f>
        <v>1</v>
      </c>
      <c r="F129" s="1">
        <f>IF(H100&gt;-$B$54*G100,1,0)</f>
        <v>1</v>
      </c>
      <c r="G129" s="1">
        <f t="shared" si="34"/>
        <v>0</v>
      </c>
      <c r="H129" s="1">
        <f>IF(K70&lt;S129,1,0)</f>
        <v>0</v>
      </c>
      <c r="K129" s="26">
        <v>0</v>
      </c>
      <c r="L129" s="27">
        <f>B70</f>
        <v>642.5</v>
      </c>
      <c r="M129" s="27">
        <f>C70/0.7</f>
        <v>399.05714285714282</v>
      </c>
      <c r="N129" s="27">
        <f>D70</f>
        <v>404.45</v>
      </c>
      <c r="O129" s="27">
        <f>(E70+F70)/2</f>
        <v>527.41</v>
      </c>
      <c r="P129" s="27">
        <f>(G70*2+H70)*(1/3)</f>
        <v>648.55999999999995</v>
      </c>
      <c r="Q129" s="28">
        <f t="shared" si="35"/>
        <v>399.05714285714282</v>
      </c>
      <c r="R129" s="28">
        <f t="shared" si="36"/>
        <v>404.45</v>
      </c>
      <c r="S129" s="23">
        <f t="shared" si="37"/>
        <v>401.75357142857138</v>
      </c>
      <c r="T129" s="29">
        <f t="shared" si="38"/>
        <v>648.55999999999995</v>
      </c>
      <c r="U129" s="29">
        <f t="shared" si="39"/>
        <v>642.5</v>
      </c>
      <c r="V129" s="25">
        <f t="shared" si="40"/>
        <v>645.53</v>
      </c>
      <c r="W129" s="8">
        <f t="shared" si="41"/>
        <v>0.60678098692339844</v>
      </c>
      <c r="X129" s="8">
        <f>V129/K70-1</f>
        <v>0.5783129584352078</v>
      </c>
    </row>
    <row r="130" spans="1:24" x14ac:dyDescent="0.35">
      <c r="A130" s="1" t="str">
        <f>A101</f>
        <v>GOOG</v>
      </c>
      <c r="B130" s="1">
        <f>IF(B101&gt;0,1,0)</f>
        <v>1</v>
      </c>
      <c r="C130" s="1">
        <f>IF(C101&gt;D$53,1,0)</f>
        <v>1</v>
      </c>
      <c r="D130" s="1">
        <f>IF(D101&gt;0,1,0)</f>
        <v>1</v>
      </c>
      <c r="E130" s="1">
        <f>IF(F101&gt;-B$54*E101,1,0)</f>
        <v>1</v>
      </c>
      <c r="F130" s="1">
        <f>IF(H101&gt;-$B$54*G101,1,0)</f>
        <v>1</v>
      </c>
      <c r="G130" s="1">
        <f t="shared" si="34"/>
        <v>2</v>
      </c>
      <c r="H130" s="1">
        <f>IF(K71&lt;S130,1,0)</f>
        <v>1</v>
      </c>
      <c r="K130" s="26">
        <v>0</v>
      </c>
      <c r="L130" s="27">
        <f>B71</f>
        <v>518.04999999999995</v>
      </c>
      <c r="M130" s="27">
        <f>C71/0.7</f>
        <v>201.60000000000002</v>
      </c>
      <c r="N130" s="27">
        <f>D71</f>
        <v>283.8</v>
      </c>
      <c r="O130" s="27">
        <f>(E71+F71)/2</f>
        <v>393.32499999999999</v>
      </c>
      <c r="P130" s="27">
        <f>(G71*2+H71)*(1/3)</f>
        <v>567.62666666666667</v>
      </c>
      <c r="Q130" s="28">
        <f t="shared" si="35"/>
        <v>201.60000000000002</v>
      </c>
      <c r="R130" s="28">
        <f t="shared" si="36"/>
        <v>283.8</v>
      </c>
      <c r="S130" s="23">
        <f t="shared" si="37"/>
        <v>242.70000000000002</v>
      </c>
      <c r="T130" s="29">
        <f t="shared" si="38"/>
        <v>567.62666666666667</v>
      </c>
      <c r="U130" s="29">
        <f t="shared" si="39"/>
        <v>518.04999999999995</v>
      </c>
      <c r="V130" s="25">
        <f t="shared" si="40"/>
        <v>542.83833333333337</v>
      </c>
      <c r="W130" s="8">
        <f t="shared" si="41"/>
        <v>1.2366639197912375</v>
      </c>
      <c r="X130" s="8">
        <f>V130/K71-1</f>
        <v>2.1744931773879146</v>
      </c>
    </row>
    <row r="131" spans="1:24" x14ac:dyDescent="0.35">
      <c r="A131" s="1" t="str">
        <f>A102</f>
        <v>AAPL</v>
      </c>
      <c r="B131" s="1">
        <f>IF(B102&gt;0,1,0)</f>
        <v>1</v>
      </c>
      <c r="C131" s="1">
        <f>IF(C102&gt;D$53,1,0)</f>
        <v>0</v>
      </c>
      <c r="D131" s="1">
        <f>IF(D102&gt;0,1,0)</f>
        <v>0</v>
      </c>
      <c r="E131" s="1">
        <f>IF(F102&gt;-B$54*E102,1,0)</f>
        <v>0</v>
      </c>
      <c r="F131" s="1">
        <f>IF(H102&gt;-$B$54*G102,1,0)</f>
        <v>1</v>
      </c>
      <c r="G131" s="1">
        <f t="shared" si="34"/>
        <v>-1</v>
      </c>
      <c r="H131" s="1">
        <f>IF(K72&lt;S131,1,0)</f>
        <v>0</v>
      </c>
      <c r="K131" s="26">
        <v>0</v>
      </c>
      <c r="L131" s="27">
        <f>B72</f>
        <v>283.7</v>
      </c>
      <c r="M131" s="27">
        <f>C72/0.7</f>
        <v>167.6</v>
      </c>
      <c r="N131" s="27">
        <f>D72</f>
        <v>199.12</v>
      </c>
      <c r="O131" s="27">
        <f>(E72+F72)/2</f>
        <v>202.73000000000002</v>
      </c>
      <c r="P131" s="27">
        <f>(G72*2+H72)*(1/3)</f>
        <v>310.21999999999997</v>
      </c>
      <c r="Q131" s="28">
        <f t="shared" si="35"/>
        <v>167.6</v>
      </c>
      <c r="R131" s="28">
        <f t="shared" si="36"/>
        <v>199.12</v>
      </c>
      <c r="S131" s="23">
        <f t="shared" si="37"/>
        <v>183.36</v>
      </c>
      <c r="T131" s="29">
        <f t="shared" si="38"/>
        <v>310.21999999999997</v>
      </c>
      <c r="U131" s="29">
        <f t="shared" si="39"/>
        <v>283.7</v>
      </c>
      <c r="V131" s="25">
        <f t="shared" si="40"/>
        <v>296.95999999999998</v>
      </c>
      <c r="W131" s="8">
        <f t="shared" si="41"/>
        <v>0.61954624781849899</v>
      </c>
      <c r="X131" s="8">
        <f>V131/K72-1</f>
        <v>0.33765765765765754</v>
      </c>
    </row>
    <row r="132" spans="1:24" x14ac:dyDescent="0.35">
      <c r="A132" s="1" t="str">
        <f>A103</f>
        <v>ENPH</v>
      </c>
      <c r="B132" s="1">
        <f>IF(B103&gt;0,1,0)</f>
        <v>0</v>
      </c>
      <c r="C132" s="1">
        <f>IF(C103&gt;D$53,1,0)</f>
        <v>0</v>
      </c>
      <c r="D132" s="1">
        <f>IF(D103&gt;0,1,0)</f>
        <v>1</v>
      </c>
      <c r="E132" s="1">
        <f>IF(F103&gt;-B$54*E103,1,0)</f>
        <v>0</v>
      </c>
      <c r="F132" s="1">
        <f>IF(H103&gt;-$B$54*G103,1,0)</f>
        <v>1</v>
      </c>
      <c r="G132" s="1">
        <f t="shared" si="34"/>
        <v>-1</v>
      </c>
      <c r="H132" s="1">
        <f>IF(K73&lt;S132,1,0)</f>
        <v>0</v>
      </c>
      <c r="K132" s="26">
        <v>0</v>
      </c>
      <c r="L132" s="27">
        <f>B73</f>
        <v>0</v>
      </c>
      <c r="M132" s="27">
        <f>C73/0.7</f>
        <v>0</v>
      </c>
      <c r="N132" s="27">
        <f>D73</f>
        <v>123.99</v>
      </c>
      <c r="O132" s="27">
        <f>(E73+F73)/2</f>
        <v>74.77</v>
      </c>
      <c r="P132" s="27">
        <f>(G73*2+H73)*(1/3)</f>
        <v>117.30666666666667</v>
      </c>
      <c r="Q132" s="28">
        <f t="shared" si="35"/>
        <v>0</v>
      </c>
      <c r="R132" s="28">
        <f t="shared" si="36"/>
        <v>0</v>
      </c>
      <c r="S132" s="23">
        <f t="shared" si="37"/>
        <v>0</v>
      </c>
      <c r="T132" s="29">
        <f t="shared" si="38"/>
        <v>123.99</v>
      </c>
      <c r="U132" s="29">
        <f t="shared" si="39"/>
        <v>117.30666666666667</v>
      </c>
      <c r="V132" s="25">
        <f t="shared" si="40"/>
        <v>120.64833333333334</v>
      </c>
      <c r="W132" s="8">
        <f t="shared" si="41"/>
        <v>0</v>
      </c>
      <c r="X132" s="8">
        <f>V132/K73-1</f>
        <v>0.80072139303482603</v>
      </c>
    </row>
    <row r="133" spans="1:24" x14ac:dyDescent="0.35">
      <c r="A133" s="1" t="str">
        <f>A104</f>
        <v>PFE</v>
      </c>
      <c r="B133" s="1">
        <f>IF(B104&gt;0,1,0)</f>
        <v>0</v>
      </c>
      <c r="C133" s="1">
        <f>IF(C104&gt;D$53,1,0)</f>
        <v>0</v>
      </c>
      <c r="D133" s="1">
        <f>IF(D104&gt;0,1,0)</f>
        <v>1</v>
      </c>
      <c r="E133" s="1">
        <f>IF(F104&gt;-B$54*E104,1,0)</f>
        <v>1</v>
      </c>
      <c r="F133" s="1">
        <f>IF(H104&gt;-$B$54*G104,1,0)</f>
        <v>1</v>
      </c>
      <c r="G133" s="1">
        <f t="shared" si="34"/>
        <v>0</v>
      </c>
      <c r="H133" s="1">
        <f>IF(K74&lt;S133,1,0)</f>
        <v>0</v>
      </c>
      <c r="K133" s="26">
        <v>0</v>
      </c>
      <c r="L133" s="27">
        <f>B74</f>
        <v>0.2</v>
      </c>
      <c r="M133" s="27">
        <f>C74/0.7</f>
        <v>0</v>
      </c>
      <c r="N133" s="27">
        <f>D74</f>
        <v>56.37</v>
      </c>
      <c r="O133" s="27">
        <f>(E74+F74)/2</f>
        <v>42.67</v>
      </c>
      <c r="P133" s="27">
        <f>(G74*2+H74)*(1/3)</f>
        <v>41.36</v>
      </c>
      <c r="Q133" s="28">
        <f t="shared" si="35"/>
        <v>0</v>
      </c>
      <c r="R133" s="28">
        <f t="shared" si="36"/>
        <v>0.2</v>
      </c>
      <c r="S133" s="23">
        <f t="shared" si="37"/>
        <v>0.1</v>
      </c>
      <c r="T133" s="29">
        <f t="shared" si="38"/>
        <v>56.37</v>
      </c>
      <c r="U133" s="29">
        <f t="shared" si="39"/>
        <v>42.67</v>
      </c>
      <c r="V133" s="25">
        <f t="shared" si="40"/>
        <v>49.519999999999996</v>
      </c>
      <c r="W133" s="8">
        <f t="shared" si="41"/>
        <v>2</v>
      </c>
      <c r="X133" s="8">
        <f>V133/K74-1</f>
        <v>0.76857142857142846</v>
      </c>
    </row>
    <row r="134" spans="1:24" x14ac:dyDescent="0.35">
      <c r="A134" s="1" t="str">
        <f>A105</f>
        <v>JNJ</v>
      </c>
      <c r="B134" s="1">
        <f>IF(B105&gt;0,1,0)</f>
        <v>1</v>
      </c>
      <c r="C134" s="1">
        <f>IF(C105&gt;D$53,1,0)</f>
        <v>0</v>
      </c>
      <c r="D134" s="1">
        <f>IF(D105&gt;0,1,0)</f>
        <v>0</v>
      </c>
      <c r="E134" s="1">
        <f>IF(F105&gt;-B$54*E105,1,0)</f>
        <v>0</v>
      </c>
      <c r="F134" s="1">
        <f>IF(H105&gt;-$B$54*G105,1,0)</f>
        <v>1</v>
      </c>
      <c r="G134" s="1">
        <f t="shared" si="34"/>
        <v>-1</v>
      </c>
      <c r="H134" s="1">
        <f>IF(K75&lt;S134,1,0)</f>
        <v>0</v>
      </c>
      <c r="K134" s="26">
        <v>0</v>
      </c>
      <c r="L134" s="27">
        <f>B75</f>
        <v>202.4</v>
      </c>
      <c r="M134" s="27">
        <f>C75/0.7</f>
        <v>145.20000000000002</v>
      </c>
      <c r="N134" s="27">
        <f>D75</f>
        <v>146.13999999999999</v>
      </c>
      <c r="O134" s="27">
        <f>(E75+F75)/2</f>
        <v>164.69499999999999</v>
      </c>
      <c r="P134" s="27">
        <f>(G75*2+H75)*(1/3)</f>
        <v>188.29333333333332</v>
      </c>
      <c r="Q134" s="28">
        <f t="shared" si="35"/>
        <v>145.20000000000002</v>
      </c>
      <c r="R134" s="28">
        <f t="shared" si="36"/>
        <v>146.13999999999999</v>
      </c>
      <c r="S134" s="23">
        <f t="shared" si="37"/>
        <v>145.67000000000002</v>
      </c>
      <c r="T134" s="29">
        <f t="shared" si="38"/>
        <v>202.4</v>
      </c>
      <c r="U134" s="29">
        <f t="shared" si="39"/>
        <v>188.29333333333332</v>
      </c>
      <c r="V134" s="25">
        <f t="shared" si="40"/>
        <v>195.34666666666666</v>
      </c>
      <c r="W134" s="8">
        <f t="shared" si="41"/>
        <v>0.34102194457792701</v>
      </c>
      <c r="X134" s="8">
        <f>V134/K75-1</f>
        <v>0.22859538784067079</v>
      </c>
    </row>
    <row r="135" spans="1:24" x14ac:dyDescent="0.35">
      <c r="A135" s="1" t="str">
        <f>A106</f>
        <v>AMZN</v>
      </c>
      <c r="B135" s="1">
        <f>IF(B106&gt;0,1,0)</f>
        <v>0</v>
      </c>
      <c r="C135" s="1">
        <f t="shared" ref="C135" si="42">IF(C106&gt;D$53,1,0)</f>
        <v>0</v>
      </c>
      <c r="D135" s="1">
        <f>IF(D106&gt;0,1,0)</f>
        <v>0</v>
      </c>
      <c r="E135" s="1">
        <f t="shared" ref="E135" si="43">IF(F106&gt;-B$54*E106,1,0)</f>
        <v>0</v>
      </c>
      <c r="F135" s="1">
        <f t="shared" ref="F135" si="44">IF(H106&gt;-$B$54*G106,1,0)</f>
        <v>0</v>
      </c>
      <c r="G135" s="1">
        <f t="shared" ref="G135" si="45">SUM(B135:F135)-3</f>
        <v>-3</v>
      </c>
      <c r="H135" s="1">
        <f>IF(K76&lt;S135,1,0)</f>
        <v>0</v>
      </c>
      <c r="L135" s="27">
        <f t="shared" ref="L135" si="46">B76</f>
        <v>4.8</v>
      </c>
      <c r="M135" s="27">
        <f t="shared" ref="M135" si="47">C76/0.7</f>
        <v>0</v>
      </c>
      <c r="N135" s="27">
        <f t="shared" ref="N135" si="48">D76</f>
        <v>170.01</v>
      </c>
      <c r="O135" s="27">
        <f t="shared" ref="O135" si="49">(E76+F76)/2</f>
        <v>128.19499999999999</v>
      </c>
      <c r="P135" s="27">
        <f t="shared" ref="P135" si="50">(G76*2+H76)*(1/3)</f>
        <v>136.40666666666667</v>
      </c>
      <c r="Q135" s="28">
        <f t="shared" ref="Q135" si="51">MIN(L135:P135)</f>
        <v>0</v>
      </c>
      <c r="R135" s="28">
        <f t="shared" ref="R135" si="52">IF(COUNTIF(L135:P135,"="&amp;K135)&gt;1,0,_xlfn.MINIFS(L135:P135,L135:P135,"&gt;"&amp;Q135))</f>
        <v>4.8</v>
      </c>
      <c r="S135" s="23">
        <f t="shared" si="37"/>
        <v>2.4</v>
      </c>
      <c r="T135" s="29">
        <f t="shared" ref="T135" si="53">MAX(L135:P135)</f>
        <v>170.01</v>
      </c>
      <c r="U135" s="29">
        <f t="shared" ref="U135" si="54">_xlfn.MAXIFS(L135:P135,L135:P135,"&lt;"&amp;T135)</f>
        <v>136.40666666666667</v>
      </c>
      <c r="V135" s="25">
        <f t="shared" si="40"/>
        <v>153.20833333333331</v>
      </c>
      <c r="W135" s="8">
        <f t="shared" si="41"/>
        <v>2</v>
      </c>
      <c r="X135" s="8">
        <f>V135/K76-1</f>
        <v>-0.21832482993197289</v>
      </c>
    </row>
    <row r="136" spans="1:24" x14ac:dyDescent="0.35">
      <c r="A136" s="1" t="str">
        <f t="shared" ref="A136:A142" si="55">A107</f>
        <v>BAC</v>
      </c>
      <c r="B136" s="1">
        <f t="shared" ref="B136:B142" si="56">IF(B107&gt;0,1,0)</f>
        <v>0</v>
      </c>
      <c r="C136" s="1">
        <f t="shared" ref="C136:C142" si="57">IF(C107&gt;D$53,1,0)</f>
        <v>0</v>
      </c>
      <c r="D136" s="1">
        <f t="shared" ref="D136:D142" si="58">IF(D107&gt;0,1,0)</f>
        <v>1</v>
      </c>
      <c r="E136" s="1">
        <f t="shared" ref="E136:E142" si="59">IF(F107&gt;-B$54*E107,1,0)</f>
        <v>0</v>
      </c>
      <c r="F136" s="1">
        <f t="shared" ref="F136:F142" si="60">IF(H107&gt;-$B$54*G107,1,0)</f>
        <v>0</v>
      </c>
      <c r="G136" s="1">
        <f t="shared" ref="G136:G142" si="61">SUM(B136:F136)-3</f>
        <v>-2</v>
      </c>
      <c r="H136" s="1">
        <f t="shared" ref="H136:H142" si="62">IF(K77&lt;S136,1,0)</f>
        <v>0</v>
      </c>
      <c r="L136" s="27">
        <f t="shared" ref="L136:L142" si="63">B77</f>
        <v>2.2999999999999998</v>
      </c>
      <c r="M136" s="27">
        <f t="shared" ref="M136:M142" si="64">C77/0.7</f>
        <v>0</v>
      </c>
      <c r="N136" s="27">
        <f t="shared" ref="N136:N142" si="65">D77</f>
        <v>67.08</v>
      </c>
      <c r="O136" s="27">
        <f t="shared" ref="O136:O142" si="66">(E77+F77)/2</f>
        <v>46.994999999999997</v>
      </c>
      <c r="P136" s="27">
        <f t="shared" ref="P136:P142" si="67">(G77*2+H77)*(1/3)</f>
        <v>40.916666666666664</v>
      </c>
      <c r="Q136" s="28">
        <f t="shared" ref="Q136:Q142" si="68">MIN(L136:P136)</f>
        <v>0</v>
      </c>
      <c r="R136" s="28">
        <f t="shared" ref="R136:R142" si="69">IF(COUNTIF(L136:P136,"="&amp;K136)&gt;1,0,_xlfn.MINIFS(L136:P136,L136:P136,"&gt;"&amp;Q136))</f>
        <v>2.2999999999999998</v>
      </c>
      <c r="S136" s="23">
        <f t="shared" ref="S136:S142" si="70">MIN(AVERAGE(Q136:R136),V136*(1-$D$54))</f>
        <v>1.1499999999999999</v>
      </c>
      <c r="T136" s="29">
        <f t="shared" ref="T136:T142" si="71">MAX(L136:P136)</f>
        <v>67.08</v>
      </c>
      <c r="U136" s="29">
        <f t="shared" ref="U136:U142" si="72">_xlfn.MAXIFS(L136:P136,L136:P136,"&lt;"&amp;T136)</f>
        <v>46.994999999999997</v>
      </c>
      <c r="V136" s="25">
        <f t="shared" ref="V136:V142" si="73">AVERAGE(T136:U136)</f>
        <v>57.037499999999994</v>
      </c>
      <c r="W136" s="8">
        <f t="shared" ref="W136:W142" si="74">IFERROR(MIN(V136/S136-1,200%),0)</f>
        <v>2</v>
      </c>
      <c r="X136" s="8">
        <f t="shared" ref="X136:X142" si="75">V136/K77-1</f>
        <v>0.26749999999999985</v>
      </c>
    </row>
    <row r="137" spans="1:24" x14ac:dyDescent="0.35">
      <c r="A137" s="1" t="str">
        <f t="shared" si="55"/>
        <v>AXP</v>
      </c>
      <c r="B137" s="1">
        <f t="shared" si="56"/>
        <v>1</v>
      </c>
      <c r="C137" s="1">
        <f t="shared" si="57"/>
        <v>1</v>
      </c>
      <c r="D137" s="1">
        <f t="shared" si="58"/>
        <v>1</v>
      </c>
      <c r="E137" s="1">
        <f t="shared" si="59"/>
        <v>1</v>
      </c>
      <c r="F137" s="1">
        <f t="shared" si="60"/>
        <v>1</v>
      </c>
      <c r="G137" s="1">
        <f t="shared" si="61"/>
        <v>2</v>
      </c>
      <c r="H137" s="1">
        <f t="shared" si="62"/>
        <v>1</v>
      </c>
      <c r="L137" s="27">
        <f t="shared" si="63"/>
        <v>379.55</v>
      </c>
      <c r="M137" s="27">
        <f t="shared" si="64"/>
        <v>393.72857142857146</v>
      </c>
      <c r="N137" s="27">
        <f t="shared" si="65"/>
        <v>369.98</v>
      </c>
      <c r="O137" s="27">
        <f t="shared" si="66"/>
        <v>403.59999999999997</v>
      </c>
      <c r="P137" s="27">
        <f t="shared" si="67"/>
        <v>409.25333333333333</v>
      </c>
      <c r="Q137" s="28">
        <f t="shared" si="68"/>
        <v>369.98</v>
      </c>
      <c r="R137" s="28">
        <f t="shared" si="69"/>
        <v>379.55</v>
      </c>
      <c r="S137" s="23">
        <f t="shared" si="70"/>
        <v>325.14133333333331</v>
      </c>
      <c r="T137" s="29">
        <f t="shared" si="71"/>
        <v>409.25333333333333</v>
      </c>
      <c r="U137" s="29">
        <f t="shared" si="72"/>
        <v>403.59999999999997</v>
      </c>
      <c r="V137" s="25">
        <f t="shared" si="73"/>
        <v>406.42666666666662</v>
      </c>
      <c r="W137" s="8">
        <f t="shared" si="74"/>
        <v>0.25</v>
      </c>
      <c r="X137" s="8">
        <f t="shared" si="75"/>
        <v>0.40147126436781599</v>
      </c>
    </row>
    <row r="138" spans="1:24" x14ac:dyDescent="0.35">
      <c r="A138" s="1" t="str">
        <f t="shared" si="55"/>
        <v>DIS</v>
      </c>
      <c r="B138" s="1">
        <f t="shared" si="56"/>
        <v>0</v>
      </c>
      <c r="C138" s="1">
        <f t="shared" si="57"/>
        <v>0</v>
      </c>
      <c r="D138" s="1">
        <f t="shared" si="58"/>
        <v>1</v>
      </c>
      <c r="E138" s="1">
        <f t="shared" si="59"/>
        <v>0</v>
      </c>
      <c r="F138" s="1">
        <f t="shared" si="60"/>
        <v>0</v>
      </c>
      <c r="G138" s="1">
        <f t="shared" si="61"/>
        <v>-2</v>
      </c>
      <c r="H138" s="1">
        <f t="shared" si="62"/>
        <v>0</v>
      </c>
      <c r="L138" s="27">
        <f t="shared" si="63"/>
        <v>40.5</v>
      </c>
      <c r="M138" s="27">
        <f t="shared" si="64"/>
        <v>30.614285714285717</v>
      </c>
      <c r="N138" s="27">
        <f t="shared" si="65"/>
        <v>110.06</v>
      </c>
      <c r="O138" s="27">
        <f t="shared" si="66"/>
        <v>82.364999999999995</v>
      </c>
      <c r="P138" s="27">
        <f t="shared" si="67"/>
        <v>72.783333333333331</v>
      </c>
      <c r="Q138" s="28">
        <f t="shared" si="68"/>
        <v>30.614285714285717</v>
      </c>
      <c r="R138" s="28">
        <f t="shared" si="69"/>
        <v>40.5</v>
      </c>
      <c r="S138" s="23">
        <f t="shared" si="70"/>
        <v>35.557142857142857</v>
      </c>
      <c r="T138" s="29">
        <f t="shared" si="71"/>
        <v>110.06</v>
      </c>
      <c r="U138" s="29">
        <f t="shared" si="72"/>
        <v>82.364999999999995</v>
      </c>
      <c r="V138" s="25">
        <f t="shared" si="73"/>
        <v>96.212500000000006</v>
      </c>
      <c r="W138" s="8">
        <f t="shared" si="74"/>
        <v>1.7058557653676178</v>
      </c>
      <c r="X138" s="8">
        <f t="shared" si="75"/>
        <v>-2.8156565656565546E-2</v>
      </c>
    </row>
    <row r="139" spans="1:24" x14ac:dyDescent="0.35">
      <c r="A139" s="1" t="str">
        <f t="shared" si="55"/>
        <v>META</v>
      </c>
      <c r="B139" s="1">
        <f t="shared" si="56"/>
        <v>1</v>
      </c>
      <c r="C139" s="1">
        <f t="shared" si="57"/>
        <v>0</v>
      </c>
      <c r="D139" s="1">
        <f t="shared" si="58"/>
        <v>1</v>
      </c>
      <c r="E139" s="1">
        <f t="shared" si="59"/>
        <v>1</v>
      </c>
      <c r="F139" s="1">
        <f t="shared" si="60"/>
        <v>1</v>
      </c>
      <c r="G139" s="1">
        <f t="shared" si="61"/>
        <v>1</v>
      </c>
      <c r="H139" s="1">
        <f t="shared" si="62"/>
        <v>1</v>
      </c>
      <c r="L139" s="27">
        <f t="shared" si="63"/>
        <v>1749.4</v>
      </c>
      <c r="M139" s="27">
        <f t="shared" si="64"/>
        <v>504.07142857142861</v>
      </c>
      <c r="N139" s="27">
        <f t="shared" si="65"/>
        <v>972.34</v>
      </c>
      <c r="O139" s="27">
        <f t="shared" si="66"/>
        <v>1273.2950000000001</v>
      </c>
      <c r="P139" s="27">
        <f t="shared" si="67"/>
        <v>2134.2933333333331</v>
      </c>
      <c r="Q139" s="28">
        <f t="shared" si="68"/>
        <v>504.07142857142861</v>
      </c>
      <c r="R139" s="28">
        <f t="shared" si="69"/>
        <v>972.34</v>
      </c>
      <c r="S139" s="23">
        <f t="shared" si="70"/>
        <v>738.20571428571429</v>
      </c>
      <c r="T139" s="29">
        <f t="shared" si="71"/>
        <v>2134.2933333333331</v>
      </c>
      <c r="U139" s="29">
        <f t="shared" si="72"/>
        <v>1749.4</v>
      </c>
      <c r="V139" s="25">
        <f t="shared" si="73"/>
        <v>1941.8466666666666</v>
      </c>
      <c r="W139" s="8">
        <f t="shared" si="74"/>
        <v>1.6304953065089611</v>
      </c>
      <c r="X139" s="8">
        <f t="shared" si="75"/>
        <v>2.2912655367231638</v>
      </c>
    </row>
    <row r="140" spans="1:24" x14ac:dyDescent="0.35">
      <c r="A140" s="1" t="str">
        <f t="shared" si="55"/>
        <v>MCO</v>
      </c>
      <c r="B140" s="1">
        <f t="shared" si="56"/>
        <v>1</v>
      </c>
      <c r="C140" s="1">
        <f t="shared" si="57"/>
        <v>0</v>
      </c>
      <c r="D140" s="1">
        <f t="shared" si="58"/>
        <v>0</v>
      </c>
      <c r="E140" s="1">
        <f t="shared" si="59"/>
        <v>0</v>
      </c>
      <c r="F140" s="1">
        <f t="shared" si="60"/>
        <v>0</v>
      </c>
      <c r="G140" s="1">
        <f t="shared" si="61"/>
        <v>-2</v>
      </c>
      <c r="H140" s="1">
        <f t="shared" si="62"/>
        <v>0</v>
      </c>
      <c r="L140" s="27">
        <f t="shared" si="63"/>
        <v>489.6</v>
      </c>
      <c r="M140" s="27">
        <f t="shared" si="64"/>
        <v>82.44285714285715</v>
      </c>
      <c r="N140" s="27">
        <f t="shared" si="65"/>
        <v>299.93</v>
      </c>
      <c r="O140" s="27">
        <f t="shared" si="66"/>
        <v>347.13499999999999</v>
      </c>
      <c r="P140" s="27">
        <f t="shared" si="67"/>
        <v>412.11666666666662</v>
      </c>
      <c r="Q140" s="28">
        <f t="shared" si="68"/>
        <v>82.44285714285715</v>
      </c>
      <c r="R140" s="28">
        <f t="shared" si="69"/>
        <v>299.93</v>
      </c>
      <c r="S140" s="23">
        <f t="shared" si="70"/>
        <v>191.18642857142856</v>
      </c>
      <c r="T140" s="29">
        <f t="shared" si="71"/>
        <v>489.6</v>
      </c>
      <c r="U140" s="29">
        <f t="shared" si="72"/>
        <v>412.11666666666662</v>
      </c>
      <c r="V140" s="25">
        <f t="shared" si="73"/>
        <v>450.85833333333335</v>
      </c>
      <c r="W140" s="8">
        <f t="shared" si="74"/>
        <v>1.3582130630411853</v>
      </c>
      <c r="X140" s="8">
        <f t="shared" si="75"/>
        <v>-5.4804332634521336E-2</v>
      </c>
    </row>
    <row r="141" spans="1:24" x14ac:dyDescent="0.35">
      <c r="A141" s="1" t="str">
        <f t="shared" si="55"/>
        <v>SPGI</v>
      </c>
      <c r="B141" s="1">
        <f t="shared" si="56"/>
        <v>0</v>
      </c>
      <c r="C141" s="1">
        <f t="shared" si="57"/>
        <v>0</v>
      </c>
      <c r="D141" s="1">
        <f t="shared" si="58"/>
        <v>0</v>
      </c>
      <c r="E141" s="1">
        <f t="shared" si="59"/>
        <v>0</v>
      </c>
      <c r="F141" s="1">
        <f t="shared" si="60"/>
        <v>0</v>
      </c>
      <c r="G141" s="1">
        <f t="shared" si="61"/>
        <v>-3</v>
      </c>
      <c r="H141" s="1">
        <f t="shared" si="62"/>
        <v>0</v>
      </c>
      <c r="L141" s="27">
        <f t="shared" si="63"/>
        <v>283.5</v>
      </c>
      <c r="M141" s="27">
        <f t="shared" si="64"/>
        <v>242.20000000000002</v>
      </c>
      <c r="N141" s="27">
        <f t="shared" si="65"/>
        <v>305.55</v>
      </c>
      <c r="O141" s="27">
        <f t="shared" si="66"/>
        <v>333.42499999999995</v>
      </c>
      <c r="P141" s="27">
        <f t="shared" si="67"/>
        <v>326.47000000000003</v>
      </c>
      <c r="Q141" s="28">
        <f t="shared" si="68"/>
        <v>242.20000000000002</v>
      </c>
      <c r="R141" s="28">
        <f t="shared" si="69"/>
        <v>283.5</v>
      </c>
      <c r="S141" s="23">
        <f t="shared" si="70"/>
        <v>262.85000000000002</v>
      </c>
      <c r="T141" s="29">
        <f t="shared" si="71"/>
        <v>333.42499999999995</v>
      </c>
      <c r="U141" s="29">
        <f t="shared" si="72"/>
        <v>326.47000000000003</v>
      </c>
      <c r="V141" s="25">
        <f t="shared" si="73"/>
        <v>329.94749999999999</v>
      </c>
      <c r="W141" s="8">
        <f t="shared" si="74"/>
        <v>0.2552691649229597</v>
      </c>
      <c r="X141" s="8">
        <f t="shared" si="75"/>
        <v>-0.34404075546719681</v>
      </c>
    </row>
    <row r="142" spans="1:24" x14ac:dyDescent="0.35">
      <c r="A142" s="1" t="str">
        <f t="shared" si="55"/>
        <v>UBER</v>
      </c>
      <c r="B142" s="1">
        <f t="shared" si="56"/>
        <v>0</v>
      </c>
      <c r="C142" s="1">
        <f t="shared" si="57"/>
        <v>0</v>
      </c>
      <c r="D142" s="1">
        <f t="shared" si="58"/>
        <v>1</v>
      </c>
      <c r="E142" s="1">
        <f t="shared" si="59"/>
        <v>0</v>
      </c>
      <c r="F142" s="1">
        <f t="shared" si="60"/>
        <v>1</v>
      </c>
      <c r="G142" s="1">
        <f t="shared" si="61"/>
        <v>-1</v>
      </c>
      <c r="H142" s="1">
        <f t="shared" si="62"/>
        <v>0</v>
      </c>
      <c r="L142" s="27">
        <f t="shared" si="63"/>
        <v>0</v>
      </c>
      <c r="M142" s="27">
        <f t="shared" si="64"/>
        <v>0</v>
      </c>
      <c r="N142" s="27">
        <f t="shared" si="65"/>
        <v>91.13</v>
      </c>
      <c r="O142" s="27">
        <f t="shared" si="66"/>
        <v>70.814999999999998</v>
      </c>
      <c r="P142" s="27">
        <f t="shared" si="67"/>
        <v>148.18</v>
      </c>
      <c r="Q142" s="28">
        <f t="shared" si="68"/>
        <v>0</v>
      </c>
      <c r="R142" s="28">
        <f t="shared" si="69"/>
        <v>70.814999999999998</v>
      </c>
      <c r="S142" s="23">
        <f t="shared" si="70"/>
        <v>35.407499999999999</v>
      </c>
      <c r="T142" s="29">
        <f t="shared" si="71"/>
        <v>148.18</v>
      </c>
      <c r="U142" s="29">
        <f t="shared" si="72"/>
        <v>91.13</v>
      </c>
      <c r="V142" s="25">
        <f t="shared" si="73"/>
        <v>119.655</v>
      </c>
      <c r="W142" s="8">
        <f t="shared" si="74"/>
        <v>2</v>
      </c>
      <c r="X142" s="8">
        <f t="shared" si="75"/>
        <v>0.66187499999999999</v>
      </c>
    </row>
  </sheetData>
  <phoneticPr fontId="4" type="noConversion"/>
  <conditionalFormatting sqref="B23:B41 E23:E41 B50:E50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{FE3F90B9-64D3-47F6-9359-F4E73CB1285F}</x14:id>
        </ext>
      </extLst>
    </cfRule>
  </conditionalFormatting>
  <conditionalFormatting sqref="B116:F142">
    <cfRule type="colorScale" priority="7">
      <colorScale>
        <cfvo type="num" val="-1"/>
        <cfvo type="percentile" val="50"/>
        <cfvo type="num" val="2"/>
        <color theme="8"/>
        <color rgb="FFFFEB84"/>
        <color rgb="FF63BE7B"/>
      </colorScale>
    </cfRule>
  </conditionalFormatting>
  <conditionalFormatting sqref="B87:I87 I88:I106 B88:H11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{9DDE1512-F538-462D-8546-6462BA332A8F}</x14:id>
        </ext>
      </extLst>
    </cfRule>
  </conditionalFormatting>
  <conditionalFormatting sqref="G23:G41 G50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{15BED3F0-7E2C-4E91-85B7-B4ABA89E8185}</x14:id>
        </ext>
      </extLst>
    </cfRule>
  </conditionalFormatting>
  <conditionalFormatting sqref="G115:G142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{A9B131CB-9A08-4E12-83B6-CFBB01822739}</x14:id>
        </ext>
      </extLst>
    </cfRule>
  </conditionalFormatting>
  <conditionalFormatting sqref="H115:I135 H136:H142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{051426CD-99C0-40EA-8B81-9E05DD492243}</x14:id>
        </ext>
      </extLst>
    </cfRule>
  </conditionalFormatting>
  <conditionalFormatting sqref="W115:X11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{3CE0AA25-9540-439A-B7D4-39DEE9AC3412}</x14:id>
        </ext>
      </extLst>
    </cfRule>
  </conditionalFormatting>
  <conditionalFormatting sqref="W116:X14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{1AA42CC3-2439-461A-A32B-86210702BBBA}</x14:id>
        </ext>
      </extLst>
    </cfRule>
  </conditionalFormatting>
  <conditionalFormatting sqref="C23:D4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{EE87DF23-E792-44AF-82EA-DADB2113926F}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3F90B9-64D3-47F6-9359-F4E73CB128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B23:B41 E23:E41 B50:E50</xm:sqref>
        </x14:conditionalFormatting>
        <x14:conditionalFormatting xmlns:xm="http://schemas.microsoft.com/office/excel/2006/main">
          <x14:cfRule type="dataBar" id="{9DDE1512-F538-462D-8546-6462BA332A8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B87:I87 I88:I106 B88:H113</xm:sqref>
        </x14:conditionalFormatting>
        <x14:conditionalFormatting xmlns:xm="http://schemas.microsoft.com/office/excel/2006/main">
          <x14:cfRule type="dataBar" id="{15BED3F0-7E2C-4E91-85B7-B4ABA89E81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G23:G41 G50</xm:sqref>
        </x14:conditionalFormatting>
        <x14:conditionalFormatting xmlns:xm="http://schemas.microsoft.com/office/excel/2006/main">
          <x14:cfRule type="dataBar" id="{A9B131CB-9A08-4E12-83B6-CFBB01822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G115:G142</xm:sqref>
        </x14:conditionalFormatting>
        <x14:conditionalFormatting xmlns:xm="http://schemas.microsoft.com/office/excel/2006/main">
          <x14:cfRule type="dataBar" id="{051426CD-99C0-40EA-8B81-9E05DD492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H115:I135 H136:H142</xm:sqref>
        </x14:conditionalFormatting>
        <x14:conditionalFormatting xmlns:xm="http://schemas.microsoft.com/office/excel/2006/main">
          <x14:cfRule type="dataBar" id="{3CE0AA25-9540-439A-B7D4-39DEE9AC341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W115:X115</xm:sqref>
        </x14:conditionalFormatting>
        <x14:conditionalFormatting xmlns:xm="http://schemas.microsoft.com/office/excel/2006/main">
          <x14:cfRule type="dataBar" id="{1AA42CC3-2439-461A-A32B-86210702BBB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W116:X142</xm:sqref>
        </x14:conditionalFormatting>
        <x14:conditionalFormatting xmlns:xm="http://schemas.microsoft.com/office/excel/2006/main">
          <x14:cfRule type="dataBar" id="{EE87DF23-E792-44AF-82EA-DADB211392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C23:D49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Assumptions</vt:lpstr>
      <vt:lpstr>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 Zhang</dc:creator>
  <cp:lastModifiedBy>Yimin Zhang</cp:lastModifiedBy>
  <dcterms:created xsi:type="dcterms:W3CDTF">2015-06-05T18:17:20Z</dcterms:created>
  <dcterms:modified xsi:type="dcterms:W3CDTF">2024-11-11T22:47:09Z</dcterms:modified>
</cp:coreProperties>
</file>