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Optimisation_w_gp/optimisation_w_gp/mannual/Summary/"/>
    </mc:Choice>
  </mc:AlternateContent>
  <xr:revisionPtr revIDLastSave="169" documentId="11_F25DC773A252ABDACC1048C1019D7EBE5BDE58E8" xr6:coauthVersionLast="47" xr6:coauthVersionMax="47" xr10:uidLastSave="{420F8758-91D7-42CF-ABA3-CA1F92FF1972}"/>
  <bookViews>
    <workbookView xWindow="17220" yWindow="0" windowWidth="23988" windowHeight="16680" activeTab="9" xr2:uid="{00000000-000D-0000-FFFF-FFFF00000000}"/>
  </bookViews>
  <sheets>
    <sheet name="Assumptions" sheetId="4" r:id="rId1"/>
    <sheet name="KO" sheetId="1" r:id="rId2"/>
    <sheet name="PEP" sheetId="2" r:id="rId3"/>
    <sheet name="NKE" sheetId="10" r:id="rId4"/>
    <sheet name="FSLR" sheetId="3" r:id="rId5"/>
    <sheet name="MCHP" sheetId="5" r:id="rId6"/>
    <sheet name="PFE" sheetId="6" r:id="rId7"/>
    <sheet name="JNJ" sheetId="7" r:id="rId8"/>
    <sheet name="BAC" sheetId="8" r:id="rId9"/>
    <sheet name="AXP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0" l="1"/>
  <c r="B47" i="10" s="1"/>
  <c r="B48" i="10" s="1"/>
  <c r="J18" i="10" s="1"/>
  <c r="B43" i="10"/>
  <c r="B41" i="10"/>
  <c r="B40" i="10"/>
  <c r="B38" i="10"/>
  <c r="B37" i="10"/>
  <c r="B36" i="10"/>
  <c r="B39" i="10" s="1"/>
  <c r="J13" i="10" s="1"/>
  <c r="J14" i="10" s="1"/>
  <c r="B35" i="10"/>
  <c r="J17" i="10"/>
  <c r="J15" i="10"/>
  <c r="J12" i="10"/>
  <c r="J10" i="10"/>
  <c r="J9" i="10"/>
  <c r="J8" i="10"/>
  <c r="J7" i="10"/>
  <c r="J6" i="10"/>
  <c r="J5" i="10"/>
  <c r="J4" i="10"/>
  <c r="J3" i="10"/>
  <c r="J2" i="10"/>
  <c r="J1" i="10"/>
  <c r="B46" i="9"/>
  <c r="B43" i="9"/>
  <c r="B41" i="9"/>
  <c r="B40" i="9"/>
  <c r="B38" i="9"/>
  <c r="B36" i="9"/>
  <c r="B39" i="9" s="1"/>
  <c r="J13" i="9" s="1"/>
  <c r="B35" i="9"/>
  <c r="J16" i="9"/>
  <c r="J15" i="9"/>
  <c r="J10" i="9"/>
  <c r="J9" i="9"/>
  <c r="J8" i="9"/>
  <c r="J7" i="9"/>
  <c r="J6" i="9"/>
  <c r="J5" i="9"/>
  <c r="J4" i="9"/>
  <c r="J3" i="9"/>
  <c r="J2" i="9"/>
  <c r="J1" i="9"/>
  <c r="B45" i="8"/>
  <c r="J12" i="8" s="1"/>
  <c r="B39" i="8"/>
  <c r="B36" i="8"/>
  <c r="B46" i="8"/>
  <c r="B43" i="8"/>
  <c r="B41" i="8"/>
  <c r="B40" i="8"/>
  <c r="B38" i="8"/>
  <c r="B37" i="8"/>
  <c r="B35" i="8"/>
  <c r="J16" i="8"/>
  <c r="J15" i="8"/>
  <c r="J10" i="8"/>
  <c r="J9" i="8"/>
  <c r="J8" i="8"/>
  <c r="J7" i="8"/>
  <c r="J6" i="8"/>
  <c r="J5" i="8"/>
  <c r="J4" i="8"/>
  <c r="J3" i="8"/>
  <c r="J2" i="8"/>
  <c r="J1" i="8"/>
  <c r="B40" i="7"/>
  <c r="B46" i="7"/>
  <c r="B47" i="7"/>
  <c r="B48" i="7" s="1"/>
  <c r="J18" i="7" s="1"/>
  <c r="B45" i="7"/>
  <c r="B43" i="7"/>
  <c r="B41" i="7"/>
  <c r="B38" i="7"/>
  <c r="B37" i="7"/>
  <c r="B36" i="7"/>
  <c r="B39" i="7" s="1"/>
  <c r="J13" i="7" s="1"/>
  <c r="J14" i="7" s="1"/>
  <c r="B35" i="7"/>
  <c r="J17" i="7"/>
  <c r="J16" i="7"/>
  <c r="J15" i="7"/>
  <c r="J12" i="7"/>
  <c r="J10" i="7"/>
  <c r="J9" i="7"/>
  <c r="J8" i="7"/>
  <c r="J7" i="7"/>
  <c r="J6" i="7"/>
  <c r="J5" i="7"/>
  <c r="J4" i="7"/>
  <c r="J3" i="7"/>
  <c r="J2" i="7"/>
  <c r="J1" i="7"/>
  <c r="B40" i="6"/>
  <c r="B46" i="6"/>
  <c r="J16" i="6" s="1"/>
  <c r="B45" i="6"/>
  <c r="B43" i="6"/>
  <c r="B41" i="6"/>
  <c r="B38" i="6"/>
  <c r="B37" i="6"/>
  <c r="B36" i="6"/>
  <c r="B39" i="6" s="1"/>
  <c r="J13" i="6" s="1"/>
  <c r="B35" i="6"/>
  <c r="J15" i="6"/>
  <c r="J10" i="6"/>
  <c r="J9" i="6"/>
  <c r="J8" i="6"/>
  <c r="J7" i="6"/>
  <c r="J6" i="6"/>
  <c r="J5" i="6"/>
  <c r="J4" i="6"/>
  <c r="J3" i="6"/>
  <c r="J2" i="6"/>
  <c r="J1" i="6"/>
  <c r="B41" i="5"/>
  <c r="B40" i="5"/>
  <c r="B46" i="5"/>
  <c r="B47" i="5" s="1"/>
  <c r="B48" i="5" s="1"/>
  <c r="J18" i="5" s="1"/>
  <c r="B43" i="5"/>
  <c r="B39" i="5"/>
  <c r="B38" i="5"/>
  <c r="B37" i="5"/>
  <c r="B36" i="5"/>
  <c r="B35" i="5"/>
  <c r="J17" i="5"/>
  <c r="J16" i="5"/>
  <c r="J15" i="5"/>
  <c r="J13" i="5"/>
  <c r="J14" i="5" s="1"/>
  <c r="J12" i="5"/>
  <c r="J10" i="5"/>
  <c r="J9" i="5"/>
  <c r="J8" i="5"/>
  <c r="J7" i="5"/>
  <c r="J6" i="5"/>
  <c r="J5" i="5"/>
  <c r="J4" i="5"/>
  <c r="J3" i="5"/>
  <c r="J2" i="5"/>
  <c r="J1" i="5"/>
  <c r="B47" i="1"/>
  <c r="B39" i="1"/>
  <c r="B37" i="1"/>
  <c r="B46" i="3"/>
  <c r="B40" i="3"/>
  <c r="B46" i="2"/>
  <c r="B40" i="2"/>
  <c r="B46" i="1"/>
  <c r="B40" i="1"/>
  <c r="D18" i="4"/>
  <c r="D17" i="4" s="1"/>
  <c r="D16" i="4"/>
  <c r="B5" i="4"/>
  <c r="B45" i="3"/>
  <c r="B47" i="3" s="1"/>
  <c r="B48" i="3" s="1"/>
  <c r="J18" i="3" s="1"/>
  <c r="B43" i="3"/>
  <c r="B41" i="3"/>
  <c r="B38" i="3"/>
  <c r="B37" i="3"/>
  <c r="B36" i="3"/>
  <c r="B39" i="3" s="1"/>
  <c r="J13" i="3" s="1"/>
  <c r="B35" i="3"/>
  <c r="J16" i="3"/>
  <c r="J15" i="3"/>
  <c r="J10" i="3"/>
  <c r="J9" i="3"/>
  <c r="J8" i="3"/>
  <c r="J7" i="3"/>
  <c r="J6" i="3"/>
  <c r="J5" i="3"/>
  <c r="J4" i="3"/>
  <c r="J3" i="3"/>
  <c r="J2" i="3"/>
  <c r="J1" i="3"/>
  <c r="B41" i="2"/>
  <c r="B43" i="2"/>
  <c r="B38" i="2"/>
  <c r="B37" i="2"/>
  <c r="B36" i="2"/>
  <c r="B39" i="2" s="1"/>
  <c r="J13" i="2" s="1"/>
  <c r="J14" i="2" s="1"/>
  <c r="B35" i="2"/>
  <c r="J17" i="2"/>
  <c r="J15" i="2"/>
  <c r="J12" i="2"/>
  <c r="J10" i="2"/>
  <c r="J9" i="2"/>
  <c r="J8" i="2"/>
  <c r="J7" i="2"/>
  <c r="J6" i="2"/>
  <c r="J5" i="2"/>
  <c r="J4" i="2"/>
  <c r="J3" i="2"/>
  <c r="J2" i="2"/>
  <c r="J1" i="2"/>
  <c r="B48" i="1"/>
  <c r="B43" i="1"/>
  <c r="B41" i="1"/>
  <c r="B38" i="1"/>
  <c r="B36" i="1"/>
  <c r="B35" i="1"/>
  <c r="J17" i="1"/>
  <c r="J15" i="1"/>
  <c r="J13" i="1"/>
  <c r="J14" i="1" s="1"/>
  <c r="J12" i="1"/>
  <c r="J10" i="1"/>
  <c r="J9" i="1"/>
  <c r="J8" i="1"/>
  <c r="J7" i="1"/>
  <c r="J6" i="1"/>
  <c r="J5" i="1"/>
  <c r="J4" i="1"/>
  <c r="J3" i="1"/>
  <c r="J2" i="1"/>
  <c r="J1" i="1"/>
  <c r="B42" i="10" l="1"/>
  <c r="B44" i="10" s="1"/>
  <c r="J16" i="10"/>
  <c r="B47" i="9"/>
  <c r="B48" i="9" s="1"/>
  <c r="J17" i="9"/>
  <c r="J12" i="9"/>
  <c r="J14" i="9" s="1"/>
  <c r="B37" i="9"/>
  <c r="J17" i="8"/>
  <c r="B47" i="8"/>
  <c r="B48" i="8" s="1"/>
  <c r="B42" i="8" s="1"/>
  <c r="B44" i="8" s="1"/>
  <c r="J13" i="8"/>
  <c r="J14" i="8" s="1"/>
  <c r="B42" i="7"/>
  <c r="B44" i="7" s="1"/>
  <c r="B54" i="7"/>
  <c r="B53" i="7"/>
  <c r="J20" i="7" s="1"/>
  <c r="B52" i="7"/>
  <c r="J19" i="7" s="1"/>
  <c r="J11" i="7"/>
  <c r="B47" i="6"/>
  <c r="B48" i="6" s="1"/>
  <c r="J18" i="6" s="1"/>
  <c r="J12" i="6"/>
  <c r="J14" i="6" s="1"/>
  <c r="J17" i="6"/>
  <c r="B42" i="5"/>
  <c r="B44" i="5" s="1"/>
  <c r="B42" i="3"/>
  <c r="B44" i="3" s="1"/>
  <c r="B47" i="2"/>
  <c r="B48" i="2" s="1"/>
  <c r="J18" i="2" s="1"/>
  <c r="J16" i="2"/>
  <c r="J12" i="3"/>
  <c r="J14" i="3" s="1"/>
  <c r="J17" i="3"/>
  <c r="J18" i="1"/>
  <c r="B42" i="1"/>
  <c r="B44" i="1" s="1"/>
  <c r="J16" i="1"/>
  <c r="B54" i="10" l="1"/>
  <c r="J11" i="10"/>
  <c r="B53" i="10"/>
  <c r="J20" i="10" s="1"/>
  <c r="B52" i="10"/>
  <c r="J19" i="10" s="1"/>
  <c r="B42" i="9"/>
  <c r="B44" i="9" s="1"/>
  <c r="J18" i="9"/>
  <c r="J18" i="8"/>
  <c r="B54" i="8"/>
  <c r="B53" i="8"/>
  <c r="J20" i="8" s="1"/>
  <c r="J11" i="8"/>
  <c r="B52" i="8"/>
  <c r="J19" i="8" s="1"/>
  <c r="B42" i="6"/>
  <c r="B44" i="6" s="1"/>
  <c r="J11" i="6" s="1"/>
  <c r="B54" i="5"/>
  <c r="B53" i="5"/>
  <c r="J20" i="5" s="1"/>
  <c r="J11" i="5"/>
  <c r="B52" i="5"/>
  <c r="J19" i="5" s="1"/>
  <c r="B42" i="2"/>
  <c r="B44" i="2" s="1"/>
  <c r="B53" i="2" s="1"/>
  <c r="J20" i="2" s="1"/>
  <c r="B54" i="3"/>
  <c r="B53" i="3"/>
  <c r="J20" i="3" s="1"/>
  <c r="B52" i="3"/>
  <c r="J19" i="3" s="1"/>
  <c r="J11" i="3"/>
  <c r="B54" i="1"/>
  <c r="B53" i="1"/>
  <c r="J20" i="1" s="1"/>
  <c r="J11" i="1"/>
  <c r="B52" i="1"/>
  <c r="J19" i="1" s="1"/>
  <c r="B54" i="6" l="1"/>
  <c r="B54" i="9"/>
  <c r="B53" i="9"/>
  <c r="J20" i="9" s="1"/>
  <c r="B52" i="9"/>
  <c r="J19" i="9" s="1"/>
  <c r="J11" i="9"/>
  <c r="B53" i="6"/>
  <c r="J20" i="6" s="1"/>
  <c r="B52" i="6"/>
  <c r="J19" i="6" s="1"/>
  <c r="B52" i="2"/>
  <c r="J19" i="2" s="1"/>
  <c r="B54" i="2"/>
  <c r="J11" i="2"/>
</calcChain>
</file>

<file path=xl/sharedStrings.xml><?xml version="1.0" encoding="utf-8"?>
<sst xmlns="http://schemas.openxmlformats.org/spreadsheetml/2006/main" count="942" uniqueCount="119">
  <si>
    <t>code</t>
  </si>
  <si>
    <t>KO</t>
  </si>
  <si>
    <t>index</t>
  </si>
  <si>
    <t>price</t>
  </si>
  <si>
    <t>i_cost</t>
  </si>
  <si>
    <t>o</t>
  </si>
  <si>
    <t>financials</t>
  </si>
  <si>
    <t>i</t>
  </si>
  <si>
    <t>Year 2023</t>
  </si>
  <si>
    <t>ii_low</t>
  </si>
  <si>
    <t>net income</t>
  </si>
  <si>
    <t>million</t>
  </si>
  <si>
    <t>ii_med</t>
  </si>
  <si>
    <t>EBIT</t>
  </si>
  <si>
    <t>ii_high</t>
  </si>
  <si>
    <t>gross income</t>
  </si>
  <si>
    <t>iii_low</t>
  </si>
  <si>
    <t>revenue</t>
  </si>
  <si>
    <t>iii_med</t>
  </si>
  <si>
    <t>share</t>
  </si>
  <si>
    <t>iii_high</t>
  </si>
  <si>
    <t>asset</t>
  </si>
  <si>
    <t>iv_rate</t>
  </si>
  <si>
    <t>equity</t>
  </si>
  <si>
    <t>iv_up</t>
  </si>
  <si>
    <t>debt</t>
  </si>
  <si>
    <t>iv_do</t>
  </si>
  <si>
    <t>dividend</t>
  </si>
  <si>
    <t>per share</t>
  </si>
  <si>
    <t>iv_cap</t>
  </si>
  <si>
    <t>x_div</t>
  </si>
  <si>
    <t>analysis</t>
  </si>
  <si>
    <t>x_rate</t>
  </si>
  <si>
    <t>EPS</t>
  </si>
  <si>
    <t>x_roe</t>
  </si>
  <si>
    <t>trailing</t>
  </si>
  <si>
    <t>billion</t>
  </si>
  <si>
    <t>per</t>
  </si>
  <si>
    <t>forward - low</t>
  </si>
  <si>
    <t>low</t>
  </si>
  <si>
    <t>forward - mid</t>
  </si>
  <si>
    <t>mid</t>
  </si>
  <si>
    <t>forward - high</t>
  </si>
  <si>
    <t>next - low</t>
  </si>
  <si>
    <t>next - mid</t>
  </si>
  <si>
    <t>next - high</t>
  </si>
  <si>
    <t>growth estimates</t>
  </si>
  <si>
    <t>value</t>
  </si>
  <si>
    <t>past 5 years</t>
  </si>
  <si>
    <t>next 5 years</t>
  </si>
  <si>
    <t>current</t>
  </si>
  <si>
    <t>next</t>
  </si>
  <si>
    <t>yz estimates</t>
  </si>
  <si>
    <t>ROE</t>
  </si>
  <si>
    <t>current ROE</t>
  </si>
  <si>
    <t>ROA - before interest</t>
  </si>
  <si>
    <t>current EBIT/asset</t>
  </si>
  <si>
    <t>WACC</t>
  </si>
  <si>
    <t>current WACC</t>
  </si>
  <si>
    <t>downside potential</t>
  </si>
  <si>
    <t>normalised using next year estimates</t>
  </si>
  <si>
    <t>leverage health</t>
  </si>
  <si>
    <t>Check whether current leverage rate is sustainable (i.e. profitability if the downside is x times next EPS)</t>
  </si>
  <si>
    <t>growth - sector</t>
  </si>
  <si>
    <t>growth - revenue</t>
  </si>
  <si>
    <t>growth - profitability</t>
  </si>
  <si>
    <t>growth - market</t>
  </si>
  <si>
    <t>growth - average</t>
  </si>
  <si>
    <t>ROE in 10 years</t>
  </si>
  <si>
    <t>* capped at 30%</t>
  </si>
  <si>
    <t>Growth in 10 years</t>
  </si>
  <si>
    <t>PE in 10 years</t>
  </si>
  <si>
    <t>PE adjusted</t>
  </si>
  <si>
    <t>yz calculation</t>
  </si>
  <si>
    <t>medium</t>
  </si>
  <si>
    <t>high</t>
  </si>
  <si>
    <t>PEP</t>
  </si>
  <si>
    <t>FSLR</t>
  </si>
  <si>
    <t>* average of current and a cap of 30%</t>
  </si>
  <si>
    <t>General Assumptions</t>
  </si>
  <si>
    <t>Value</t>
  </si>
  <si>
    <t>Explanation</t>
  </si>
  <si>
    <t>crate</t>
  </si>
  <si>
    <t>5% interest rate</t>
  </si>
  <si>
    <t>mrate</t>
  </si>
  <si>
    <t>10% cost of equity</t>
  </si>
  <si>
    <t>mult buffer</t>
  </si>
  <si>
    <t>Assuming the current 2-year estimation of downside covering 40% (0.52 sigma), then 95% (1.96 sigma) of the time, the investigated entity is still profitable after interest.</t>
  </si>
  <si>
    <t>INFLATION</t>
  </si>
  <si>
    <t>3% inflation rate</t>
  </si>
  <si>
    <t>POPULATION</t>
  </si>
  <si>
    <t>Genetic economic growth due to population growth</t>
  </si>
  <si>
    <t>EFFICIENCY</t>
  </si>
  <si>
    <t>Efficiency improvement (only assumed for mature sector)</t>
  </si>
  <si>
    <t>Norminal</t>
  </si>
  <si>
    <t>Normal growth = Inflation + Efficiency + Efficiency</t>
  </si>
  <si>
    <t>Expanding</t>
  </si>
  <si>
    <t>Assumed revenue growth rate for expanding sectors.</t>
  </si>
  <si>
    <t>Sector Assumptions</t>
  </si>
  <si>
    <t>SECTOR - Simiplified - 3 types are defined out of specific sectors in previous versions.</t>
  </si>
  <si>
    <t>Code</t>
  </si>
  <si>
    <t>Near</t>
  </si>
  <si>
    <t>Long-term</t>
  </si>
  <si>
    <t>Traditional</t>
  </si>
  <si>
    <t>Stable &amp; Mature Markets</t>
  </si>
  <si>
    <t>Trad</t>
  </si>
  <si>
    <t>Evolving</t>
  </si>
  <si>
    <t>New modes in traditional sectors</t>
  </si>
  <si>
    <t>Evol</t>
  </si>
  <si>
    <t>New bussiness model</t>
  </si>
  <si>
    <t>Exp</t>
  </si>
  <si>
    <t>MCHP</t>
  </si>
  <si>
    <t>PFE</t>
  </si>
  <si>
    <t>JNJ</t>
  </si>
  <si>
    <t>TTM</t>
  </si>
  <si>
    <t>BAC</t>
  </si>
  <si>
    <t>This could be wrong for Banks</t>
  </si>
  <si>
    <t>AXP</t>
  </si>
  <si>
    <t>NKD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</si>
</sst>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0.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Calligraphy"/>
      <family val="4"/>
    </font>
    <font>
      <sz val="11"/>
      <color theme="1"/>
      <name val="Algerian"/>
      <family val="5"/>
    </font>
    <font>
      <u/>
      <sz val="11"/>
      <color theme="1"/>
      <name val="Lucida Calligraphy"/>
      <family val="4"/>
    </font>
    <font>
      <sz val="11"/>
      <color rgb="FFFF0000"/>
      <name val="Lucida Calligraphy"/>
      <family val="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left" vertical="center"/>
    </xf>
    <xf numFmtId="164" fontId="2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" fontId="2" fillId="0" borderId="0" xfId="0" applyNumberFormat="1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/>
    </xf>
    <xf numFmtId="2" fontId="2" fillId="2" borderId="0" xfId="3" applyNumberFormat="1" applyFont="1" applyFill="1" applyAlignment="1">
      <alignment horizontal="center"/>
    </xf>
    <xf numFmtId="9" fontId="2" fillId="3" borderId="0" xfId="3" applyFont="1" applyFill="1" applyAlignment="1">
      <alignment horizontal="center"/>
    </xf>
    <xf numFmtId="9" fontId="2" fillId="4" borderId="0" xfId="3" applyFont="1" applyFill="1" applyAlignment="1">
      <alignment horizontal="center"/>
    </xf>
    <xf numFmtId="9" fontId="2" fillId="5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7" borderId="0" xfId="3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2" fontId="2" fillId="8" borderId="0" xfId="3" applyNumberFormat="1" applyFont="1" applyFill="1" applyAlignment="1">
      <alignment horizontal="center"/>
    </xf>
    <xf numFmtId="2" fontId="2" fillId="9" borderId="0" xfId="3" applyNumberFormat="1" applyFont="1" applyFill="1" applyAlignment="1">
      <alignment horizontal="center"/>
    </xf>
    <xf numFmtId="0" fontId="5" fillId="0" borderId="0" xfId="0" applyFont="1"/>
    <xf numFmtId="2" fontId="2" fillId="10" borderId="0" xfId="3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melbcloud-my.sharepoint.com/personal/yimin_zhang1_unimelb_edu_au/Documents/Documents/Local%20Files/Optimisation_w_gp/optimisation_w_gp/mannual/Summary/2024_11_Summary.xlsx" TargetMode="External"/><Relationship Id="rId1" Type="http://schemas.openxmlformats.org/officeDocument/2006/relationships/externalLinkPath" Target="2024_11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G"/>
      <sheetName val="Assumptions"/>
    </sheetNames>
    <sheetDataSet>
      <sheetData sheetId="0" refreshError="1"/>
      <sheetData sheetId="1">
        <row r="3">
          <cell r="B3">
            <v>0.05</v>
          </cell>
        </row>
        <row r="4">
          <cell r="B4">
            <v>0.1</v>
          </cell>
        </row>
        <row r="5">
          <cell r="B5">
            <v>3.7692307692307692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9A5B-CB7A-4690-BBBA-DA67608EB0E5}">
  <dimension ref="A1:E18"/>
  <sheetViews>
    <sheetView workbookViewId="0">
      <selection activeCell="B38" sqref="B38"/>
    </sheetView>
  </sheetViews>
  <sheetFormatPr defaultRowHeight="14.4" x14ac:dyDescent="0.3"/>
  <cols>
    <col min="1" max="1" width="25.21875" customWidth="1"/>
    <col min="2" max="2" width="36.88671875" bestFit="1" customWidth="1"/>
  </cols>
  <sheetData>
    <row r="1" spans="1:5" ht="15" x14ac:dyDescent="0.35">
      <c r="A1" s="3" t="s">
        <v>79</v>
      </c>
      <c r="B1" s="2"/>
      <c r="C1" s="3"/>
      <c r="D1" s="3"/>
      <c r="E1" s="3"/>
    </row>
    <row r="2" spans="1:5" ht="15" x14ac:dyDescent="0.35">
      <c r="A2" s="3"/>
      <c r="B2" s="2" t="s">
        <v>80</v>
      </c>
      <c r="C2" s="3" t="s">
        <v>81</v>
      </c>
      <c r="D2" s="3"/>
      <c r="E2" s="3"/>
    </row>
    <row r="3" spans="1:5" ht="15" x14ac:dyDescent="0.35">
      <c r="A3" s="3" t="s">
        <v>82</v>
      </c>
      <c r="B3" s="17">
        <v>0.05</v>
      </c>
      <c r="C3" s="3" t="s">
        <v>83</v>
      </c>
      <c r="D3" s="3"/>
      <c r="E3" s="3"/>
    </row>
    <row r="4" spans="1:5" ht="15" x14ac:dyDescent="0.35">
      <c r="A4" s="3" t="s">
        <v>84</v>
      </c>
      <c r="B4" s="17">
        <v>0.1</v>
      </c>
      <c r="C4" s="3" t="s">
        <v>85</v>
      </c>
      <c r="D4" s="3"/>
      <c r="E4" s="3"/>
    </row>
    <row r="5" spans="1:5" ht="15" x14ac:dyDescent="0.35">
      <c r="A5" s="3" t="s">
        <v>86</v>
      </c>
      <c r="B5" s="14">
        <f>1.96/0.52</f>
        <v>3.7692307692307692</v>
      </c>
      <c r="C5" s="3" t="s">
        <v>87</v>
      </c>
      <c r="D5" s="3"/>
      <c r="E5" s="3"/>
    </row>
    <row r="6" spans="1:5" ht="15" x14ac:dyDescent="0.35">
      <c r="A6" s="3" t="s">
        <v>88</v>
      </c>
      <c r="B6" s="16">
        <v>0.03</v>
      </c>
      <c r="C6" s="3" t="s">
        <v>89</v>
      </c>
      <c r="D6" s="3"/>
      <c r="E6" s="3"/>
    </row>
    <row r="7" spans="1:5" ht="15" x14ac:dyDescent="0.35">
      <c r="A7" s="3" t="s">
        <v>90</v>
      </c>
      <c r="B7" s="16">
        <v>0.01</v>
      </c>
      <c r="C7" s="3" t="s">
        <v>91</v>
      </c>
      <c r="D7" s="3"/>
      <c r="E7" s="3"/>
    </row>
    <row r="8" spans="1:5" ht="15" x14ac:dyDescent="0.35">
      <c r="A8" s="3" t="s">
        <v>92</v>
      </c>
      <c r="B8" s="16">
        <v>0.02</v>
      </c>
      <c r="C8" s="3" t="s">
        <v>93</v>
      </c>
      <c r="D8" s="3"/>
      <c r="E8" s="3"/>
    </row>
    <row r="9" spans="1:5" ht="15" x14ac:dyDescent="0.35">
      <c r="A9" s="3" t="s">
        <v>94</v>
      </c>
      <c r="B9" s="16">
        <v>0.06</v>
      </c>
      <c r="C9" s="3" t="s">
        <v>95</v>
      </c>
      <c r="D9" s="3"/>
      <c r="E9" s="3"/>
    </row>
    <row r="10" spans="1:5" ht="15" x14ac:dyDescent="0.35">
      <c r="A10" s="3" t="s">
        <v>96</v>
      </c>
      <c r="B10" s="16">
        <v>0.08</v>
      </c>
      <c r="C10" s="3" t="s">
        <v>97</v>
      </c>
      <c r="D10" s="3"/>
      <c r="E10" s="3"/>
    </row>
    <row r="11" spans="1:5" ht="15" x14ac:dyDescent="0.35">
      <c r="A11" s="3"/>
      <c r="B11" s="2"/>
      <c r="C11" s="3"/>
      <c r="D11" s="3"/>
      <c r="E11" s="3"/>
    </row>
    <row r="12" spans="1:5" ht="15" x14ac:dyDescent="0.35">
      <c r="A12" s="3"/>
      <c r="B12" s="2"/>
      <c r="C12" s="3"/>
      <c r="D12" s="3"/>
      <c r="E12" s="3"/>
    </row>
    <row r="13" spans="1:5" ht="15" x14ac:dyDescent="0.35">
      <c r="A13" s="3" t="s">
        <v>98</v>
      </c>
      <c r="B13" s="2"/>
      <c r="C13" s="3"/>
      <c r="D13" s="3"/>
      <c r="E13" s="3"/>
    </row>
    <row r="14" spans="1:5" ht="15" x14ac:dyDescent="0.35">
      <c r="A14" s="3"/>
      <c r="B14" s="2"/>
      <c r="C14" s="3"/>
      <c r="D14" s="3"/>
      <c r="E14" s="3"/>
    </row>
    <row r="15" spans="1:5" ht="15" x14ac:dyDescent="0.35">
      <c r="A15" s="3" t="s">
        <v>99</v>
      </c>
      <c r="B15" s="3"/>
      <c r="C15" s="3" t="s">
        <v>100</v>
      </c>
      <c r="D15" s="2" t="s">
        <v>101</v>
      </c>
      <c r="E15" s="2" t="s">
        <v>102</v>
      </c>
    </row>
    <row r="16" spans="1:5" ht="15" x14ac:dyDescent="0.35">
      <c r="A16" s="3" t="s">
        <v>103</v>
      </c>
      <c r="B16" s="3" t="s">
        <v>104</v>
      </c>
      <c r="C16" s="3" t="s">
        <v>105</v>
      </c>
      <c r="D16" s="26">
        <f>SUM(B6:B8)</f>
        <v>0.06</v>
      </c>
      <c r="E16" s="26">
        <v>0.06</v>
      </c>
    </row>
    <row r="17" spans="1:5" ht="15" x14ac:dyDescent="0.35">
      <c r="A17" s="3" t="s">
        <v>106</v>
      </c>
      <c r="B17" s="3" t="s">
        <v>107</v>
      </c>
      <c r="C17" s="3" t="s">
        <v>108</v>
      </c>
      <c r="D17" s="26">
        <f>(D16+D18)/2</f>
        <v>0.08</v>
      </c>
      <c r="E17" s="26">
        <v>0.06</v>
      </c>
    </row>
    <row r="18" spans="1:5" ht="15" x14ac:dyDescent="0.35">
      <c r="A18" s="3" t="s">
        <v>96</v>
      </c>
      <c r="B18" s="3" t="s">
        <v>109</v>
      </c>
      <c r="C18" s="3" t="s">
        <v>110</v>
      </c>
      <c r="D18" s="26">
        <f>B10+B8</f>
        <v>0.1</v>
      </c>
      <c r="E18" s="26">
        <v>0.06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44D3-85C6-417A-924E-B57002A53A53}">
  <dimension ref="A1:K55"/>
  <sheetViews>
    <sheetView tabSelected="1" topLeftCell="G1"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117</v>
      </c>
      <c r="I1" s="3" t="s">
        <v>2</v>
      </c>
      <c r="J1" s="3" t="str">
        <f>B1</f>
        <v>AXP</v>
      </c>
      <c r="K1" s="3" t="s">
        <v>117</v>
      </c>
    </row>
    <row r="2" spans="1:11" x14ac:dyDescent="0.35">
      <c r="A2" s="1" t="s">
        <v>3</v>
      </c>
      <c r="B2" s="2">
        <v>290</v>
      </c>
      <c r="I2" s="3" t="s">
        <v>4</v>
      </c>
      <c r="J2" s="3">
        <f>B2</f>
        <v>290</v>
      </c>
      <c r="K2" s="3">
        <v>290</v>
      </c>
    </row>
    <row r="3" spans="1:11" x14ac:dyDescent="0.35">
      <c r="I3" s="3" t="s">
        <v>5</v>
      </c>
      <c r="J3" s="4">
        <f>B28</f>
        <v>0.24840000000000001</v>
      </c>
      <c r="K3" s="3">
        <v>0.24840000000000001</v>
      </c>
    </row>
    <row r="4" spans="1:11" x14ac:dyDescent="0.35">
      <c r="A4" s="1" t="s">
        <v>6</v>
      </c>
      <c r="I4" s="3" t="s">
        <v>7</v>
      </c>
      <c r="J4" s="3">
        <f>B18</f>
        <v>11.21</v>
      </c>
      <c r="K4" s="3">
        <v>11.21</v>
      </c>
    </row>
    <row r="5" spans="1:11" x14ac:dyDescent="0.35">
      <c r="B5" s="3" t="s">
        <v>8</v>
      </c>
      <c r="I5" s="3" t="s">
        <v>9</v>
      </c>
      <c r="J5" s="3">
        <f t="shared" ref="J5:J10" si="0">B19</f>
        <v>13.23</v>
      </c>
      <c r="K5" s="3">
        <v>13.23</v>
      </c>
    </row>
    <row r="6" spans="1:11" x14ac:dyDescent="0.35">
      <c r="A6" s="5" t="s">
        <v>10</v>
      </c>
      <c r="B6" s="6">
        <v>9760</v>
      </c>
      <c r="C6" s="3" t="s">
        <v>11</v>
      </c>
      <c r="D6" s="7"/>
      <c r="I6" s="3" t="s">
        <v>12</v>
      </c>
      <c r="J6" s="3">
        <f t="shared" si="0"/>
        <v>13.34</v>
      </c>
      <c r="K6" s="3">
        <v>13.34</v>
      </c>
    </row>
    <row r="7" spans="1:11" x14ac:dyDescent="0.35">
      <c r="A7" s="5" t="s">
        <v>13</v>
      </c>
      <c r="B7" s="6">
        <v>64417</v>
      </c>
      <c r="C7" s="3" t="s">
        <v>11</v>
      </c>
      <c r="D7" s="7"/>
      <c r="I7" s="3" t="s">
        <v>14</v>
      </c>
      <c r="J7" s="3">
        <f t="shared" si="0"/>
        <v>13.55</v>
      </c>
      <c r="K7" s="3">
        <v>13.55</v>
      </c>
    </row>
    <row r="8" spans="1:11" x14ac:dyDescent="0.35">
      <c r="A8" s="5" t="s">
        <v>15</v>
      </c>
      <c r="B8" s="6"/>
      <c r="C8" s="3" t="s">
        <v>11</v>
      </c>
      <c r="D8" s="7"/>
      <c r="I8" s="3" t="s">
        <v>16</v>
      </c>
      <c r="J8" s="3">
        <f t="shared" si="0"/>
        <v>14.6</v>
      </c>
      <c r="K8" s="3">
        <v>14.6</v>
      </c>
    </row>
    <row r="9" spans="1:11" x14ac:dyDescent="0.35">
      <c r="A9" s="5" t="s">
        <v>17</v>
      </c>
      <c r="B9" s="6">
        <v>64417</v>
      </c>
      <c r="C9" s="3" t="s">
        <v>11</v>
      </c>
      <c r="D9" s="7"/>
      <c r="I9" s="3" t="s">
        <v>18</v>
      </c>
      <c r="J9" s="3">
        <f t="shared" si="0"/>
        <v>15.12</v>
      </c>
      <c r="K9" s="3">
        <v>15.12</v>
      </c>
    </row>
    <row r="10" spans="1:11" x14ac:dyDescent="0.35">
      <c r="A10" s="5" t="s">
        <v>19</v>
      </c>
      <c r="B10" s="8">
        <v>742</v>
      </c>
      <c r="C10" s="3" t="s">
        <v>11</v>
      </c>
      <c r="D10" s="7"/>
      <c r="I10" s="3" t="s">
        <v>20</v>
      </c>
      <c r="J10" s="3">
        <f t="shared" si="0"/>
        <v>15.6</v>
      </c>
      <c r="K10" s="3">
        <v>15.6</v>
      </c>
    </row>
    <row r="11" spans="1:11" x14ac:dyDescent="0.35">
      <c r="A11" s="5" t="s">
        <v>21</v>
      </c>
      <c r="B11" s="6">
        <v>261108</v>
      </c>
      <c r="C11" s="3" t="s">
        <v>11</v>
      </c>
      <c r="D11" s="7"/>
      <c r="I11" s="3" t="s">
        <v>22</v>
      </c>
      <c r="J11" s="9">
        <f>B44*100</f>
        <v>11.347316248826363</v>
      </c>
      <c r="K11" s="3">
        <v>11.347316248826363</v>
      </c>
    </row>
    <row r="12" spans="1:11" x14ac:dyDescent="0.35">
      <c r="A12" s="5" t="s">
        <v>23</v>
      </c>
      <c r="B12" s="6">
        <v>28057</v>
      </c>
      <c r="C12" s="3" t="s">
        <v>11</v>
      </c>
      <c r="D12" s="7"/>
      <c r="I12" s="3" t="s">
        <v>24</v>
      </c>
      <c r="J12" s="9">
        <f>100+B45*100</f>
        <v>130</v>
      </c>
      <c r="K12" s="3">
        <v>130</v>
      </c>
    </row>
    <row r="13" spans="1:11" x14ac:dyDescent="0.35">
      <c r="A13" s="5" t="s">
        <v>25</v>
      </c>
      <c r="B13" s="6">
        <v>233.05099999999999</v>
      </c>
      <c r="C13" s="3" t="s">
        <v>11</v>
      </c>
      <c r="D13" s="7"/>
      <c r="I13" s="3" t="s">
        <v>26</v>
      </c>
      <c r="J13" s="3">
        <f>130+IF(B39&gt;1,-20)+IF(B39&lt;-1,20)</f>
        <v>110</v>
      </c>
      <c r="K13" s="3">
        <v>110</v>
      </c>
    </row>
    <row r="14" spans="1:11" x14ac:dyDescent="0.35">
      <c r="A14" s="1" t="s">
        <v>27</v>
      </c>
      <c r="B14" s="2">
        <v>2.8</v>
      </c>
      <c r="C14" s="3" t="s">
        <v>28</v>
      </c>
      <c r="D14" s="10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0.96551724137931028</v>
      </c>
      <c r="K15" s="3">
        <v>0.96551724137931028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1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2">
        <v>11.21</v>
      </c>
      <c r="C18" s="3" t="s">
        <v>28</v>
      </c>
      <c r="D18" s="13">
        <v>60.52</v>
      </c>
      <c r="E18" s="3" t="s">
        <v>36</v>
      </c>
      <c r="F18" s="14"/>
      <c r="H18" s="7"/>
      <c r="I18" s="3" t="s">
        <v>37</v>
      </c>
      <c r="J18" s="9">
        <f>B48</f>
        <v>18.62325304787392</v>
      </c>
      <c r="K18" s="3">
        <v>18.62325304787392</v>
      </c>
    </row>
    <row r="19" spans="1:11" x14ac:dyDescent="0.35">
      <c r="A19" s="1" t="s">
        <v>38</v>
      </c>
      <c r="B19" s="12">
        <v>13.23</v>
      </c>
      <c r="C19" s="3" t="s">
        <v>28</v>
      </c>
      <c r="D19" s="13">
        <v>65.58</v>
      </c>
      <c r="E19" s="3" t="s">
        <v>36</v>
      </c>
      <c r="F19" s="15"/>
      <c r="H19" s="7"/>
      <c r="I19" s="3" t="s">
        <v>39</v>
      </c>
      <c r="J19" s="9">
        <f>B52</f>
        <v>260.89007249654236</v>
      </c>
      <c r="K19" s="3">
        <v>260.89007249654236</v>
      </c>
    </row>
    <row r="20" spans="1:11" x14ac:dyDescent="0.35">
      <c r="A20" s="1" t="s">
        <v>40</v>
      </c>
      <c r="B20" s="12">
        <v>13.34</v>
      </c>
      <c r="C20" s="3" t="s">
        <v>28</v>
      </c>
      <c r="D20" s="13">
        <v>65.91</v>
      </c>
      <c r="E20" s="3" t="s">
        <v>36</v>
      </c>
      <c r="F20" s="15"/>
      <c r="H20" s="7"/>
      <c r="I20" s="3" t="s">
        <v>41</v>
      </c>
      <c r="J20" s="9">
        <f>B53</f>
        <v>280.16036194230969</v>
      </c>
      <c r="K20" s="3">
        <v>280.16036194230969</v>
      </c>
    </row>
    <row r="21" spans="1:11" x14ac:dyDescent="0.35">
      <c r="A21" s="1" t="s">
        <v>42</v>
      </c>
      <c r="B21" s="12">
        <v>13.55</v>
      </c>
      <c r="C21" s="3" t="s">
        <v>28</v>
      </c>
      <c r="D21" s="13">
        <v>66.06</v>
      </c>
      <c r="E21" s="3" t="s">
        <v>36</v>
      </c>
      <c r="F21" s="15"/>
      <c r="H21" s="7"/>
    </row>
    <row r="22" spans="1:11" x14ac:dyDescent="0.35">
      <c r="A22" s="1" t="s">
        <v>43</v>
      </c>
      <c r="B22" s="12">
        <v>14.6</v>
      </c>
      <c r="C22" s="3" t="s">
        <v>28</v>
      </c>
      <c r="D22" s="13">
        <v>69.75</v>
      </c>
      <c r="E22" s="3" t="s">
        <v>36</v>
      </c>
      <c r="F22" s="15"/>
      <c r="H22" s="7"/>
    </row>
    <row r="23" spans="1:11" x14ac:dyDescent="0.35">
      <c r="A23" s="1" t="s">
        <v>44</v>
      </c>
      <c r="B23" s="12">
        <v>15.12</v>
      </c>
      <c r="C23" s="3" t="s">
        <v>28</v>
      </c>
      <c r="D23" s="13">
        <v>71.17</v>
      </c>
      <c r="E23" s="3" t="s">
        <v>36</v>
      </c>
      <c r="F23" s="15"/>
      <c r="H23" s="7"/>
    </row>
    <row r="24" spans="1:11" x14ac:dyDescent="0.35">
      <c r="A24" s="1" t="s">
        <v>45</v>
      </c>
      <c r="B24" s="12">
        <v>15.6</v>
      </c>
      <c r="C24" s="3" t="s">
        <v>28</v>
      </c>
      <c r="D24" s="13">
        <v>72.45</v>
      </c>
      <c r="E24" s="3" t="s">
        <v>36</v>
      </c>
      <c r="F24" s="15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6">
        <v>0.24840000000000001</v>
      </c>
    </row>
    <row r="29" spans="1:11" x14ac:dyDescent="0.35">
      <c r="A29" s="1" t="s">
        <v>49</v>
      </c>
      <c r="B29" s="16">
        <v>0.156</v>
      </c>
    </row>
    <row r="30" spans="1:11" x14ac:dyDescent="0.35">
      <c r="A30" s="1" t="s">
        <v>50</v>
      </c>
      <c r="B30" s="16">
        <v>0.19</v>
      </c>
    </row>
    <row r="31" spans="1:11" x14ac:dyDescent="0.35">
      <c r="A31" s="1" t="s">
        <v>51</v>
      </c>
      <c r="B31" s="16">
        <v>0.13300000000000001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7">
        <f>B6/B12</f>
        <v>0.3478632783262644</v>
      </c>
      <c r="C35" s="3" t="s">
        <v>54</v>
      </c>
    </row>
    <row r="36" spans="1:3" x14ac:dyDescent="0.35">
      <c r="A36" s="1" t="s">
        <v>55</v>
      </c>
      <c r="B36" s="17">
        <f>B7/B11</f>
        <v>0.2467063437351594</v>
      </c>
      <c r="C36" s="3" t="s">
        <v>56</v>
      </c>
    </row>
    <row r="37" spans="1:3" x14ac:dyDescent="0.35">
      <c r="A37" s="1" t="s">
        <v>57</v>
      </c>
      <c r="B37" s="17">
        <f>(B45*B12+B13*Assumptions!B3)/B11</f>
        <v>3.2280713536161285E-2</v>
      </c>
      <c r="C37" s="3" t="s">
        <v>58</v>
      </c>
    </row>
    <row r="38" spans="1:3" x14ac:dyDescent="0.35">
      <c r="A38" s="1" t="s">
        <v>59</v>
      </c>
      <c r="B38" s="17">
        <f>(B23-B22)/B23</f>
        <v>3.4391534391534362E-2</v>
      </c>
      <c r="C38" s="3" t="s">
        <v>60</v>
      </c>
    </row>
    <row r="39" spans="1:3" x14ac:dyDescent="0.35">
      <c r="A39" s="1" t="s">
        <v>61</v>
      </c>
      <c r="B39" s="28">
        <f>(B36-Assumptions!$B$3)/B36/B38/Assumptions!B5</f>
        <v>6.1508306369880232</v>
      </c>
      <c r="C39" s="29" t="s">
        <v>116</v>
      </c>
    </row>
    <row r="40" spans="1:3" x14ac:dyDescent="0.35">
      <c r="A40" s="1" t="s">
        <v>63</v>
      </c>
      <c r="B40" s="19">
        <f>Assumptions!D16</f>
        <v>0.06</v>
      </c>
    </row>
    <row r="41" spans="1:3" x14ac:dyDescent="0.35">
      <c r="A41" s="1" t="s">
        <v>64</v>
      </c>
      <c r="B41" s="20">
        <f>(D23/D18)^0.5-1</f>
        <v>8.4423756810849682E-2</v>
      </c>
    </row>
    <row r="42" spans="1:3" x14ac:dyDescent="0.35">
      <c r="A42" s="1" t="s">
        <v>65</v>
      </c>
      <c r="B42" s="20">
        <f>(B35-B41)/B48</f>
        <v>1.4145730653941238E-2</v>
      </c>
    </row>
    <row r="43" spans="1:3" x14ac:dyDescent="0.35">
      <c r="A43" s="1" t="s">
        <v>66</v>
      </c>
      <c r="B43" s="21">
        <f>AVERAGE(B28:B31)</f>
        <v>0.18185000000000001</v>
      </c>
    </row>
    <row r="44" spans="1:3" x14ac:dyDescent="0.35">
      <c r="A44" s="1" t="s">
        <v>67</v>
      </c>
      <c r="B44" s="22">
        <f>SUM(B40:B43)/3</f>
        <v>0.11347316248826363</v>
      </c>
    </row>
    <row r="45" spans="1:3" x14ac:dyDescent="0.35">
      <c r="A45" s="1" t="s">
        <v>68</v>
      </c>
      <c r="B45" s="23">
        <v>0.3</v>
      </c>
      <c r="C45" s="3" t="s">
        <v>69</v>
      </c>
    </row>
    <row r="46" spans="1:3" x14ac:dyDescent="0.35">
      <c r="A46" s="1" t="s">
        <v>70</v>
      </c>
      <c r="B46" s="17">
        <f>Assumptions!E16</f>
        <v>0.06</v>
      </c>
    </row>
    <row r="47" spans="1:3" x14ac:dyDescent="0.35">
      <c r="A47" s="1" t="s">
        <v>71</v>
      </c>
      <c r="B47" s="24">
        <f>(B45-B46)/(Assumptions!B4-B46)/B45</f>
        <v>19.999999999999996</v>
      </c>
    </row>
    <row r="48" spans="1:3" x14ac:dyDescent="0.35">
      <c r="A48" s="1" t="s">
        <v>72</v>
      </c>
      <c r="B48" s="24">
        <f>(B2/B18+10+B47)/3</f>
        <v>18.62325304787392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4">
        <f>(B22*2-B$23)*(1+B$44)^8*B$48/(1+[1]Assumptions!B$4-B$14/B$2)^10</f>
        <v>260.89007249654236</v>
      </c>
      <c r="C52" s="24"/>
    </row>
    <row r="53" spans="1:3" x14ac:dyDescent="0.35">
      <c r="A53" s="1" t="s">
        <v>74</v>
      </c>
      <c r="B53" s="24">
        <f>(B23*2-B$23)*(1+B$44)^8*B$48/(1+[1]Assumptions!B$4-B$14/B$2)^10</f>
        <v>280.16036194230969</v>
      </c>
      <c r="C53" s="24"/>
    </row>
    <row r="54" spans="1:3" x14ac:dyDescent="0.35">
      <c r="A54" s="1" t="s">
        <v>75</v>
      </c>
      <c r="B54" s="24">
        <f>(B24*2-B$23)*(1+B$44)^8*B$48/(1+[1]Assumptions!B$4-B$14/B$2)^10</f>
        <v>297.94832143071028</v>
      </c>
      <c r="C54" s="24"/>
    </row>
    <row r="55" spans="1:3" x14ac:dyDescent="0.35">
      <c r="C55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opLeftCell="A16" workbookViewId="0">
      <selection activeCell="A16" sqref="A1:XFD1048576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</v>
      </c>
      <c r="I1" s="3" t="s">
        <v>2</v>
      </c>
      <c r="J1" s="3" t="str">
        <f>B1</f>
        <v>KO</v>
      </c>
      <c r="K1" s="3" t="s">
        <v>1</v>
      </c>
    </row>
    <row r="2" spans="1:11" x14ac:dyDescent="0.35">
      <c r="A2" s="1" t="s">
        <v>3</v>
      </c>
      <c r="B2" s="2">
        <v>67</v>
      </c>
      <c r="I2" s="3" t="s">
        <v>4</v>
      </c>
      <c r="J2" s="3">
        <f>B2</f>
        <v>67</v>
      </c>
      <c r="K2" s="3">
        <v>67</v>
      </c>
    </row>
    <row r="3" spans="1:11" x14ac:dyDescent="0.35">
      <c r="I3" s="3" t="s">
        <v>5</v>
      </c>
      <c r="J3" s="4">
        <f>B28</f>
        <v>0.1</v>
      </c>
      <c r="K3" s="3">
        <v>0.1</v>
      </c>
    </row>
    <row r="4" spans="1:11" x14ac:dyDescent="0.35">
      <c r="A4" s="1" t="s">
        <v>6</v>
      </c>
      <c r="I4" s="3" t="s">
        <v>7</v>
      </c>
      <c r="J4" s="3">
        <f>B18</f>
        <v>2.5</v>
      </c>
      <c r="K4" s="3">
        <v>2.5</v>
      </c>
    </row>
    <row r="5" spans="1:11" x14ac:dyDescent="0.35">
      <c r="B5" s="3" t="s">
        <v>8</v>
      </c>
      <c r="I5" s="3" t="s">
        <v>9</v>
      </c>
      <c r="J5" s="3">
        <f t="shared" ref="J5:J10" si="0">B19</f>
        <v>2.8</v>
      </c>
      <c r="K5" s="3">
        <v>2.8</v>
      </c>
    </row>
    <row r="6" spans="1:11" x14ac:dyDescent="0.35">
      <c r="A6" s="5" t="s">
        <v>10</v>
      </c>
      <c r="B6" s="6">
        <v>10714</v>
      </c>
      <c r="C6" s="3" t="s">
        <v>11</v>
      </c>
      <c r="D6" s="7"/>
      <c r="I6" s="3" t="s">
        <v>12</v>
      </c>
      <c r="J6" s="3">
        <f t="shared" si="0"/>
        <v>2.82</v>
      </c>
      <c r="K6" s="3">
        <v>2.82</v>
      </c>
    </row>
    <row r="7" spans="1:11" x14ac:dyDescent="0.35">
      <c r="A7" s="5" t="s">
        <v>13</v>
      </c>
      <c r="B7" s="6">
        <v>13083</v>
      </c>
      <c r="C7" s="3" t="s">
        <v>11</v>
      </c>
      <c r="D7" s="7"/>
      <c r="I7" s="3" t="s">
        <v>14</v>
      </c>
      <c r="J7" s="3">
        <f t="shared" si="0"/>
        <v>2.86</v>
      </c>
      <c r="K7" s="3">
        <v>2.86</v>
      </c>
    </row>
    <row r="8" spans="1:11" x14ac:dyDescent="0.35">
      <c r="A8" s="5" t="s">
        <v>15</v>
      </c>
      <c r="B8" s="6">
        <v>27234</v>
      </c>
      <c r="C8" s="3" t="s">
        <v>11</v>
      </c>
      <c r="D8" s="7"/>
      <c r="I8" s="3" t="s">
        <v>16</v>
      </c>
      <c r="J8" s="3">
        <f t="shared" si="0"/>
        <v>2.93</v>
      </c>
      <c r="K8" s="3">
        <v>2.93</v>
      </c>
    </row>
    <row r="9" spans="1:11" x14ac:dyDescent="0.35">
      <c r="A9" s="5" t="s">
        <v>17</v>
      </c>
      <c r="B9" s="6">
        <v>45754</v>
      </c>
      <c r="C9" s="3" t="s">
        <v>11</v>
      </c>
      <c r="D9" s="7"/>
      <c r="I9" s="3" t="s">
        <v>18</v>
      </c>
      <c r="J9" s="3">
        <f t="shared" si="0"/>
        <v>3</v>
      </c>
      <c r="K9" s="3">
        <v>3</v>
      </c>
    </row>
    <row r="10" spans="1:11" x14ac:dyDescent="0.35">
      <c r="A10" s="5" t="s">
        <v>19</v>
      </c>
      <c r="B10" s="8">
        <v>4339</v>
      </c>
      <c r="C10" s="3" t="s">
        <v>11</v>
      </c>
      <c r="D10" s="7"/>
      <c r="I10" s="3" t="s">
        <v>20</v>
      </c>
      <c r="J10" s="3">
        <f t="shared" si="0"/>
        <v>3.12</v>
      </c>
      <c r="K10" s="3">
        <v>3.12</v>
      </c>
    </row>
    <row r="11" spans="1:11" x14ac:dyDescent="0.35">
      <c r="A11" s="5" t="s">
        <v>21</v>
      </c>
      <c r="B11" s="6">
        <v>97703</v>
      </c>
      <c r="C11" s="3" t="s">
        <v>11</v>
      </c>
      <c r="D11" s="7"/>
      <c r="I11" s="3" t="s">
        <v>22</v>
      </c>
      <c r="J11" s="9">
        <f>B44*100</f>
        <v>7.6001372778803411</v>
      </c>
      <c r="K11" s="3">
        <v>7.6001372778803411</v>
      </c>
    </row>
    <row r="12" spans="1:11" x14ac:dyDescent="0.35">
      <c r="A12" s="5" t="s">
        <v>23</v>
      </c>
      <c r="B12" s="6">
        <v>25941</v>
      </c>
      <c r="C12" s="3" t="s">
        <v>11</v>
      </c>
      <c r="D12" s="7"/>
      <c r="I12" s="3" t="s">
        <v>24</v>
      </c>
      <c r="J12" s="9">
        <f>100+B45*100</f>
        <v>130</v>
      </c>
      <c r="K12" s="3">
        <v>130</v>
      </c>
    </row>
    <row r="13" spans="1:11" x14ac:dyDescent="0.35">
      <c r="A13" s="5" t="s">
        <v>25</v>
      </c>
      <c r="B13" s="6">
        <v>70223</v>
      </c>
      <c r="C13" s="3" t="s">
        <v>11</v>
      </c>
      <c r="D13" s="7"/>
      <c r="I13" s="3" t="s">
        <v>26</v>
      </c>
      <c r="J13" s="3">
        <f>130+IF(B39&gt;1,-20)+IF(B39&lt;-1,20)</f>
        <v>110</v>
      </c>
      <c r="K13" s="3">
        <v>110</v>
      </c>
    </row>
    <row r="14" spans="1:11" x14ac:dyDescent="0.35">
      <c r="A14" s="1" t="s">
        <v>27</v>
      </c>
      <c r="B14" s="2">
        <v>1.94</v>
      </c>
      <c r="C14" s="3" t="s">
        <v>28</v>
      </c>
      <c r="D14" s="10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2.8955223880597014</v>
      </c>
      <c r="K15" s="3">
        <v>2.8955223880597014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1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2">
        <v>2.5</v>
      </c>
      <c r="C18" s="3" t="s">
        <v>28</v>
      </c>
      <c r="D18" s="13">
        <v>42.5</v>
      </c>
      <c r="E18" s="3" t="s">
        <v>36</v>
      </c>
      <c r="F18" s="14"/>
      <c r="H18" s="7"/>
      <c r="I18" s="3" t="s">
        <v>37</v>
      </c>
      <c r="J18" s="9">
        <f>B48</f>
        <v>18.933333333333334</v>
      </c>
      <c r="K18" s="3">
        <v>18.933333333333334</v>
      </c>
    </row>
    <row r="19" spans="1:11" x14ac:dyDescent="0.35">
      <c r="A19" s="1" t="s">
        <v>38</v>
      </c>
      <c r="B19" s="12">
        <v>2.8</v>
      </c>
      <c r="C19" s="3" t="s">
        <v>28</v>
      </c>
      <c r="D19" s="13">
        <v>45.04</v>
      </c>
      <c r="E19" s="3" t="s">
        <v>36</v>
      </c>
      <c r="F19" s="15"/>
      <c r="H19" s="7"/>
      <c r="I19" s="3" t="s">
        <v>39</v>
      </c>
      <c r="J19" s="9">
        <f>B52</f>
        <v>48.980074803051387</v>
      </c>
      <c r="K19" s="3">
        <v>48.980074803051387</v>
      </c>
    </row>
    <row r="20" spans="1:11" x14ac:dyDescent="0.35">
      <c r="A20" s="1" t="s">
        <v>40</v>
      </c>
      <c r="B20" s="12">
        <v>2.82</v>
      </c>
      <c r="C20" s="3" t="s">
        <v>28</v>
      </c>
      <c r="D20" s="13">
        <v>45.7</v>
      </c>
      <c r="E20" s="3" t="s">
        <v>36</v>
      </c>
      <c r="F20" s="15"/>
      <c r="H20" s="7"/>
      <c r="I20" s="3" t="s">
        <v>41</v>
      </c>
      <c r="J20" s="9">
        <f>B53</f>
        <v>51.377700842361591</v>
      </c>
      <c r="K20" s="3">
        <v>51.377700842361591</v>
      </c>
    </row>
    <row r="21" spans="1:11" x14ac:dyDescent="0.35">
      <c r="A21" s="1" t="s">
        <v>42</v>
      </c>
      <c r="B21" s="12">
        <v>2.86</v>
      </c>
      <c r="C21" s="3" t="s">
        <v>28</v>
      </c>
      <c r="D21" s="13">
        <v>46.28</v>
      </c>
      <c r="E21" s="3" t="s">
        <v>36</v>
      </c>
      <c r="F21" s="15"/>
      <c r="H21" s="7"/>
    </row>
    <row r="22" spans="1:11" x14ac:dyDescent="0.35">
      <c r="A22" s="1" t="s">
        <v>43</v>
      </c>
      <c r="B22" s="12">
        <v>2.93</v>
      </c>
      <c r="C22" s="3" t="s">
        <v>28</v>
      </c>
      <c r="D22" s="13">
        <v>46.86</v>
      </c>
      <c r="E22" s="3" t="s">
        <v>36</v>
      </c>
      <c r="F22" s="15"/>
      <c r="H22" s="7"/>
    </row>
    <row r="23" spans="1:11" x14ac:dyDescent="0.35">
      <c r="A23" s="1" t="s">
        <v>44</v>
      </c>
      <c r="B23" s="12">
        <v>3</v>
      </c>
      <c r="C23" s="3" t="s">
        <v>28</v>
      </c>
      <c r="D23" s="13">
        <v>47.93</v>
      </c>
      <c r="E23" s="3" t="s">
        <v>36</v>
      </c>
      <c r="F23" s="15"/>
      <c r="H23" s="7"/>
    </row>
    <row r="24" spans="1:11" x14ac:dyDescent="0.35">
      <c r="A24" s="1" t="s">
        <v>45</v>
      </c>
      <c r="B24" s="12">
        <v>3.12</v>
      </c>
      <c r="C24" s="3" t="s">
        <v>28</v>
      </c>
      <c r="D24" s="13">
        <v>48.94</v>
      </c>
      <c r="E24" s="3" t="s">
        <v>36</v>
      </c>
      <c r="F24" s="15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6">
        <v>0.1</v>
      </c>
    </row>
    <row r="29" spans="1:11" x14ac:dyDescent="0.35">
      <c r="A29" s="1" t="s">
        <v>49</v>
      </c>
      <c r="B29" s="16">
        <v>0.06</v>
      </c>
    </row>
    <row r="30" spans="1:11" x14ac:dyDescent="0.35">
      <c r="A30" s="1" t="s">
        <v>50</v>
      </c>
      <c r="B30" s="16">
        <v>0.14000000000000001</v>
      </c>
    </row>
    <row r="31" spans="1:11" x14ac:dyDescent="0.35">
      <c r="A31" s="1" t="s">
        <v>51</v>
      </c>
      <c r="B31" s="16">
        <v>0.05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7">
        <f>B6/B12</f>
        <v>0.41301414748853166</v>
      </c>
      <c r="C35" s="3" t="s">
        <v>54</v>
      </c>
    </row>
    <row r="36" spans="1:3" x14ac:dyDescent="0.35">
      <c r="A36" s="1" t="s">
        <v>55</v>
      </c>
      <c r="B36" s="17">
        <f>B7/B11</f>
        <v>0.13390581660747367</v>
      </c>
      <c r="C36" s="3" t="s">
        <v>56</v>
      </c>
    </row>
    <row r="37" spans="1:3" x14ac:dyDescent="0.35">
      <c r="A37" s="1" t="s">
        <v>57</v>
      </c>
      <c r="B37" s="17">
        <f>(B45*B12+B13*Assumptions!B3)/B11</f>
        <v>0.11558959295006294</v>
      </c>
      <c r="C37" s="3" t="s">
        <v>58</v>
      </c>
    </row>
    <row r="38" spans="1:3" x14ac:dyDescent="0.35">
      <c r="A38" s="1" t="s">
        <v>59</v>
      </c>
      <c r="B38" s="17">
        <f>(B23-B22)/B23</f>
        <v>2.3333333333333279E-2</v>
      </c>
      <c r="C38" s="3" t="s">
        <v>60</v>
      </c>
    </row>
    <row r="39" spans="1:3" x14ac:dyDescent="0.35">
      <c r="A39" s="1" t="s">
        <v>61</v>
      </c>
      <c r="B39" s="18">
        <f>(B36-Assumptions!$B$3)/B36/B38/Assumptions!B5</f>
        <v>7.1246430894564554</v>
      </c>
      <c r="C39" s="3" t="s">
        <v>62</v>
      </c>
    </row>
    <row r="40" spans="1:3" x14ac:dyDescent="0.35">
      <c r="A40" s="1" t="s">
        <v>63</v>
      </c>
      <c r="B40" s="19">
        <f>Assumptions!D16</f>
        <v>0.06</v>
      </c>
    </row>
    <row r="41" spans="1:3" x14ac:dyDescent="0.35">
      <c r="A41" s="1" t="s">
        <v>64</v>
      </c>
      <c r="B41" s="20">
        <f>(D23/D18)^0.5-1</f>
        <v>6.1962666896700824E-2</v>
      </c>
    </row>
    <row r="42" spans="1:3" x14ac:dyDescent="0.35">
      <c r="A42" s="1" t="s">
        <v>65</v>
      </c>
      <c r="B42" s="20">
        <f>(B35-B41)/B48</f>
        <v>1.8541451439709374E-2</v>
      </c>
    </row>
    <row r="43" spans="1:3" x14ac:dyDescent="0.35">
      <c r="A43" s="1" t="s">
        <v>66</v>
      </c>
      <c r="B43" s="21">
        <f>AVERAGE(B28:B31)</f>
        <v>8.7500000000000008E-2</v>
      </c>
    </row>
    <row r="44" spans="1:3" x14ac:dyDescent="0.35">
      <c r="A44" s="1" t="s">
        <v>67</v>
      </c>
      <c r="B44" s="22">
        <f>SUM(B40:B43)/3</f>
        <v>7.6001372778803408E-2</v>
      </c>
    </row>
    <row r="45" spans="1:3" x14ac:dyDescent="0.35">
      <c r="A45" s="1" t="s">
        <v>68</v>
      </c>
      <c r="B45" s="23">
        <v>0.3</v>
      </c>
      <c r="C45" s="3" t="s">
        <v>69</v>
      </c>
    </row>
    <row r="46" spans="1:3" x14ac:dyDescent="0.35">
      <c r="A46" s="1" t="s">
        <v>70</v>
      </c>
      <c r="B46" s="17">
        <f>Assumptions!E16</f>
        <v>0.06</v>
      </c>
    </row>
    <row r="47" spans="1:3" x14ac:dyDescent="0.35">
      <c r="A47" s="1" t="s">
        <v>71</v>
      </c>
      <c r="B47" s="24">
        <f>(B45-B46)/(Assumptions!B4-B46)/B45</f>
        <v>19.999999999999996</v>
      </c>
    </row>
    <row r="48" spans="1:3" x14ac:dyDescent="0.35">
      <c r="A48" s="1" t="s">
        <v>72</v>
      </c>
      <c r="B48" s="24">
        <f>(B2/B18+10+B47)/3</f>
        <v>18.933333333333334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4">
        <f>(B22*2-B$23)*(1+B$44)^8*B$48/(1+[1]Assumptions!B$4-B$14/B$2)^10</f>
        <v>48.980074803051387</v>
      </c>
      <c r="C52" s="24"/>
    </row>
    <row r="53" spans="1:3" x14ac:dyDescent="0.35">
      <c r="A53" s="1" t="s">
        <v>74</v>
      </c>
      <c r="B53" s="24">
        <f>(B23*2-B$23)*(1+B$44)^8*B$48/(1+[1]Assumptions!B$4-B$14/B$2)^10</f>
        <v>51.377700842361591</v>
      </c>
      <c r="C53" s="24"/>
    </row>
    <row r="54" spans="1:3" x14ac:dyDescent="0.35">
      <c r="A54" s="1" t="s">
        <v>75</v>
      </c>
      <c r="B54" s="24">
        <f>(B24*2-B$23)*(1+B$44)^8*B$48/(1+[1]Assumptions!B$4-B$14/B$2)^10</f>
        <v>55.487916909750524</v>
      </c>
      <c r="C54" s="24"/>
    </row>
    <row r="55" spans="1:3" x14ac:dyDescent="0.35">
      <c r="C5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51CE-9F4A-49F3-8862-A6368B126EAC}">
  <dimension ref="A1:K54"/>
  <sheetViews>
    <sheetView topLeftCell="A22" workbookViewId="0">
      <selection activeCell="A22" sqref="A1:XFD1048576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76</v>
      </c>
      <c r="I1" s="3" t="s">
        <v>2</v>
      </c>
      <c r="J1" s="3" t="str">
        <f>B1</f>
        <v>PEP</v>
      </c>
      <c r="K1" s="3" t="s">
        <v>76</v>
      </c>
    </row>
    <row r="2" spans="1:11" x14ac:dyDescent="0.35">
      <c r="A2" s="1" t="s">
        <v>3</v>
      </c>
      <c r="B2" s="2">
        <v>172</v>
      </c>
      <c r="I2" s="3" t="s">
        <v>4</v>
      </c>
      <c r="J2" s="3">
        <f>B2</f>
        <v>172</v>
      </c>
      <c r="K2" s="3">
        <v>172</v>
      </c>
    </row>
    <row r="3" spans="1:11" x14ac:dyDescent="0.35">
      <c r="I3" s="3" t="s">
        <v>5</v>
      </c>
      <c r="J3" s="4">
        <f>B28</f>
        <v>0.09</v>
      </c>
      <c r="K3" s="3">
        <v>0.09</v>
      </c>
    </row>
    <row r="4" spans="1:11" x14ac:dyDescent="0.35">
      <c r="A4" s="1" t="s">
        <v>6</v>
      </c>
      <c r="I4" s="3" t="s">
        <v>7</v>
      </c>
      <c r="J4" s="3">
        <f>B18</f>
        <v>7.07</v>
      </c>
      <c r="K4" s="3">
        <v>7.07</v>
      </c>
    </row>
    <row r="5" spans="1:11" x14ac:dyDescent="0.35">
      <c r="B5" s="3" t="s">
        <v>8</v>
      </c>
      <c r="I5" s="3" t="s">
        <v>9</v>
      </c>
      <c r="J5" s="3">
        <f t="shared" ref="J5:J10" si="0">B19</f>
        <v>8.11</v>
      </c>
      <c r="K5" s="3">
        <v>8.11</v>
      </c>
    </row>
    <row r="6" spans="1:11" x14ac:dyDescent="0.35">
      <c r="A6" s="5" t="s">
        <v>10</v>
      </c>
      <c r="B6" s="6">
        <v>9074</v>
      </c>
      <c r="C6" s="3" t="s">
        <v>11</v>
      </c>
      <c r="D6" s="7"/>
      <c r="I6" s="3" t="s">
        <v>12</v>
      </c>
      <c r="J6" s="3">
        <f t="shared" si="0"/>
        <v>8.15</v>
      </c>
      <c r="K6" s="3">
        <v>8.15</v>
      </c>
    </row>
    <row r="7" spans="1:11" x14ac:dyDescent="0.35">
      <c r="A7" s="5" t="s">
        <v>13</v>
      </c>
      <c r="B7" s="6">
        <v>12913</v>
      </c>
      <c r="C7" s="3" t="s">
        <v>11</v>
      </c>
      <c r="D7" s="7"/>
      <c r="I7" s="3" t="s">
        <v>14</v>
      </c>
      <c r="J7" s="3">
        <f t="shared" si="0"/>
        <v>8.18</v>
      </c>
      <c r="K7" s="3">
        <v>8.18</v>
      </c>
    </row>
    <row r="8" spans="1:11" x14ac:dyDescent="0.35">
      <c r="A8" s="5" t="s">
        <v>15</v>
      </c>
      <c r="B8" s="6">
        <v>49590</v>
      </c>
      <c r="C8" s="3" t="s">
        <v>11</v>
      </c>
      <c r="D8" s="7"/>
      <c r="I8" s="3" t="s">
        <v>16</v>
      </c>
      <c r="J8" s="3">
        <f t="shared" si="0"/>
        <v>8.35</v>
      </c>
      <c r="K8" s="3">
        <v>8.35</v>
      </c>
    </row>
    <row r="9" spans="1:11" x14ac:dyDescent="0.35">
      <c r="A9" s="5" t="s">
        <v>17</v>
      </c>
      <c r="B9" s="6">
        <v>91471</v>
      </c>
      <c r="C9" s="3" t="s">
        <v>11</v>
      </c>
      <c r="D9" s="7"/>
      <c r="I9" s="3" t="s">
        <v>18</v>
      </c>
      <c r="J9" s="3">
        <f t="shared" si="0"/>
        <v>8.6300000000000008</v>
      </c>
      <c r="K9" s="3">
        <v>8.6300000000000008</v>
      </c>
    </row>
    <row r="10" spans="1:11" x14ac:dyDescent="0.35">
      <c r="A10" s="5" t="s">
        <v>19</v>
      </c>
      <c r="B10" s="8">
        <v>1383</v>
      </c>
      <c r="C10" s="3" t="s">
        <v>11</v>
      </c>
      <c r="D10" s="7"/>
      <c r="I10" s="3" t="s">
        <v>20</v>
      </c>
      <c r="J10" s="3">
        <f t="shared" si="0"/>
        <v>8.7899999999999991</v>
      </c>
      <c r="K10" s="3">
        <v>8.7899999999999991</v>
      </c>
    </row>
    <row r="11" spans="1:11" x14ac:dyDescent="0.35">
      <c r="A11" s="5" t="s">
        <v>21</v>
      </c>
      <c r="B11" s="6">
        <v>100495</v>
      </c>
      <c r="C11" s="3" t="s">
        <v>11</v>
      </c>
      <c r="D11" s="7"/>
      <c r="I11" s="3" t="s">
        <v>22</v>
      </c>
      <c r="J11" s="9">
        <f>B44*100</f>
        <v>8.4070833022810998</v>
      </c>
      <c r="K11" s="3">
        <v>8.4070833022810998</v>
      </c>
    </row>
    <row r="12" spans="1:11" x14ac:dyDescent="0.35">
      <c r="A12" s="5" t="s">
        <v>23</v>
      </c>
      <c r="B12" s="6">
        <v>18503</v>
      </c>
      <c r="C12" s="3" t="s">
        <v>11</v>
      </c>
      <c r="D12" s="7"/>
      <c r="I12" s="3" t="s">
        <v>24</v>
      </c>
      <c r="J12" s="9">
        <f>100+B45*100</f>
        <v>130</v>
      </c>
      <c r="K12" s="3">
        <v>130</v>
      </c>
    </row>
    <row r="13" spans="1:11" x14ac:dyDescent="0.35">
      <c r="A13" s="5" t="s">
        <v>25</v>
      </c>
      <c r="B13" s="6">
        <v>81858</v>
      </c>
      <c r="C13" s="3" t="s">
        <v>11</v>
      </c>
      <c r="D13" s="7"/>
      <c r="I13" s="3" t="s">
        <v>26</v>
      </c>
      <c r="J13" s="3">
        <f>130+IF(B39&gt;1,-20)+IF(B39&lt;-1,20)</f>
        <v>110</v>
      </c>
      <c r="K13" s="3">
        <v>110</v>
      </c>
    </row>
    <row r="14" spans="1:11" x14ac:dyDescent="0.35">
      <c r="A14" s="1" t="s">
        <v>27</v>
      </c>
      <c r="B14" s="2">
        <v>5.42</v>
      </c>
      <c r="C14" s="3" t="s">
        <v>28</v>
      </c>
      <c r="D14" s="10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3.1511627906976742</v>
      </c>
      <c r="K15" s="3">
        <v>3.1511627906976742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1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2">
        <v>7.07</v>
      </c>
      <c r="C18" s="3" t="s">
        <v>28</v>
      </c>
      <c r="D18" s="13">
        <v>84.9</v>
      </c>
      <c r="E18" s="3" t="s">
        <v>36</v>
      </c>
      <c r="F18" s="14"/>
      <c r="H18" s="7"/>
      <c r="I18" s="3" t="s">
        <v>37</v>
      </c>
      <c r="J18" s="9">
        <f>B48</f>
        <v>18.109382366808109</v>
      </c>
      <c r="K18" s="3">
        <v>18.109382366808109</v>
      </c>
    </row>
    <row r="19" spans="1:11" x14ac:dyDescent="0.35">
      <c r="A19" s="1" t="s">
        <v>38</v>
      </c>
      <c r="B19" s="12">
        <v>8.11</v>
      </c>
      <c r="C19" s="3" t="s">
        <v>28</v>
      </c>
      <c r="D19" s="13">
        <v>93.37</v>
      </c>
      <c r="E19" s="3" t="s">
        <v>36</v>
      </c>
      <c r="F19" s="15"/>
      <c r="H19" s="7"/>
      <c r="I19" s="3" t="s">
        <v>39</v>
      </c>
      <c r="J19" s="9">
        <f>B52</f>
        <v>143.72769126888727</v>
      </c>
      <c r="K19" s="3">
        <v>143.72769126888727</v>
      </c>
    </row>
    <row r="20" spans="1:11" x14ac:dyDescent="0.35">
      <c r="A20" s="1" t="s">
        <v>40</v>
      </c>
      <c r="B20" s="12">
        <v>8.15</v>
      </c>
      <c r="C20" s="3" t="s">
        <v>28</v>
      </c>
      <c r="D20" s="13">
        <v>94.53</v>
      </c>
      <c r="E20" s="3" t="s">
        <v>36</v>
      </c>
      <c r="F20" s="15"/>
      <c r="H20" s="7"/>
      <c r="I20" s="3" t="s">
        <v>41</v>
      </c>
      <c r="J20" s="9">
        <f>B53</f>
        <v>153.70136005582373</v>
      </c>
      <c r="K20" s="3">
        <v>153.70136005582373</v>
      </c>
    </row>
    <row r="21" spans="1:11" x14ac:dyDescent="0.35">
      <c r="A21" s="1" t="s">
        <v>42</v>
      </c>
      <c r="B21" s="12">
        <v>8.18</v>
      </c>
      <c r="C21" s="3" t="s">
        <v>28</v>
      </c>
      <c r="D21" s="13">
        <v>95.13</v>
      </c>
      <c r="E21" s="3" t="s">
        <v>36</v>
      </c>
      <c r="F21" s="15"/>
      <c r="H21" s="7"/>
    </row>
    <row r="22" spans="1:11" x14ac:dyDescent="0.35">
      <c r="A22" s="1" t="s">
        <v>43</v>
      </c>
      <c r="B22" s="12">
        <v>8.35</v>
      </c>
      <c r="C22" s="3" t="s">
        <v>28</v>
      </c>
      <c r="D22" s="13">
        <v>96.88</v>
      </c>
      <c r="E22" s="3" t="s">
        <v>36</v>
      </c>
      <c r="F22" s="15"/>
      <c r="H22" s="7"/>
    </row>
    <row r="23" spans="1:11" x14ac:dyDescent="0.35">
      <c r="A23" s="1" t="s">
        <v>44</v>
      </c>
      <c r="B23" s="12">
        <v>8.6300000000000008</v>
      </c>
      <c r="C23" s="3" t="s">
        <v>28</v>
      </c>
      <c r="D23" s="13">
        <v>98.94</v>
      </c>
      <c r="E23" s="3" t="s">
        <v>36</v>
      </c>
      <c r="F23" s="15"/>
      <c r="H23" s="7"/>
    </row>
    <row r="24" spans="1:11" x14ac:dyDescent="0.35">
      <c r="A24" s="1" t="s">
        <v>45</v>
      </c>
      <c r="B24" s="12">
        <v>8.7899999999999991</v>
      </c>
      <c r="C24" s="3" t="s">
        <v>28</v>
      </c>
      <c r="D24" s="13">
        <v>100.09</v>
      </c>
      <c r="E24" s="3" t="s">
        <v>36</v>
      </c>
      <c r="F24" s="15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6">
        <v>0.09</v>
      </c>
    </row>
    <row r="29" spans="1:11" x14ac:dyDescent="0.35">
      <c r="A29" s="1" t="s">
        <v>49</v>
      </c>
      <c r="B29" s="16">
        <v>0.06</v>
      </c>
    </row>
    <row r="30" spans="1:11" x14ac:dyDescent="0.35">
      <c r="A30" s="1" t="s">
        <v>50</v>
      </c>
      <c r="B30" s="16">
        <v>0.15</v>
      </c>
    </row>
    <row r="31" spans="1:11" x14ac:dyDescent="0.35">
      <c r="A31" s="1" t="s">
        <v>51</v>
      </c>
      <c r="B31" s="16">
        <v>0.06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7">
        <f>B6/B12</f>
        <v>0.49040696103334597</v>
      </c>
      <c r="C35" s="3" t="s">
        <v>54</v>
      </c>
    </row>
    <row r="36" spans="1:3" x14ac:dyDescent="0.35">
      <c r="A36" s="1" t="s">
        <v>55</v>
      </c>
      <c r="B36" s="17">
        <f>B7/B11</f>
        <v>0.12849395492313051</v>
      </c>
      <c r="C36" s="3" t="s">
        <v>56</v>
      </c>
    </row>
    <row r="37" spans="1:3" x14ac:dyDescent="0.35">
      <c r="A37" s="1" t="s">
        <v>57</v>
      </c>
      <c r="B37" s="17">
        <f>(B45*B12+B13*[1]Assumptions!B3)/B11</f>
        <v>9.5962983232996665E-2</v>
      </c>
      <c r="C37" s="3" t="s">
        <v>58</v>
      </c>
    </row>
    <row r="38" spans="1:3" x14ac:dyDescent="0.35">
      <c r="A38" s="1" t="s">
        <v>59</v>
      </c>
      <c r="B38" s="17">
        <f>(B23-B22)/B23</f>
        <v>3.2444959443800825E-2</v>
      </c>
      <c r="C38" s="3" t="s">
        <v>60</v>
      </c>
    </row>
    <row r="39" spans="1:3" x14ac:dyDescent="0.35">
      <c r="A39" s="1" t="s">
        <v>61</v>
      </c>
      <c r="B39" s="18">
        <f>(B36-[1]Assumptions!$B$3)/B36/B38/[1]Assumptions!B5</f>
        <v>4.9952077104253672</v>
      </c>
      <c r="C39" s="3" t="s">
        <v>62</v>
      </c>
    </row>
    <row r="40" spans="1:3" x14ac:dyDescent="0.35">
      <c r="A40" s="1" t="s">
        <v>63</v>
      </c>
      <c r="B40" s="19">
        <f>Assumptions!D16</f>
        <v>0.06</v>
      </c>
    </row>
    <row r="41" spans="1:3" x14ac:dyDescent="0.35">
      <c r="A41" s="1" t="s">
        <v>64</v>
      </c>
      <c r="B41" s="20">
        <f>(D23/D18)^0.5-1</f>
        <v>7.9523517453409687E-2</v>
      </c>
    </row>
    <row r="42" spans="1:3" x14ac:dyDescent="0.35">
      <c r="A42" s="1" t="s">
        <v>65</v>
      </c>
      <c r="B42" s="20">
        <f>(B35-B41)/B48</f>
        <v>2.2688981615023297E-2</v>
      </c>
    </row>
    <row r="43" spans="1:3" x14ac:dyDescent="0.35">
      <c r="A43" s="1" t="s">
        <v>66</v>
      </c>
      <c r="B43" s="21">
        <f>AVERAGE(B28:B31)</f>
        <v>0.09</v>
      </c>
    </row>
    <row r="44" spans="1:3" x14ac:dyDescent="0.35">
      <c r="A44" s="1" t="s">
        <v>67</v>
      </c>
      <c r="B44" s="22">
        <f>SUM(B40:B43)/3</f>
        <v>8.4070833022811001E-2</v>
      </c>
    </row>
    <row r="45" spans="1:3" x14ac:dyDescent="0.35">
      <c r="A45" s="1" t="s">
        <v>68</v>
      </c>
      <c r="B45" s="23">
        <v>0.3</v>
      </c>
      <c r="C45" s="3" t="s">
        <v>69</v>
      </c>
    </row>
    <row r="46" spans="1:3" x14ac:dyDescent="0.35">
      <c r="A46" s="1" t="s">
        <v>70</v>
      </c>
      <c r="B46" s="17">
        <f>Assumptions!E16</f>
        <v>0.06</v>
      </c>
    </row>
    <row r="47" spans="1:3" x14ac:dyDescent="0.35">
      <c r="A47" s="1" t="s">
        <v>71</v>
      </c>
      <c r="B47" s="24">
        <f>(B45-B46)/([1]Assumptions!B4-B46)/B45</f>
        <v>19.999999999999996</v>
      </c>
    </row>
    <row r="48" spans="1:3" x14ac:dyDescent="0.35">
      <c r="A48" s="1" t="s">
        <v>72</v>
      </c>
      <c r="B48" s="24">
        <f>(B2/B18+10+B47)/3</f>
        <v>18.109382366808109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4">
        <f>(B22*2-B$23)*(1+B$44)^8*B$48/(1+[1]Assumptions!B$4-B$14/B$2)^10</f>
        <v>143.72769126888727</v>
      </c>
      <c r="C52" s="24"/>
    </row>
    <row r="53" spans="1:3" x14ac:dyDescent="0.35">
      <c r="A53" s="1" t="s">
        <v>74</v>
      </c>
      <c r="B53" s="24">
        <f>(B23*2-B$23)*(1+B$44)^8*B$48/(1+[1]Assumptions!B$4-B$14/B$2)^10</f>
        <v>153.70136005582373</v>
      </c>
      <c r="C53" s="24"/>
    </row>
    <row r="54" spans="1:3" x14ac:dyDescent="0.35">
      <c r="A54" s="1" t="s">
        <v>75</v>
      </c>
      <c r="B54" s="24">
        <f>(B24*2-B$23)*(1+B$44)^8*B$48/(1+[1]Assumptions!B$4-B$14/B$2)^10</f>
        <v>159.4005993626445</v>
      </c>
      <c r="C5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9086-6B9D-48F3-9AF5-2D35BE9F3007}">
  <dimension ref="A1:K54"/>
  <sheetViews>
    <sheetView topLeftCell="B1"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118</v>
      </c>
      <c r="I1" s="3" t="s">
        <v>2</v>
      </c>
      <c r="J1" s="3" t="str">
        <f>B1</f>
        <v>NKD</v>
      </c>
      <c r="K1" s="3" t="s">
        <v>118</v>
      </c>
    </row>
    <row r="2" spans="1:11" x14ac:dyDescent="0.35">
      <c r="A2" s="1" t="s">
        <v>3</v>
      </c>
      <c r="B2" s="2">
        <v>76</v>
      </c>
      <c r="I2" s="3" t="s">
        <v>4</v>
      </c>
      <c r="J2" s="3">
        <f>B2</f>
        <v>76</v>
      </c>
      <c r="K2" s="3">
        <v>76</v>
      </c>
    </row>
    <row r="3" spans="1:11" x14ac:dyDescent="0.35">
      <c r="I3" s="3" t="s">
        <v>5</v>
      </c>
      <c r="J3" s="4">
        <f>B28</f>
        <v>1.8599999999999998E-2</v>
      </c>
      <c r="K3" s="3">
        <v>1.8599999999999998E-2</v>
      </c>
    </row>
    <row r="4" spans="1:11" x14ac:dyDescent="0.35">
      <c r="A4" s="1" t="s">
        <v>6</v>
      </c>
      <c r="I4" s="3" t="s">
        <v>7</v>
      </c>
      <c r="J4" s="3">
        <f>B18</f>
        <v>3.95</v>
      </c>
      <c r="K4" s="3">
        <v>3.95</v>
      </c>
    </row>
    <row r="5" spans="1:11" x14ac:dyDescent="0.35">
      <c r="B5" s="3" t="s">
        <v>8</v>
      </c>
      <c r="I5" s="3" t="s">
        <v>9</v>
      </c>
      <c r="J5" s="3">
        <f t="shared" ref="J5:J10" si="0">B19</f>
        <v>2.5</v>
      </c>
      <c r="K5" s="3">
        <v>2.5</v>
      </c>
    </row>
    <row r="6" spans="1:11" x14ac:dyDescent="0.35">
      <c r="A6" s="5" t="s">
        <v>10</v>
      </c>
      <c r="B6" s="6">
        <v>5301</v>
      </c>
      <c r="C6" s="3" t="s">
        <v>11</v>
      </c>
      <c r="D6" s="7"/>
      <c r="I6" s="3" t="s">
        <v>12</v>
      </c>
      <c r="J6" s="3">
        <f t="shared" si="0"/>
        <v>2.78</v>
      </c>
      <c r="K6" s="3">
        <v>2.78</v>
      </c>
    </row>
    <row r="7" spans="1:11" x14ac:dyDescent="0.35">
      <c r="A7" s="5" t="s">
        <v>13</v>
      </c>
      <c r="B7" s="6">
        <v>5916</v>
      </c>
      <c r="C7" s="3" t="s">
        <v>11</v>
      </c>
      <c r="D7" s="7"/>
      <c r="I7" s="3" t="s">
        <v>14</v>
      </c>
      <c r="J7" s="3">
        <f t="shared" si="0"/>
        <v>3.4</v>
      </c>
      <c r="K7" s="3">
        <v>3.4</v>
      </c>
    </row>
    <row r="8" spans="1:11" x14ac:dyDescent="0.35">
      <c r="A8" s="5" t="s">
        <v>15</v>
      </c>
      <c r="B8" s="6">
        <v>22424</v>
      </c>
      <c r="C8" s="3" t="s">
        <v>11</v>
      </c>
      <c r="D8" s="7"/>
      <c r="I8" s="3" t="s">
        <v>16</v>
      </c>
      <c r="J8" s="3">
        <f t="shared" si="0"/>
        <v>2.5</v>
      </c>
      <c r="K8" s="3">
        <v>2.5</v>
      </c>
    </row>
    <row r="9" spans="1:11" x14ac:dyDescent="0.35">
      <c r="A9" s="5" t="s">
        <v>17</v>
      </c>
      <c r="B9" s="6">
        <v>50012</v>
      </c>
      <c r="C9" s="3" t="s">
        <v>11</v>
      </c>
      <c r="D9" s="7"/>
      <c r="I9" s="3" t="s">
        <v>18</v>
      </c>
      <c r="J9" s="3">
        <f t="shared" si="0"/>
        <v>3.23</v>
      </c>
      <c r="K9" s="3">
        <v>3.23</v>
      </c>
    </row>
    <row r="10" spans="1:11" x14ac:dyDescent="0.35">
      <c r="A10" s="5" t="s">
        <v>19</v>
      </c>
      <c r="B10" s="8">
        <v>1549</v>
      </c>
      <c r="C10" s="3" t="s">
        <v>11</v>
      </c>
      <c r="D10" s="7"/>
      <c r="I10" s="3" t="s">
        <v>20</v>
      </c>
      <c r="J10" s="3">
        <f t="shared" si="0"/>
        <v>3.99</v>
      </c>
      <c r="K10" s="3">
        <v>3.99</v>
      </c>
    </row>
    <row r="11" spans="1:11" x14ac:dyDescent="0.35">
      <c r="A11" s="5" t="s">
        <v>21</v>
      </c>
      <c r="B11" s="6">
        <v>38110</v>
      </c>
      <c r="C11" s="3" t="s">
        <v>11</v>
      </c>
      <c r="D11" s="7"/>
      <c r="I11" s="3" t="s">
        <v>22</v>
      </c>
      <c r="J11" s="9">
        <f>B44*100</f>
        <v>1.6533744590268735</v>
      </c>
      <c r="K11" s="3">
        <v>1.6533744590268735</v>
      </c>
    </row>
    <row r="12" spans="1:11" x14ac:dyDescent="0.35">
      <c r="A12" s="5" t="s">
        <v>23</v>
      </c>
      <c r="B12" s="6">
        <v>14430</v>
      </c>
      <c r="C12" s="3" t="s">
        <v>11</v>
      </c>
      <c r="D12" s="7"/>
      <c r="I12" s="3" t="s">
        <v>24</v>
      </c>
      <c r="J12" s="9">
        <f>100+B45*100</f>
        <v>130</v>
      </c>
      <c r="K12" s="3">
        <v>130</v>
      </c>
    </row>
    <row r="13" spans="1:11" x14ac:dyDescent="0.35">
      <c r="A13" s="5" t="s">
        <v>25</v>
      </c>
      <c r="B13" s="6">
        <v>23680</v>
      </c>
      <c r="C13" s="3" t="s">
        <v>11</v>
      </c>
      <c r="D13" s="7"/>
      <c r="I13" s="3" t="s">
        <v>26</v>
      </c>
      <c r="J13" s="3">
        <f>130+IF(B39&gt;1,-20)+IF(B39&lt;-1,20)</f>
        <v>130</v>
      </c>
      <c r="K13" s="3">
        <v>130</v>
      </c>
    </row>
    <row r="14" spans="1:11" x14ac:dyDescent="0.35">
      <c r="A14" s="1" t="s">
        <v>27</v>
      </c>
      <c r="B14" s="2">
        <v>1.48</v>
      </c>
      <c r="C14" s="3" t="s">
        <v>28</v>
      </c>
      <c r="D14" s="10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1.9473684210526316</v>
      </c>
      <c r="K15" s="3">
        <v>1.9473684210526316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1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2">
        <v>3.95</v>
      </c>
      <c r="C18" s="3" t="s">
        <v>28</v>
      </c>
      <c r="D18" s="13">
        <v>51.36</v>
      </c>
      <c r="E18" s="3" t="s">
        <v>36</v>
      </c>
      <c r="F18" s="14"/>
      <c r="H18" s="7"/>
      <c r="I18" s="3" t="s">
        <v>37</v>
      </c>
      <c r="J18" s="9">
        <f>B48</f>
        <v>16.413502109704641</v>
      </c>
      <c r="K18" s="3">
        <v>16.413502109704641</v>
      </c>
    </row>
    <row r="19" spans="1:11" x14ac:dyDescent="0.35">
      <c r="A19" s="1" t="s">
        <v>38</v>
      </c>
      <c r="B19" s="12">
        <v>2.5</v>
      </c>
      <c r="C19" s="3" t="s">
        <v>28</v>
      </c>
      <c r="D19" s="13">
        <v>46.82</v>
      </c>
      <c r="E19" s="3" t="s">
        <v>36</v>
      </c>
      <c r="F19" s="15"/>
      <c r="H19" s="7"/>
      <c r="I19" s="3" t="s">
        <v>39</v>
      </c>
      <c r="J19" s="9">
        <f>B52</f>
        <v>15.268467079038762</v>
      </c>
      <c r="K19" s="3">
        <v>15.268467079038762</v>
      </c>
    </row>
    <row r="20" spans="1:11" x14ac:dyDescent="0.35">
      <c r="A20" s="1" t="s">
        <v>40</v>
      </c>
      <c r="B20" s="12">
        <v>2.78</v>
      </c>
      <c r="C20" s="3" t="s">
        <v>28</v>
      </c>
      <c r="D20" s="13">
        <v>47.6</v>
      </c>
      <c r="E20" s="3" t="s">
        <v>36</v>
      </c>
      <c r="F20" s="15"/>
      <c r="H20" s="7"/>
      <c r="I20" s="3" t="s">
        <v>41</v>
      </c>
      <c r="J20" s="9">
        <f>B53</f>
        <v>27.862795856098984</v>
      </c>
      <c r="K20" s="3">
        <v>27.862795856098984</v>
      </c>
    </row>
    <row r="21" spans="1:11" x14ac:dyDescent="0.35">
      <c r="A21" s="1" t="s">
        <v>42</v>
      </c>
      <c r="B21" s="12">
        <v>3.4</v>
      </c>
      <c r="C21" s="3" t="s">
        <v>28</v>
      </c>
      <c r="D21" s="13">
        <v>48.8</v>
      </c>
      <c r="E21" s="3" t="s">
        <v>36</v>
      </c>
      <c r="F21" s="15"/>
      <c r="H21" s="7"/>
    </row>
    <row r="22" spans="1:11" x14ac:dyDescent="0.35">
      <c r="A22" s="1" t="s">
        <v>43</v>
      </c>
      <c r="B22" s="12">
        <v>2.5</v>
      </c>
      <c r="C22" s="3" t="s">
        <v>28</v>
      </c>
      <c r="D22" s="13">
        <v>46.9</v>
      </c>
      <c r="E22" s="3" t="s">
        <v>36</v>
      </c>
      <c r="F22" s="15"/>
      <c r="H22" s="7"/>
    </row>
    <row r="23" spans="1:11" x14ac:dyDescent="0.35">
      <c r="A23" s="1" t="s">
        <v>44</v>
      </c>
      <c r="B23" s="12">
        <v>3.23</v>
      </c>
      <c r="C23" s="3" t="s">
        <v>28</v>
      </c>
      <c r="D23" s="13">
        <v>49.6</v>
      </c>
      <c r="E23" s="3" t="s">
        <v>36</v>
      </c>
      <c r="F23" s="15"/>
      <c r="H23" s="7"/>
    </row>
    <row r="24" spans="1:11" x14ac:dyDescent="0.35">
      <c r="A24" s="1" t="s">
        <v>45</v>
      </c>
      <c r="B24" s="12">
        <v>3.99</v>
      </c>
      <c r="C24" s="3" t="s">
        <v>28</v>
      </c>
      <c r="D24" s="13">
        <v>52</v>
      </c>
      <c r="E24" s="3" t="s">
        <v>36</v>
      </c>
      <c r="F24" s="15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6">
        <v>1.8599999999999998E-2</v>
      </c>
    </row>
    <row r="29" spans="1:11" x14ac:dyDescent="0.35">
      <c r="A29" s="1" t="s">
        <v>49</v>
      </c>
      <c r="B29" s="16">
        <v>4.9200000000000001E-2</v>
      </c>
    </row>
    <row r="30" spans="1:11" x14ac:dyDescent="0.35">
      <c r="A30" s="1" t="s">
        <v>50</v>
      </c>
      <c r="B30" s="16">
        <v>-0.29599999999999999</v>
      </c>
    </row>
    <row r="31" spans="1:11" x14ac:dyDescent="0.35">
      <c r="A31" s="1" t="s">
        <v>51</v>
      </c>
      <c r="B31" s="16">
        <v>0.16200000000000001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7">
        <f>B6/B12</f>
        <v>0.36735966735966735</v>
      </c>
      <c r="C35" s="3" t="s">
        <v>54</v>
      </c>
    </row>
    <row r="36" spans="1:3" x14ac:dyDescent="0.35">
      <c r="A36" s="1" t="s">
        <v>55</v>
      </c>
      <c r="B36" s="17">
        <f>B7/B11</f>
        <v>0.15523484649698241</v>
      </c>
      <c r="C36" s="3" t="s">
        <v>56</v>
      </c>
    </row>
    <row r="37" spans="1:3" x14ac:dyDescent="0.35">
      <c r="A37" s="1" t="s">
        <v>57</v>
      </c>
      <c r="B37" s="17">
        <f>(B45*B12+B13*[1]Assumptions!B3)/B11</f>
        <v>0.14466019417475728</v>
      </c>
      <c r="C37" s="3" t="s">
        <v>58</v>
      </c>
    </row>
    <row r="38" spans="1:3" x14ac:dyDescent="0.35">
      <c r="A38" s="1" t="s">
        <v>59</v>
      </c>
      <c r="B38" s="17">
        <f>(B23-B22)/B23</f>
        <v>0.2260061919504644</v>
      </c>
      <c r="C38" s="3" t="s">
        <v>60</v>
      </c>
    </row>
    <row r="39" spans="1:3" x14ac:dyDescent="0.35">
      <c r="A39" s="1" t="s">
        <v>61</v>
      </c>
      <c r="B39" s="30">
        <f>(B36-[1]Assumptions!$B$3)/B36/B38/[1]Assumptions!B5</f>
        <v>0.79578782386832869</v>
      </c>
      <c r="C39" s="3" t="s">
        <v>62</v>
      </c>
    </row>
    <row r="40" spans="1:3" x14ac:dyDescent="0.35">
      <c r="A40" s="1" t="s">
        <v>63</v>
      </c>
      <c r="B40" s="19">
        <f>Assumptions!D16</f>
        <v>0.06</v>
      </c>
    </row>
    <row r="41" spans="1:3" x14ac:dyDescent="0.35">
      <c r="A41" s="1" t="s">
        <v>64</v>
      </c>
      <c r="B41" s="20">
        <f>(D23/D18)^0.5-1</f>
        <v>-1.7283312837614306E-2</v>
      </c>
    </row>
    <row r="42" spans="1:3" x14ac:dyDescent="0.35">
      <c r="A42" s="1" t="s">
        <v>65</v>
      </c>
      <c r="B42" s="20">
        <f>(B35-B41)/B48</f>
        <v>2.3434546608420502E-2</v>
      </c>
    </row>
    <row r="43" spans="1:3" x14ac:dyDescent="0.35">
      <c r="A43" s="1" t="s">
        <v>66</v>
      </c>
      <c r="B43" s="21">
        <f>AVERAGE(B28:B31)</f>
        <v>-1.6549999999999995E-2</v>
      </c>
    </row>
    <row r="44" spans="1:3" x14ac:dyDescent="0.35">
      <c r="A44" s="1" t="s">
        <v>67</v>
      </c>
      <c r="B44" s="22">
        <f>SUM(B40:B43)/3</f>
        <v>1.6533744590268736E-2</v>
      </c>
    </row>
    <row r="45" spans="1:3" x14ac:dyDescent="0.35">
      <c r="A45" s="1" t="s">
        <v>68</v>
      </c>
      <c r="B45" s="23">
        <v>0.3</v>
      </c>
      <c r="C45" s="3" t="s">
        <v>69</v>
      </c>
    </row>
    <row r="46" spans="1:3" x14ac:dyDescent="0.35">
      <c r="A46" s="1" t="s">
        <v>70</v>
      </c>
      <c r="B46" s="17">
        <f>Assumptions!E16</f>
        <v>0.06</v>
      </c>
    </row>
    <row r="47" spans="1:3" x14ac:dyDescent="0.35">
      <c r="A47" s="1" t="s">
        <v>71</v>
      </c>
      <c r="B47" s="24">
        <f>(B45-B46)/([1]Assumptions!B4-B46)/B45</f>
        <v>19.999999999999996</v>
      </c>
    </row>
    <row r="48" spans="1:3" x14ac:dyDescent="0.35">
      <c r="A48" s="1" t="s">
        <v>72</v>
      </c>
      <c r="B48" s="24">
        <f>(B2/B18+10+B47)/3</f>
        <v>16.413502109704641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4">
        <f>(B22*2-B$23)*(1+B$44)^8*B$48/(1+[1]Assumptions!B$4-B$14/B$2)^10</f>
        <v>15.268467079038762</v>
      </c>
      <c r="C52" s="24"/>
    </row>
    <row r="53" spans="1:3" x14ac:dyDescent="0.35">
      <c r="A53" s="1" t="s">
        <v>74</v>
      </c>
      <c r="B53" s="24">
        <f>(B23*2-B$23)*(1+B$44)^8*B$48/(1+[1]Assumptions!B$4-B$14/B$2)^10</f>
        <v>27.862795856098984</v>
      </c>
      <c r="C53" s="24"/>
    </row>
    <row r="54" spans="1:3" x14ac:dyDescent="0.35">
      <c r="A54" s="1" t="s">
        <v>75</v>
      </c>
      <c r="B54" s="24">
        <f>(B24*2-B$23)*(1+B$44)^8*B$48/(1+[1]Assumptions!B$4-B$14/B$2)^10</f>
        <v>40.97469978838086</v>
      </c>
      <c r="C5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051C-583F-4563-953B-3AE23F6CF216}">
  <dimension ref="A1:K54"/>
  <sheetViews>
    <sheetView topLeftCell="A22" workbookViewId="0">
      <selection activeCell="B47" sqref="B47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77</v>
      </c>
      <c r="I1" s="3" t="s">
        <v>2</v>
      </c>
      <c r="J1" s="3" t="str">
        <f>B1</f>
        <v>FSLR</v>
      </c>
      <c r="K1" s="3" t="s">
        <v>77</v>
      </c>
    </row>
    <row r="2" spans="1:11" x14ac:dyDescent="0.35">
      <c r="A2" s="1" t="s">
        <v>3</v>
      </c>
      <c r="B2" s="2">
        <v>210</v>
      </c>
      <c r="I2" s="3" t="s">
        <v>4</v>
      </c>
      <c r="J2" s="3">
        <f>B2</f>
        <v>210</v>
      </c>
      <c r="K2" s="3">
        <v>210</v>
      </c>
    </row>
    <row r="3" spans="1:11" x14ac:dyDescent="0.35">
      <c r="I3" s="3" t="s">
        <v>5</v>
      </c>
      <c r="J3" s="4">
        <f>B28</f>
        <v>0.32</v>
      </c>
      <c r="K3" s="3">
        <v>0.32</v>
      </c>
    </row>
    <row r="4" spans="1:11" x14ac:dyDescent="0.35">
      <c r="A4" s="1" t="s">
        <v>6</v>
      </c>
      <c r="I4" s="3" t="s">
        <v>7</v>
      </c>
      <c r="J4" s="3">
        <f>B18</f>
        <v>7.74</v>
      </c>
      <c r="K4" s="3">
        <v>7.74</v>
      </c>
    </row>
    <row r="5" spans="1:11" x14ac:dyDescent="0.35">
      <c r="B5" s="3" t="s">
        <v>8</v>
      </c>
      <c r="I5" s="3" t="s">
        <v>9</v>
      </c>
      <c r="J5" s="3">
        <f t="shared" ref="J5:J10" si="0">B19</f>
        <v>12.91</v>
      </c>
      <c r="K5" s="3">
        <v>12.79</v>
      </c>
    </row>
    <row r="6" spans="1:11" x14ac:dyDescent="0.35">
      <c r="A6" s="5" t="s">
        <v>10</v>
      </c>
      <c r="B6" s="6">
        <v>831</v>
      </c>
      <c r="C6" s="3" t="s">
        <v>11</v>
      </c>
      <c r="D6" s="7"/>
      <c r="I6" s="3" t="s">
        <v>12</v>
      </c>
      <c r="J6" s="3">
        <f t="shared" si="0"/>
        <v>13.29</v>
      </c>
      <c r="K6" s="3">
        <v>13.44</v>
      </c>
    </row>
    <row r="7" spans="1:11" x14ac:dyDescent="0.35">
      <c r="A7" s="5" t="s">
        <v>13</v>
      </c>
      <c r="B7" s="6">
        <v>886</v>
      </c>
      <c r="C7" s="3" t="s">
        <v>11</v>
      </c>
      <c r="D7" s="7"/>
      <c r="I7" s="3" t="s">
        <v>14</v>
      </c>
      <c r="J7" s="3">
        <f t="shared" si="0"/>
        <v>14</v>
      </c>
      <c r="K7" s="3">
        <v>14.43</v>
      </c>
    </row>
    <row r="8" spans="1:11" x14ac:dyDescent="0.35">
      <c r="A8" s="5" t="s">
        <v>15</v>
      </c>
      <c r="B8" s="6">
        <v>1301</v>
      </c>
      <c r="C8" s="3" t="s">
        <v>11</v>
      </c>
      <c r="D8" s="7"/>
      <c r="I8" s="3" t="s">
        <v>16</v>
      </c>
      <c r="J8" s="3">
        <f t="shared" si="0"/>
        <v>15.05</v>
      </c>
      <c r="K8" s="3">
        <v>15.05</v>
      </c>
    </row>
    <row r="9" spans="1:11" x14ac:dyDescent="0.35">
      <c r="A9" s="5" t="s">
        <v>17</v>
      </c>
      <c r="B9" s="6">
        <v>3319</v>
      </c>
      <c r="C9" s="3" t="s">
        <v>11</v>
      </c>
      <c r="D9" s="7"/>
      <c r="I9" s="3" t="s">
        <v>18</v>
      </c>
      <c r="J9" s="3">
        <f t="shared" si="0"/>
        <v>20.91</v>
      </c>
      <c r="K9" s="3">
        <v>21.31</v>
      </c>
    </row>
    <row r="10" spans="1:11" x14ac:dyDescent="0.35">
      <c r="A10" s="5" t="s">
        <v>19</v>
      </c>
      <c r="B10" s="8">
        <v>107</v>
      </c>
      <c r="C10" s="3" t="s">
        <v>11</v>
      </c>
      <c r="D10" s="7"/>
      <c r="I10" s="3" t="s">
        <v>20</v>
      </c>
      <c r="J10" s="3">
        <f t="shared" si="0"/>
        <v>24.52</v>
      </c>
      <c r="K10" s="3">
        <v>23.79</v>
      </c>
    </row>
    <row r="11" spans="1:11" x14ac:dyDescent="0.35">
      <c r="A11" s="5" t="s">
        <v>21</v>
      </c>
      <c r="B11" s="6">
        <v>10365</v>
      </c>
      <c r="C11" s="3" t="s">
        <v>11</v>
      </c>
      <c r="D11" s="7"/>
      <c r="I11" s="3" t="s">
        <v>22</v>
      </c>
      <c r="J11" s="9">
        <f>B44*100</f>
        <v>16.007756827338532</v>
      </c>
      <c r="K11" s="3">
        <v>15.827803336540988</v>
      </c>
    </row>
    <row r="12" spans="1:11" x14ac:dyDescent="0.35">
      <c r="A12" s="5" t="s">
        <v>23</v>
      </c>
      <c r="B12" s="6">
        <v>6687</v>
      </c>
      <c r="C12" s="3" t="s">
        <v>11</v>
      </c>
      <c r="D12" s="7"/>
      <c r="I12" s="3" t="s">
        <v>24</v>
      </c>
      <c r="J12" s="9">
        <f>100+B45*100</f>
        <v>121.21354867653656</v>
      </c>
      <c r="K12" s="3">
        <v>121.21354867653656</v>
      </c>
    </row>
    <row r="13" spans="1:11" x14ac:dyDescent="0.35">
      <c r="A13" s="5" t="s">
        <v>25</v>
      </c>
      <c r="B13" s="6">
        <v>3678</v>
      </c>
      <c r="C13" s="3" t="s">
        <v>11</v>
      </c>
      <c r="D13" s="7"/>
      <c r="I13" s="3" t="s">
        <v>26</v>
      </c>
      <c r="J13" s="3">
        <f>130+IF(B39&gt;1,-20)+IF(B39&lt;-1,20)</f>
        <v>130</v>
      </c>
      <c r="K13" s="3">
        <v>130</v>
      </c>
    </row>
    <row r="14" spans="1:11" x14ac:dyDescent="0.35">
      <c r="A14" s="1" t="s">
        <v>27</v>
      </c>
      <c r="B14" s="2">
        <v>0</v>
      </c>
      <c r="C14" s="3" t="s">
        <v>28</v>
      </c>
      <c r="D14" s="10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0</v>
      </c>
      <c r="K15" s="3">
        <v>0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2.5936328924845542</v>
      </c>
    </row>
    <row r="17" spans="1:11" x14ac:dyDescent="0.35">
      <c r="B17" s="3" t="s">
        <v>33</v>
      </c>
      <c r="D17" s="3" t="s">
        <v>17</v>
      </c>
      <c r="F17" s="11"/>
      <c r="I17" s="3" t="s">
        <v>34</v>
      </c>
      <c r="J17" s="9">
        <f>B45*100</f>
        <v>21.213548676536565</v>
      </c>
      <c r="K17" s="3">
        <v>21.213548676536565</v>
      </c>
    </row>
    <row r="18" spans="1:11" x14ac:dyDescent="0.35">
      <c r="A18" s="1" t="s">
        <v>35</v>
      </c>
      <c r="B18" s="12">
        <v>7.74</v>
      </c>
      <c r="C18" s="3" t="s">
        <v>28</v>
      </c>
      <c r="D18" s="13">
        <v>3.32</v>
      </c>
      <c r="E18" s="3" t="s">
        <v>36</v>
      </c>
      <c r="F18" s="14"/>
      <c r="H18" s="7"/>
      <c r="I18" s="3" t="s">
        <v>37</v>
      </c>
      <c r="J18" s="9">
        <f>B48</f>
        <v>18.353610070770483</v>
      </c>
      <c r="K18" s="3">
        <v>16.327632106231974</v>
      </c>
    </row>
    <row r="19" spans="1:11" x14ac:dyDescent="0.35">
      <c r="A19" s="1" t="s">
        <v>38</v>
      </c>
      <c r="B19" s="12">
        <v>12.91</v>
      </c>
      <c r="C19" s="3" t="s">
        <v>28</v>
      </c>
      <c r="D19" s="13">
        <v>4.4000000000000004</v>
      </c>
      <c r="E19" s="3" t="s">
        <v>36</v>
      </c>
      <c r="F19" s="15"/>
      <c r="H19" s="7"/>
      <c r="I19" s="3" t="s">
        <v>39</v>
      </c>
      <c r="J19" s="9">
        <f>B52</f>
        <v>213.30763174827743</v>
      </c>
      <c r="K19" s="3">
        <v>179.26181543776033</v>
      </c>
    </row>
    <row r="20" spans="1:11" x14ac:dyDescent="0.35">
      <c r="A20" s="1" t="s">
        <v>40</v>
      </c>
      <c r="B20" s="12">
        <v>13.29</v>
      </c>
      <c r="C20" s="3" t="s">
        <v>28</v>
      </c>
      <c r="D20" s="13">
        <v>4.5199999999999996</v>
      </c>
      <c r="E20" s="3" t="s">
        <v>36</v>
      </c>
      <c r="F20" s="15"/>
      <c r="H20" s="7"/>
      <c r="I20" s="3" t="s">
        <v>41</v>
      </c>
      <c r="J20" s="9">
        <f>B53</f>
        <v>485.33869204096635</v>
      </c>
      <c r="K20" s="3">
        <v>434.59263788153254</v>
      </c>
    </row>
    <row r="21" spans="1:11" x14ac:dyDescent="0.35">
      <c r="A21" s="1" t="s">
        <v>42</v>
      </c>
      <c r="B21" s="12">
        <v>14</v>
      </c>
      <c r="C21" s="3" t="s">
        <v>28</v>
      </c>
      <c r="D21" s="13">
        <v>4.5999999999999996</v>
      </c>
      <c r="E21" s="3" t="s">
        <v>36</v>
      </c>
      <c r="F21" s="15"/>
      <c r="H21" s="7"/>
    </row>
    <row r="22" spans="1:11" x14ac:dyDescent="0.35">
      <c r="A22" s="1" t="s">
        <v>43</v>
      </c>
      <c r="B22" s="12">
        <v>15.05</v>
      </c>
      <c r="C22" s="3" t="s">
        <v>28</v>
      </c>
      <c r="D22" s="13">
        <v>5.35</v>
      </c>
      <c r="E22" s="3" t="s">
        <v>36</v>
      </c>
      <c r="F22" s="15"/>
      <c r="H22" s="7"/>
    </row>
    <row r="23" spans="1:11" x14ac:dyDescent="0.35">
      <c r="A23" s="1" t="s">
        <v>44</v>
      </c>
      <c r="B23" s="12">
        <v>20.91</v>
      </c>
      <c r="C23" s="3" t="s">
        <v>28</v>
      </c>
      <c r="D23" s="13">
        <v>5.65</v>
      </c>
      <c r="E23" s="3" t="s">
        <v>36</v>
      </c>
      <c r="F23" s="15"/>
      <c r="H23" s="7"/>
    </row>
    <row r="24" spans="1:11" x14ac:dyDescent="0.35">
      <c r="A24" s="1" t="s">
        <v>45</v>
      </c>
      <c r="B24" s="12">
        <v>24.52</v>
      </c>
      <c r="C24" s="3" t="s">
        <v>28</v>
      </c>
      <c r="D24" s="13">
        <v>5.98</v>
      </c>
      <c r="E24" s="3" t="s">
        <v>36</v>
      </c>
      <c r="F24" s="15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6">
        <v>0.32</v>
      </c>
    </row>
    <row r="29" spans="1:11" x14ac:dyDescent="0.35">
      <c r="A29" s="1" t="s">
        <v>49</v>
      </c>
      <c r="B29" s="16">
        <v>0.56000000000000005</v>
      </c>
    </row>
    <row r="30" spans="1:11" x14ac:dyDescent="0.35">
      <c r="A30" s="1" t="s">
        <v>50</v>
      </c>
      <c r="B30" s="16">
        <v>0.74</v>
      </c>
    </row>
    <row r="31" spans="1:11" x14ac:dyDescent="0.35">
      <c r="A31" s="1" t="s">
        <v>51</v>
      </c>
      <c r="B31" s="16">
        <v>0.57999999999999996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7">
        <f>B6/B12</f>
        <v>0.12427097353073127</v>
      </c>
      <c r="C35" s="3" t="s">
        <v>54</v>
      </c>
    </row>
    <row r="36" spans="1:3" x14ac:dyDescent="0.35">
      <c r="A36" s="1" t="s">
        <v>55</v>
      </c>
      <c r="B36" s="17">
        <f>B7/B11</f>
        <v>8.5479980704293301E-2</v>
      </c>
      <c r="C36" s="3" t="s">
        <v>56</v>
      </c>
    </row>
    <row r="37" spans="1:3" x14ac:dyDescent="0.35">
      <c r="A37" s="1" t="s">
        <v>57</v>
      </c>
      <c r="B37" s="17">
        <f>(B45*B12+B13*[1]Assumptions!B3)/B11</f>
        <v>0.15460202604920406</v>
      </c>
      <c r="C37" s="3" t="s">
        <v>58</v>
      </c>
    </row>
    <row r="38" spans="1:3" x14ac:dyDescent="0.35">
      <c r="A38" s="1" t="s">
        <v>59</v>
      </c>
      <c r="B38" s="17">
        <f>(B23-B22)/B23</f>
        <v>0.28024868483978954</v>
      </c>
      <c r="C38" s="3" t="s">
        <v>60</v>
      </c>
    </row>
    <row r="39" spans="1:3" x14ac:dyDescent="0.35">
      <c r="A39" s="1" t="s">
        <v>61</v>
      </c>
      <c r="B39" s="25">
        <f>(B36-[1]Assumptions!$B$3)/B36/B38/[1]Assumptions!B5</f>
        <v>0.39293674985075044</v>
      </c>
      <c r="C39" s="3" t="s">
        <v>62</v>
      </c>
    </row>
    <row r="40" spans="1:3" x14ac:dyDescent="0.35">
      <c r="A40" s="1" t="s">
        <v>63</v>
      </c>
      <c r="B40" s="19">
        <f>Assumptions!D16</f>
        <v>0.06</v>
      </c>
    </row>
    <row r="41" spans="1:3" x14ac:dyDescent="0.35">
      <c r="A41" s="1" t="s">
        <v>64</v>
      </c>
      <c r="B41" s="20">
        <f>MIN((D23/D18)^0.5-1,B40*2)</f>
        <v>0.12</v>
      </c>
    </row>
    <row r="42" spans="1:3" x14ac:dyDescent="0.35">
      <c r="A42" s="1" t="s">
        <v>65</v>
      </c>
      <c r="B42" s="20">
        <f>(B35-B41)/B48</f>
        <v>2.3270482015596078E-4</v>
      </c>
    </row>
    <row r="43" spans="1:3" x14ac:dyDescent="0.35">
      <c r="A43" s="1" t="s">
        <v>66</v>
      </c>
      <c r="B43" s="21">
        <f>MIN(AVERAGE(B28:B31),0.3)</f>
        <v>0.3</v>
      </c>
    </row>
    <row r="44" spans="1:3" x14ac:dyDescent="0.35">
      <c r="A44" s="1" t="s">
        <v>67</v>
      </c>
      <c r="B44" s="22">
        <f>SUM(B40:B43)/3</f>
        <v>0.16007756827338532</v>
      </c>
    </row>
    <row r="45" spans="1:3" x14ac:dyDescent="0.35">
      <c r="A45" s="1" t="s">
        <v>68</v>
      </c>
      <c r="B45" s="16">
        <f>(B35+0.3)/2</f>
        <v>0.21213548676536564</v>
      </c>
      <c r="C45" s="3" t="s">
        <v>78</v>
      </c>
    </row>
    <row r="46" spans="1:3" x14ac:dyDescent="0.35">
      <c r="A46" s="1" t="s">
        <v>70</v>
      </c>
      <c r="B46" s="17">
        <f>Assumptions!E16</f>
        <v>0.06</v>
      </c>
    </row>
    <row r="47" spans="1:3" x14ac:dyDescent="0.35">
      <c r="A47" s="1" t="s">
        <v>71</v>
      </c>
      <c r="B47" s="24">
        <f>(B45-B46)/([1]Assumptions!B4-B46)/B45</f>
        <v>17.929047266575019</v>
      </c>
    </row>
    <row r="48" spans="1:3" x14ac:dyDescent="0.35">
      <c r="A48" s="1" t="s">
        <v>72</v>
      </c>
      <c r="B48" s="24">
        <f>(B2/B18+10+B47)/3</f>
        <v>18.353610070770483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4">
        <f>(B22*2-B$23)*(1+B$44)^8*B$48/(1+[1]Assumptions!B$4-B$14/B$2)^10</f>
        <v>213.30763174827743</v>
      </c>
      <c r="C52" s="24"/>
    </row>
    <row r="53" spans="1:3" x14ac:dyDescent="0.35">
      <c r="A53" s="1" t="s">
        <v>74</v>
      </c>
      <c r="B53" s="24">
        <f>(B23*2-B$23)*(1+B$44)^8*B$48/(1+[1]Assumptions!B$4-B$14/B$2)^10</f>
        <v>485.33869204096635</v>
      </c>
      <c r="C53" s="24"/>
    </row>
    <row r="54" spans="1:3" x14ac:dyDescent="0.35">
      <c r="A54" s="1" t="s">
        <v>75</v>
      </c>
      <c r="B54" s="24">
        <f>(B24*2-B$23)*(1+B$44)^8*B$48/(1+[1]Assumptions!B$4-B$14/B$2)^10</f>
        <v>652.92096638509724</v>
      </c>
      <c r="C54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BDF5-3B76-4815-A066-79A733F0991E}">
  <dimension ref="A1:K54"/>
  <sheetViews>
    <sheetView topLeftCell="A19" workbookViewId="0">
      <selection activeCell="C44" sqref="C44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111</v>
      </c>
      <c r="I1" s="3" t="s">
        <v>2</v>
      </c>
      <c r="J1" s="3" t="str">
        <f>B1</f>
        <v>MCHP</v>
      </c>
      <c r="K1" s="3" t="s">
        <v>111</v>
      </c>
    </row>
    <row r="2" spans="1:11" x14ac:dyDescent="0.35">
      <c r="A2" s="1" t="s">
        <v>3</v>
      </c>
      <c r="B2" s="2">
        <v>78</v>
      </c>
      <c r="I2" s="3" t="s">
        <v>4</v>
      </c>
      <c r="J2" s="3">
        <f>B2</f>
        <v>78</v>
      </c>
      <c r="K2" s="3">
        <v>78</v>
      </c>
    </row>
    <row r="3" spans="1:11" x14ac:dyDescent="0.35">
      <c r="I3" s="3" t="s">
        <v>5</v>
      </c>
      <c r="J3" s="4">
        <f>B28</f>
        <v>0.1</v>
      </c>
      <c r="K3" s="3">
        <v>0.1</v>
      </c>
    </row>
    <row r="4" spans="1:11" x14ac:dyDescent="0.35">
      <c r="A4" s="1" t="s">
        <v>6</v>
      </c>
      <c r="I4" s="3" t="s">
        <v>7</v>
      </c>
      <c r="J4" s="3">
        <f>B18</f>
        <v>4.92</v>
      </c>
      <c r="K4" s="3">
        <v>4.92</v>
      </c>
    </row>
    <row r="5" spans="1:11" x14ac:dyDescent="0.35">
      <c r="B5" s="3" t="s">
        <v>8</v>
      </c>
      <c r="I5" s="3" t="s">
        <v>9</v>
      </c>
      <c r="J5" s="3">
        <f t="shared" ref="J5:J10" si="0">B19</f>
        <v>1.49</v>
      </c>
      <c r="K5" s="3">
        <v>1.49</v>
      </c>
    </row>
    <row r="6" spans="1:11" x14ac:dyDescent="0.35">
      <c r="A6" s="5" t="s">
        <v>10</v>
      </c>
      <c r="B6" s="6">
        <v>2238</v>
      </c>
      <c r="C6" s="3" t="s">
        <v>11</v>
      </c>
      <c r="D6" s="7"/>
      <c r="I6" s="3" t="s">
        <v>12</v>
      </c>
      <c r="J6" s="3">
        <f t="shared" si="0"/>
        <v>1.95</v>
      </c>
      <c r="K6" s="3">
        <v>1.95</v>
      </c>
    </row>
    <row r="7" spans="1:11" x14ac:dyDescent="0.35">
      <c r="A7" s="5" t="s">
        <v>13</v>
      </c>
      <c r="B7" s="6">
        <v>3112</v>
      </c>
      <c r="C7" s="3" t="s">
        <v>11</v>
      </c>
      <c r="D7" s="7"/>
      <c r="I7" s="3" t="s">
        <v>14</v>
      </c>
      <c r="J7" s="3">
        <f t="shared" si="0"/>
        <v>2.15</v>
      </c>
      <c r="K7" s="3">
        <v>2.15</v>
      </c>
    </row>
    <row r="8" spans="1:11" x14ac:dyDescent="0.35">
      <c r="A8" s="5" t="s">
        <v>15</v>
      </c>
      <c r="B8" s="6">
        <v>5698</v>
      </c>
      <c r="C8" s="3" t="s">
        <v>11</v>
      </c>
      <c r="D8" s="7"/>
      <c r="I8" s="3" t="s">
        <v>16</v>
      </c>
      <c r="J8" s="3">
        <f t="shared" si="0"/>
        <v>1.78</v>
      </c>
      <c r="K8" s="3">
        <v>1.78</v>
      </c>
    </row>
    <row r="9" spans="1:11" x14ac:dyDescent="0.35">
      <c r="A9" s="5" t="s">
        <v>17</v>
      </c>
      <c r="B9" s="6">
        <v>8439</v>
      </c>
      <c r="C9" s="3" t="s">
        <v>11</v>
      </c>
      <c r="D9" s="7"/>
      <c r="I9" s="3" t="s">
        <v>18</v>
      </c>
      <c r="J9" s="3">
        <f t="shared" si="0"/>
        <v>3.27</v>
      </c>
      <c r="K9" s="3">
        <v>3.27</v>
      </c>
    </row>
    <row r="10" spans="1:11" x14ac:dyDescent="0.35">
      <c r="A10" s="5" t="s">
        <v>19</v>
      </c>
      <c r="B10" s="8">
        <v>557</v>
      </c>
      <c r="C10" s="3" t="s">
        <v>11</v>
      </c>
      <c r="D10" s="7"/>
      <c r="I10" s="3" t="s">
        <v>20</v>
      </c>
      <c r="J10" s="3">
        <f t="shared" si="0"/>
        <v>4.7300000000000004</v>
      </c>
      <c r="K10" s="3">
        <v>4.7300000000000004</v>
      </c>
    </row>
    <row r="11" spans="1:11" x14ac:dyDescent="0.35">
      <c r="A11" s="5" t="s">
        <v>21</v>
      </c>
      <c r="B11" s="6">
        <v>15873</v>
      </c>
      <c r="C11" s="3" t="s">
        <v>11</v>
      </c>
      <c r="D11" s="7"/>
      <c r="I11" s="3" t="s">
        <v>22</v>
      </c>
      <c r="J11" s="9">
        <f>B44*100</f>
        <v>7.1380292252268367</v>
      </c>
      <c r="K11" s="3">
        <v>10.963561140120458</v>
      </c>
    </row>
    <row r="12" spans="1:11" x14ac:dyDescent="0.35">
      <c r="A12" s="5" t="s">
        <v>23</v>
      </c>
      <c r="B12" s="6">
        <v>6658</v>
      </c>
      <c r="C12" s="3" t="s">
        <v>11</v>
      </c>
      <c r="D12" s="7"/>
      <c r="I12" s="3" t="s">
        <v>24</v>
      </c>
      <c r="J12" s="9">
        <f>100+B45*100</f>
        <v>130</v>
      </c>
      <c r="K12" s="3">
        <v>130</v>
      </c>
    </row>
    <row r="13" spans="1:11" x14ac:dyDescent="0.35">
      <c r="A13" s="5" t="s">
        <v>25</v>
      </c>
      <c r="B13" s="6">
        <v>9215</v>
      </c>
      <c r="C13" s="3" t="s">
        <v>11</v>
      </c>
      <c r="D13" s="7"/>
      <c r="I13" s="3" t="s">
        <v>26</v>
      </c>
      <c r="J13" s="3">
        <f>130+IF(B39&gt;1,-20)+IF(B39&lt;-1,20)</f>
        <v>130</v>
      </c>
      <c r="K13" s="3">
        <v>130</v>
      </c>
    </row>
    <row r="14" spans="1:11" x14ac:dyDescent="0.35">
      <c r="A14" s="1" t="s">
        <v>27</v>
      </c>
      <c r="B14" s="2">
        <v>1.81</v>
      </c>
      <c r="C14" s="3" t="s">
        <v>28</v>
      </c>
      <c r="D14" s="10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2.3205128205128203</v>
      </c>
      <c r="K15" s="3">
        <v>2.3205128205128203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1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2">
        <v>4.92</v>
      </c>
      <c r="C18" s="3" t="s">
        <v>28</v>
      </c>
      <c r="D18" s="13">
        <v>7.63</v>
      </c>
      <c r="E18" s="3" t="s">
        <v>36</v>
      </c>
      <c r="F18" s="14"/>
      <c r="H18" s="7"/>
      <c r="I18" s="3" t="s">
        <v>37</v>
      </c>
      <c r="J18" s="9">
        <f>B48</f>
        <v>15.284552845528452</v>
      </c>
      <c r="K18" s="3">
        <v>15.284552845528452</v>
      </c>
    </row>
    <row r="19" spans="1:11" x14ac:dyDescent="0.35">
      <c r="A19" s="1" t="s">
        <v>38</v>
      </c>
      <c r="B19" s="12">
        <v>1.49</v>
      </c>
      <c r="C19" s="3" t="s">
        <v>28</v>
      </c>
      <c r="D19" s="13">
        <v>4.66</v>
      </c>
      <c r="E19" s="3" t="s">
        <v>36</v>
      </c>
      <c r="F19" s="15"/>
      <c r="H19" s="7"/>
      <c r="I19" s="3" t="s">
        <v>39</v>
      </c>
      <c r="J19" s="9">
        <f>B52</f>
        <v>3.6717252582744435</v>
      </c>
      <c r="K19" s="3">
        <v>4.8614300192171935</v>
      </c>
    </row>
    <row r="20" spans="1:11" x14ac:dyDescent="0.35">
      <c r="A20" s="1" t="s">
        <v>40</v>
      </c>
      <c r="B20" s="12">
        <v>1.95</v>
      </c>
      <c r="C20" s="3" t="s">
        <v>28</v>
      </c>
      <c r="D20" s="13">
        <v>4.8600000000000003</v>
      </c>
      <c r="E20" s="3" t="s">
        <v>36</v>
      </c>
      <c r="F20" s="15"/>
      <c r="H20" s="7"/>
      <c r="I20" s="3" t="s">
        <v>41</v>
      </c>
      <c r="J20" s="9">
        <f>B53</f>
        <v>41.401867567439403</v>
      </c>
      <c r="K20" s="3">
        <v>54.816814354621449</v>
      </c>
    </row>
    <row r="21" spans="1:11" x14ac:dyDescent="0.35">
      <c r="A21" s="1" t="s">
        <v>42</v>
      </c>
      <c r="B21" s="12">
        <v>2.15</v>
      </c>
      <c r="C21" s="3" t="s">
        <v>28</v>
      </c>
      <c r="D21" s="13">
        <v>5.33</v>
      </c>
      <c r="E21" s="3" t="s">
        <v>36</v>
      </c>
      <c r="F21" s="15"/>
      <c r="H21" s="7"/>
    </row>
    <row r="22" spans="1:11" x14ac:dyDescent="0.35">
      <c r="A22" s="1" t="s">
        <v>43</v>
      </c>
      <c r="B22" s="12">
        <v>1.78</v>
      </c>
      <c r="C22" s="3" t="s">
        <v>28</v>
      </c>
      <c r="D22" s="13">
        <v>4.88</v>
      </c>
      <c r="E22" s="3" t="s">
        <v>36</v>
      </c>
      <c r="F22" s="15"/>
      <c r="H22" s="7"/>
    </row>
    <row r="23" spans="1:11" x14ac:dyDescent="0.35">
      <c r="A23" s="1" t="s">
        <v>44</v>
      </c>
      <c r="B23" s="12">
        <v>3.27</v>
      </c>
      <c r="C23" s="3" t="s">
        <v>28</v>
      </c>
      <c r="D23" s="13">
        <v>6.05</v>
      </c>
      <c r="E23" s="3" t="s">
        <v>36</v>
      </c>
      <c r="F23" s="15"/>
      <c r="H23" s="7"/>
    </row>
    <row r="24" spans="1:11" x14ac:dyDescent="0.35">
      <c r="A24" s="1" t="s">
        <v>45</v>
      </c>
      <c r="B24" s="12">
        <v>4.7300000000000004</v>
      </c>
      <c r="C24" s="3" t="s">
        <v>28</v>
      </c>
      <c r="D24" s="13">
        <v>7.32</v>
      </c>
      <c r="E24" s="3" t="s">
        <v>36</v>
      </c>
      <c r="F24" s="15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6">
        <v>0.1</v>
      </c>
    </row>
    <row r="29" spans="1:11" x14ac:dyDescent="0.35">
      <c r="A29" s="1" t="s">
        <v>49</v>
      </c>
      <c r="B29" s="16">
        <v>-0.1</v>
      </c>
    </row>
    <row r="30" spans="1:11" x14ac:dyDescent="0.35">
      <c r="A30" s="1" t="s">
        <v>50</v>
      </c>
      <c r="B30" s="16">
        <v>-0.6</v>
      </c>
    </row>
    <row r="31" spans="1:11" x14ac:dyDescent="0.35">
      <c r="A31" s="1" t="s">
        <v>51</v>
      </c>
      <c r="B31" s="16">
        <v>0.68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7">
        <f>B6/B12</f>
        <v>0.33613697807149295</v>
      </c>
      <c r="C35" s="3" t="s">
        <v>54</v>
      </c>
    </row>
    <row r="36" spans="1:3" x14ac:dyDescent="0.35">
      <c r="A36" s="1" t="s">
        <v>55</v>
      </c>
      <c r="B36" s="17">
        <f>B7/B11</f>
        <v>0.19605619605619606</v>
      </c>
      <c r="C36" s="3" t="s">
        <v>56</v>
      </c>
    </row>
    <row r="37" spans="1:3" x14ac:dyDescent="0.35">
      <c r="A37" s="1" t="s">
        <v>57</v>
      </c>
      <c r="B37" s="17">
        <f>(B45*B12+B13*[1]Assumptions!B3)/B11</f>
        <v>0.15486360486360484</v>
      </c>
      <c r="C37" s="3" t="s">
        <v>58</v>
      </c>
    </row>
    <row r="38" spans="1:3" x14ac:dyDescent="0.35">
      <c r="A38" s="1" t="s">
        <v>59</v>
      </c>
      <c r="B38" s="17">
        <f>(B23-B22)/B23</f>
        <v>0.45565749235474007</v>
      </c>
      <c r="C38" s="3" t="s">
        <v>60</v>
      </c>
    </row>
    <row r="39" spans="1:3" x14ac:dyDescent="0.35">
      <c r="A39" s="1" t="s">
        <v>61</v>
      </c>
      <c r="B39" s="25">
        <f>(B36-[1]Assumptions!$B$3)/B36/B38/[1]Assumptions!B5</f>
        <v>0.43375867138318558</v>
      </c>
      <c r="C39" s="3" t="s">
        <v>62</v>
      </c>
    </row>
    <row r="40" spans="1:3" x14ac:dyDescent="0.35">
      <c r="A40" s="1" t="s">
        <v>63</v>
      </c>
      <c r="B40" s="19">
        <f>Assumptions!D16</f>
        <v>0.06</v>
      </c>
    </row>
    <row r="41" spans="1:3" x14ac:dyDescent="0.35">
      <c r="A41" s="1" t="s">
        <v>64</v>
      </c>
      <c r="B41" s="20">
        <f>MIN((D23/D20)-1,B40*2)</f>
        <v>0.12</v>
      </c>
    </row>
    <row r="42" spans="1:3" x14ac:dyDescent="0.35">
      <c r="A42" s="1" t="s">
        <v>65</v>
      </c>
      <c r="B42" s="20">
        <f>(B35-B41)/B48</f>
        <v>1.4140876756805127E-2</v>
      </c>
    </row>
    <row r="43" spans="1:3" x14ac:dyDescent="0.35">
      <c r="A43" s="1" t="s">
        <v>66</v>
      </c>
      <c r="B43" s="21">
        <f>AVERAGE(B28:B31)</f>
        <v>2.0000000000000018E-2</v>
      </c>
    </row>
    <row r="44" spans="1:3" x14ac:dyDescent="0.35">
      <c r="A44" s="1" t="s">
        <v>67</v>
      </c>
      <c r="B44" s="22">
        <f>SUM(B40:B43)/3</f>
        <v>7.1380292252268371E-2</v>
      </c>
    </row>
    <row r="45" spans="1:3" x14ac:dyDescent="0.35">
      <c r="A45" s="1" t="s">
        <v>68</v>
      </c>
      <c r="B45" s="23">
        <v>0.3</v>
      </c>
      <c r="C45" s="3" t="s">
        <v>69</v>
      </c>
    </row>
    <row r="46" spans="1:3" x14ac:dyDescent="0.35">
      <c r="A46" s="1" t="s">
        <v>70</v>
      </c>
      <c r="B46" s="17">
        <f>Assumptions!E16</f>
        <v>0.06</v>
      </c>
    </row>
    <row r="47" spans="1:3" x14ac:dyDescent="0.35">
      <c r="A47" s="1" t="s">
        <v>71</v>
      </c>
      <c r="B47" s="24">
        <f>(B45-B46)/([1]Assumptions!B4-B46)/B45</f>
        <v>19.999999999999996</v>
      </c>
    </row>
    <row r="48" spans="1:3" x14ac:dyDescent="0.35">
      <c r="A48" s="1" t="s">
        <v>72</v>
      </c>
      <c r="B48" s="24">
        <f>(B2/B18+10+B47)/3</f>
        <v>15.284552845528452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4">
        <f>(B22*2-B$23)*(1+B$44)^8*B$48/(1+[1]Assumptions!B$4-B$14/B$2)^10</f>
        <v>3.6717252582744435</v>
      </c>
      <c r="C52" s="24"/>
    </row>
    <row r="53" spans="1:3" x14ac:dyDescent="0.35">
      <c r="A53" s="1" t="s">
        <v>74</v>
      </c>
      <c r="B53" s="24">
        <f>(B23*2-B$23)*(1+B$44)^8*B$48/(1+[1]Assumptions!B$4-B$14/B$2)^10</f>
        <v>41.401867567439403</v>
      </c>
      <c r="C53" s="24"/>
    </row>
    <row r="54" spans="1:3" x14ac:dyDescent="0.35">
      <c r="A54" s="1" t="s">
        <v>75</v>
      </c>
      <c r="B54" s="24">
        <f>(B24*2-B$23)*(1+B$44)^8*B$48/(1+[1]Assumptions!B$4-B$14/B$2)^10</f>
        <v>78.372342581788985</v>
      </c>
      <c r="C54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63F7-9D62-49AE-87D7-2F6BACBDD46C}">
  <dimension ref="A1:K61"/>
  <sheetViews>
    <sheetView topLeftCell="A13" workbookViewId="0">
      <selection activeCell="B45" sqref="B45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112</v>
      </c>
      <c r="I1" s="3" t="s">
        <v>2</v>
      </c>
      <c r="J1" s="3" t="str">
        <f>B1</f>
        <v>PFE</v>
      </c>
      <c r="K1" s="3" t="s">
        <v>112</v>
      </c>
    </row>
    <row r="2" spans="1:11" x14ac:dyDescent="0.35">
      <c r="A2" s="1" t="s">
        <v>3</v>
      </c>
      <c r="B2" s="2">
        <v>29</v>
      </c>
      <c r="I2" s="3" t="s">
        <v>4</v>
      </c>
      <c r="J2" s="3">
        <f>B2</f>
        <v>29</v>
      </c>
      <c r="K2" s="3">
        <v>29</v>
      </c>
    </row>
    <row r="3" spans="1:11" x14ac:dyDescent="0.35">
      <c r="I3" s="3" t="s">
        <v>5</v>
      </c>
      <c r="J3" s="4">
        <f>B28</f>
        <v>0.03</v>
      </c>
      <c r="K3" s="3">
        <v>0.03</v>
      </c>
    </row>
    <row r="4" spans="1:11" x14ac:dyDescent="0.35">
      <c r="A4" s="1" t="s">
        <v>6</v>
      </c>
      <c r="I4" s="3" t="s">
        <v>7</v>
      </c>
      <c r="J4" s="3">
        <f>B18</f>
        <v>1.84</v>
      </c>
      <c r="K4" s="3">
        <v>1.84</v>
      </c>
    </row>
    <row r="5" spans="1:11" x14ac:dyDescent="0.35">
      <c r="B5" s="3" t="s">
        <v>8</v>
      </c>
      <c r="I5" s="3" t="s">
        <v>9</v>
      </c>
      <c r="J5" s="3">
        <f t="shared" ref="J5:J10" si="0">B19</f>
        <v>2.15</v>
      </c>
      <c r="K5" s="3">
        <v>2.15</v>
      </c>
    </row>
    <row r="6" spans="1:11" x14ac:dyDescent="0.35">
      <c r="A6" s="5" t="s">
        <v>10</v>
      </c>
      <c r="B6" s="6">
        <v>2119</v>
      </c>
      <c r="C6" s="3" t="s">
        <v>11</v>
      </c>
      <c r="D6" s="7"/>
      <c r="I6" s="3" t="s">
        <v>12</v>
      </c>
      <c r="J6" s="3">
        <f t="shared" si="0"/>
        <v>2.35</v>
      </c>
      <c r="K6" s="3">
        <v>2.35</v>
      </c>
    </row>
    <row r="7" spans="1:11" x14ac:dyDescent="0.35">
      <c r="A7" s="5" t="s">
        <v>13</v>
      </c>
      <c r="B7" s="6">
        <v>3359</v>
      </c>
      <c r="C7" s="3" t="s">
        <v>11</v>
      </c>
      <c r="D7" s="7"/>
      <c r="I7" s="3" t="s">
        <v>14</v>
      </c>
      <c r="J7" s="3">
        <f t="shared" si="0"/>
        <v>2.63</v>
      </c>
      <c r="K7" s="3">
        <v>2.63</v>
      </c>
    </row>
    <row r="8" spans="1:11" x14ac:dyDescent="0.35">
      <c r="A8" s="5" t="s">
        <v>15</v>
      </c>
      <c r="B8" s="6">
        <v>33542</v>
      </c>
      <c r="C8" s="3" t="s">
        <v>11</v>
      </c>
      <c r="D8" s="7"/>
      <c r="I8" s="3" t="s">
        <v>16</v>
      </c>
      <c r="J8" s="3">
        <f t="shared" si="0"/>
        <v>2.38</v>
      </c>
      <c r="K8" s="3">
        <v>2.38</v>
      </c>
    </row>
    <row r="9" spans="1:11" x14ac:dyDescent="0.35">
      <c r="A9" s="5" t="s">
        <v>17</v>
      </c>
      <c r="B9" s="6">
        <v>58496</v>
      </c>
      <c r="C9" s="3" t="s">
        <v>11</v>
      </c>
      <c r="D9" s="7"/>
      <c r="I9" s="3" t="s">
        <v>18</v>
      </c>
      <c r="J9" s="3">
        <f t="shared" si="0"/>
        <v>2.73</v>
      </c>
      <c r="K9" s="3">
        <v>2.73</v>
      </c>
    </row>
    <row r="10" spans="1:11" x14ac:dyDescent="0.35">
      <c r="A10" s="5" t="s">
        <v>19</v>
      </c>
      <c r="B10" s="8">
        <v>5643</v>
      </c>
      <c r="C10" s="3" t="s">
        <v>11</v>
      </c>
      <c r="D10" s="7"/>
      <c r="I10" s="3" t="s">
        <v>20</v>
      </c>
      <c r="J10" s="3">
        <f t="shared" si="0"/>
        <v>3.13</v>
      </c>
      <c r="K10" s="3">
        <v>3.13</v>
      </c>
    </row>
    <row r="11" spans="1:11" x14ac:dyDescent="0.35">
      <c r="A11" s="5" t="s">
        <v>21</v>
      </c>
      <c r="B11" s="6">
        <v>226501</v>
      </c>
      <c r="C11" s="3" t="s">
        <v>11</v>
      </c>
      <c r="D11" s="7"/>
      <c r="I11" s="3" t="s">
        <v>22</v>
      </c>
      <c r="J11" s="9">
        <f>B44*100</f>
        <v>9.2494000563137888</v>
      </c>
      <c r="K11" s="3">
        <v>9.2494000563137888</v>
      </c>
    </row>
    <row r="12" spans="1:11" x14ac:dyDescent="0.35">
      <c r="A12" s="5" t="s">
        <v>23</v>
      </c>
      <c r="B12" s="6">
        <v>89014</v>
      </c>
      <c r="C12" s="3" t="s">
        <v>11</v>
      </c>
      <c r="D12" s="7"/>
      <c r="I12" s="3" t="s">
        <v>24</v>
      </c>
      <c r="J12" s="9">
        <f>100+B45*100</f>
        <v>116.19026220594513</v>
      </c>
      <c r="K12" s="3">
        <v>116.19026220594513</v>
      </c>
    </row>
    <row r="13" spans="1:11" x14ac:dyDescent="0.35">
      <c r="A13" s="5" t="s">
        <v>25</v>
      </c>
      <c r="B13" s="6">
        <v>137213</v>
      </c>
      <c r="C13" s="3" t="s">
        <v>11</v>
      </c>
      <c r="D13" s="7"/>
      <c r="I13" s="3" t="s">
        <v>26</v>
      </c>
      <c r="J13" s="3">
        <f>130+IF(B39&gt;1,-20)+IF(B39&lt;-1,20)</f>
        <v>150</v>
      </c>
      <c r="K13" s="3">
        <v>150</v>
      </c>
    </row>
    <row r="14" spans="1:11" x14ac:dyDescent="0.35">
      <c r="A14" s="1" t="s">
        <v>27</v>
      </c>
      <c r="B14" s="2">
        <v>1.68</v>
      </c>
      <c r="C14" s="3" t="s">
        <v>28</v>
      </c>
      <c r="D14" s="10"/>
      <c r="I14" s="3" t="s">
        <v>29</v>
      </c>
      <c r="J14" s="3">
        <f>MAX(J12:J13)*2</f>
        <v>300</v>
      </c>
      <c r="K14" s="3">
        <v>300</v>
      </c>
    </row>
    <row r="15" spans="1:11" x14ac:dyDescent="0.35">
      <c r="I15" s="3" t="s">
        <v>30</v>
      </c>
      <c r="J15" s="9">
        <f>B14/B2*100</f>
        <v>5.7931034482758621</v>
      </c>
      <c r="K15" s="3">
        <v>5.7931034482758621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1"/>
      <c r="I17" s="3" t="s">
        <v>34</v>
      </c>
      <c r="J17" s="9">
        <f>B45*100</f>
        <v>16.190262205945132</v>
      </c>
      <c r="K17" s="3">
        <v>16.190262205945132</v>
      </c>
    </row>
    <row r="18" spans="1:11" x14ac:dyDescent="0.35">
      <c r="A18" s="1" t="s">
        <v>35</v>
      </c>
      <c r="B18" s="12">
        <v>1.84</v>
      </c>
      <c r="C18" s="3" t="s">
        <v>28</v>
      </c>
      <c r="D18" s="13">
        <v>58.5</v>
      </c>
      <c r="E18" s="3" t="s">
        <v>36</v>
      </c>
      <c r="F18" s="14"/>
      <c r="H18" s="7"/>
      <c r="I18" s="3" t="s">
        <v>37</v>
      </c>
      <c r="J18" s="9">
        <f>B48</f>
        <v>13.832013744161808</v>
      </c>
      <c r="K18" s="3">
        <v>13.832013744161808</v>
      </c>
    </row>
    <row r="19" spans="1:11" x14ac:dyDescent="0.35">
      <c r="A19" s="1" t="s">
        <v>38</v>
      </c>
      <c r="B19" s="12">
        <v>2.15</v>
      </c>
      <c r="C19" s="3" t="s">
        <v>28</v>
      </c>
      <c r="D19" s="13">
        <v>58.21</v>
      </c>
      <c r="E19" s="3" t="s">
        <v>36</v>
      </c>
      <c r="F19" s="15"/>
      <c r="H19" s="7"/>
      <c r="I19" s="3" t="s">
        <v>39</v>
      </c>
      <c r="J19" s="9">
        <f>B52</f>
        <v>37.737168796277324</v>
      </c>
      <c r="K19" s="3">
        <v>37.737168796277324</v>
      </c>
    </row>
    <row r="20" spans="1:11" x14ac:dyDescent="0.35">
      <c r="A20" s="1" t="s">
        <v>40</v>
      </c>
      <c r="B20" s="12">
        <v>2.35</v>
      </c>
      <c r="C20" s="3" t="s">
        <v>28</v>
      </c>
      <c r="D20" s="13">
        <v>60.59</v>
      </c>
      <c r="E20" s="3" t="s">
        <v>36</v>
      </c>
      <c r="F20" s="15"/>
      <c r="H20" s="7"/>
      <c r="I20" s="3" t="s">
        <v>41</v>
      </c>
      <c r="J20" s="9">
        <f>B53</f>
        <v>50.74998562257985</v>
      </c>
      <c r="K20" s="3">
        <v>50.74998562257985</v>
      </c>
    </row>
    <row r="21" spans="1:11" x14ac:dyDescent="0.35">
      <c r="A21" s="1" t="s">
        <v>42</v>
      </c>
      <c r="B21" s="12">
        <v>2.63</v>
      </c>
      <c r="C21" s="3" t="s">
        <v>28</v>
      </c>
      <c r="D21" s="13">
        <v>62.26</v>
      </c>
      <c r="E21" s="3" t="s">
        <v>36</v>
      </c>
      <c r="F21" s="15"/>
      <c r="H21" s="7"/>
    </row>
    <row r="22" spans="1:11" x14ac:dyDescent="0.35">
      <c r="A22" s="1" t="s">
        <v>43</v>
      </c>
      <c r="B22" s="12">
        <v>2.38</v>
      </c>
      <c r="C22" s="3" t="s">
        <v>28</v>
      </c>
      <c r="D22" s="13">
        <v>58.77</v>
      </c>
      <c r="E22" s="3" t="s">
        <v>36</v>
      </c>
      <c r="F22" s="15"/>
      <c r="H22" s="7"/>
    </row>
    <row r="23" spans="1:11" x14ac:dyDescent="0.35">
      <c r="A23" s="1" t="s">
        <v>44</v>
      </c>
      <c r="B23" s="12">
        <v>2.73</v>
      </c>
      <c r="C23" s="3" t="s">
        <v>28</v>
      </c>
      <c r="D23" s="13">
        <v>62.77</v>
      </c>
      <c r="E23" s="3" t="s">
        <v>36</v>
      </c>
      <c r="F23" s="15"/>
      <c r="H23" s="7"/>
    </row>
    <row r="24" spans="1:11" x14ac:dyDescent="0.35">
      <c r="A24" s="1" t="s">
        <v>45</v>
      </c>
      <c r="B24" s="12">
        <v>3.13</v>
      </c>
      <c r="C24" s="3" t="s">
        <v>28</v>
      </c>
      <c r="D24" s="13">
        <v>64.5</v>
      </c>
      <c r="E24" s="3" t="s">
        <v>36</v>
      </c>
      <c r="F24" s="15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6">
        <v>0.03</v>
      </c>
    </row>
    <row r="29" spans="1:11" x14ac:dyDescent="0.35">
      <c r="A29" s="1" t="s">
        <v>49</v>
      </c>
      <c r="B29" s="16">
        <v>0.18</v>
      </c>
    </row>
    <row r="30" spans="1:11" x14ac:dyDescent="0.35">
      <c r="A30" s="1" t="s">
        <v>50</v>
      </c>
      <c r="B30" s="16">
        <v>0.44</v>
      </c>
    </row>
    <row r="31" spans="1:11" x14ac:dyDescent="0.35">
      <c r="A31" s="1" t="s">
        <v>51</v>
      </c>
      <c r="B31" s="16">
        <v>0.08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7">
        <f>B6/B12</f>
        <v>2.3805244118902644E-2</v>
      </c>
      <c r="C35" s="3" t="s">
        <v>54</v>
      </c>
    </row>
    <row r="36" spans="1:3" x14ac:dyDescent="0.35">
      <c r="A36" s="1" t="s">
        <v>55</v>
      </c>
      <c r="B36" s="17">
        <f>B7/B11</f>
        <v>1.4829956600633109E-2</v>
      </c>
      <c r="C36" s="3" t="s">
        <v>56</v>
      </c>
    </row>
    <row r="37" spans="1:3" x14ac:dyDescent="0.35">
      <c r="A37" s="1" t="s">
        <v>57</v>
      </c>
      <c r="B37" s="17">
        <f>(B45*B12+B13*[1]Assumptions!B3)/B11</f>
        <v>9.3916803899320528E-2</v>
      </c>
      <c r="C37" s="3" t="s">
        <v>58</v>
      </c>
    </row>
    <row r="38" spans="1:3" x14ac:dyDescent="0.35">
      <c r="A38" s="1" t="s">
        <v>59</v>
      </c>
      <c r="B38" s="17">
        <f>(B23-B22)/B23</f>
        <v>0.12820512820512825</v>
      </c>
      <c r="C38" s="3" t="s">
        <v>60</v>
      </c>
    </row>
    <row r="39" spans="1:3" x14ac:dyDescent="0.35">
      <c r="A39" s="1" t="s">
        <v>61</v>
      </c>
      <c r="B39" s="27">
        <f>(B36-[1]Assumptions!$B$3)/B36/B38/[1]Assumptions!B5</f>
        <v>-4.9076648783955372</v>
      </c>
      <c r="C39" s="3" t="s">
        <v>62</v>
      </c>
    </row>
    <row r="40" spans="1:3" x14ac:dyDescent="0.35">
      <c r="A40" s="1" t="s">
        <v>63</v>
      </c>
      <c r="B40" s="19">
        <f>Assumptions!D16</f>
        <v>0.06</v>
      </c>
    </row>
    <row r="41" spans="1:3" x14ac:dyDescent="0.35">
      <c r="A41" s="1" t="s">
        <v>64</v>
      </c>
      <c r="B41" s="20">
        <f>(D23/D18)^0.5-1</f>
        <v>3.5853007425017402E-2</v>
      </c>
    </row>
    <row r="42" spans="1:3" x14ac:dyDescent="0.35">
      <c r="A42" s="1" t="s">
        <v>65</v>
      </c>
      <c r="B42" s="20">
        <f>(B35-B41)/B48</f>
        <v>-8.7100573560374437E-4</v>
      </c>
    </row>
    <row r="43" spans="1:3" x14ac:dyDescent="0.35">
      <c r="A43" s="1" t="s">
        <v>66</v>
      </c>
      <c r="B43" s="21">
        <f>AVERAGE(B28:B31)</f>
        <v>0.1825</v>
      </c>
    </row>
    <row r="44" spans="1:3" x14ac:dyDescent="0.35">
      <c r="A44" s="1" t="s">
        <v>67</v>
      </c>
      <c r="B44" s="22">
        <f>SUM(B40:B43)/3</f>
        <v>9.249400056313789E-2</v>
      </c>
    </row>
    <row r="45" spans="1:3" x14ac:dyDescent="0.35">
      <c r="A45" s="1" t="s">
        <v>68</v>
      </c>
      <c r="B45" s="23">
        <f>(B35+0.3)/2</f>
        <v>0.16190262205945133</v>
      </c>
      <c r="C45" s="3" t="s">
        <v>78</v>
      </c>
    </row>
    <row r="46" spans="1:3" x14ac:dyDescent="0.35">
      <c r="A46" s="1" t="s">
        <v>70</v>
      </c>
      <c r="B46" s="17">
        <f>Assumptions!E16</f>
        <v>0.06</v>
      </c>
    </row>
    <row r="47" spans="1:3" x14ac:dyDescent="0.35">
      <c r="A47" s="1" t="s">
        <v>71</v>
      </c>
      <c r="B47" s="24">
        <f>(B45-B46)/([1]Assumptions!B4-B46)/B45</f>
        <v>15.735171667268032</v>
      </c>
    </row>
    <row r="48" spans="1:3" x14ac:dyDescent="0.35">
      <c r="A48" s="1" t="s">
        <v>72</v>
      </c>
      <c r="B48" s="24">
        <f>(B2/B18+10+B47)/3</f>
        <v>13.832013744161808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4">
        <f>(B22*2-B$23)*(1+B$44)^8*B$48/(1+[1]Assumptions!B$4-B$14/B$2)^10</f>
        <v>37.737168796277324</v>
      </c>
      <c r="C52" s="24"/>
    </row>
    <row r="53" spans="1:3" x14ac:dyDescent="0.35">
      <c r="A53" s="1" t="s">
        <v>74</v>
      </c>
      <c r="B53" s="24">
        <f>(B23*2-B$23)*(1+B$44)^8*B$48/(1+[1]Assumptions!B$4-B$14/B$2)^10</f>
        <v>50.74998562257985</v>
      </c>
      <c r="C53" s="24"/>
    </row>
    <row r="54" spans="1:3" x14ac:dyDescent="0.35">
      <c r="A54" s="1" t="s">
        <v>75</v>
      </c>
      <c r="B54" s="24">
        <f>(B24*2-B$23)*(1+B$44)^8*B$48/(1+[1]Assumptions!B$4-B$14/B$2)^10</f>
        <v>65.621776281211311</v>
      </c>
      <c r="C54" s="24"/>
    </row>
    <row r="61" spans="1:3" x14ac:dyDescent="0.35">
      <c r="A6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D172-A7FA-433F-A560-44F5DB3BE119}">
  <dimension ref="A1:K61"/>
  <sheetViews>
    <sheetView topLeftCell="A28" workbookViewId="0">
      <selection activeCell="C43" sqref="C43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113</v>
      </c>
      <c r="I1" s="3" t="s">
        <v>2</v>
      </c>
      <c r="J1" s="3" t="str">
        <f>B1</f>
        <v>JNJ</v>
      </c>
      <c r="K1" s="3" t="s">
        <v>113</v>
      </c>
    </row>
    <row r="2" spans="1:11" x14ac:dyDescent="0.35">
      <c r="A2" s="1" t="s">
        <v>3</v>
      </c>
      <c r="B2" s="2">
        <v>162</v>
      </c>
      <c r="I2" s="3" t="s">
        <v>4</v>
      </c>
      <c r="J2" s="3">
        <f>B2</f>
        <v>162</v>
      </c>
      <c r="K2" s="3">
        <v>162</v>
      </c>
    </row>
    <row r="3" spans="1:11" x14ac:dyDescent="0.35">
      <c r="I3" s="3" t="s">
        <v>5</v>
      </c>
      <c r="J3" s="4">
        <f>B28</f>
        <v>0.06</v>
      </c>
      <c r="K3" s="3">
        <v>0.06</v>
      </c>
    </row>
    <row r="4" spans="1:11" x14ac:dyDescent="0.35">
      <c r="A4" s="1" t="s">
        <v>6</v>
      </c>
      <c r="I4" s="3" t="s">
        <v>7</v>
      </c>
      <c r="J4" s="3">
        <f>B18</f>
        <v>9.92</v>
      </c>
      <c r="K4" s="3">
        <v>9.92</v>
      </c>
    </row>
    <row r="5" spans="1:11" x14ac:dyDescent="0.35">
      <c r="B5" s="3" t="s">
        <v>114</v>
      </c>
      <c r="I5" s="3" t="s">
        <v>9</v>
      </c>
      <c r="J5" s="3">
        <f t="shared" ref="J5:J10" si="0">B19</f>
        <v>10.47</v>
      </c>
      <c r="K5" s="3">
        <v>10.47</v>
      </c>
    </row>
    <row r="6" spans="1:11" x14ac:dyDescent="0.35">
      <c r="A6" s="5" t="s">
        <v>10</v>
      </c>
      <c r="B6" s="6">
        <v>14684</v>
      </c>
      <c r="C6" s="3" t="s">
        <v>11</v>
      </c>
      <c r="D6" s="7"/>
      <c r="I6" s="3" t="s">
        <v>12</v>
      </c>
      <c r="J6" s="3">
        <f t="shared" si="0"/>
        <v>10.62</v>
      </c>
      <c r="K6" s="3">
        <v>10.62</v>
      </c>
    </row>
    <row r="7" spans="1:11" x14ac:dyDescent="0.35">
      <c r="A7" s="5" t="s">
        <v>13</v>
      </c>
      <c r="B7" s="6">
        <v>22915</v>
      </c>
      <c r="C7" s="3" t="s">
        <v>11</v>
      </c>
      <c r="D7" s="7"/>
      <c r="I7" s="3" t="s">
        <v>14</v>
      </c>
      <c r="J7" s="3">
        <f t="shared" si="0"/>
        <v>10.85</v>
      </c>
      <c r="K7" s="3">
        <v>10.85</v>
      </c>
    </row>
    <row r="8" spans="1:11" x14ac:dyDescent="0.35">
      <c r="A8" s="5" t="s">
        <v>15</v>
      </c>
      <c r="B8" s="6">
        <v>60555</v>
      </c>
      <c r="C8" s="3" t="s">
        <v>11</v>
      </c>
      <c r="D8" s="7"/>
      <c r="I8" s="3" t="s">
        <v>16</v>
      </c>
      <c r="J8" s="3">
        <f t="shared" si="0"/>
        <v>10.220000000000001</v>
      </c>
      <c r="K8" s="3">
        <v>10.220000000000001</v>
      </c>
    </row>
    <row r="9" spans="1:11" x14ac:dyDescent="0.35">
      <c r="A9" s="5" t="s">
        <v>17</v>
      </c>
      <c r="B9" s="6">
        <v>87696</v>
      </c>
      <c r="C9" s="3" t="s">
        <v>11</v>
      </c>
      <c r="D9" s="7"/>
      <c r="I9" s="3" t="s">
        <v>18</v>
      </c>
      <c r="J9" s="3">
        <f t="shared" si="0"/>
        <v>10.91</v>
      </c>
      <c r="K9" s="3">
        <v>10.91</v>
      </c>
    </row>
    <row r="10" spans="1:11" x14ac:dyDescent="0.35">
      <c r="A10" s="5" t="s">
        <v>19</v>
      </c>
      <c r="B10" s="8">
        <v>2615</v>
      </c>
      <c r="C10" s="3" t="s">
        <v>11</v>
      </c>
      <c r="D10" s="7"/>
      <c r="I10" s="3" t="s">
        <v>20</v>
      </c>
      <c r="J10" s="3">
        <f t="shared" si="0"/>
        <v>11.53</v>
      </c>
      <c r="K10" s="3">
        <v>11.53</v>
      </c>
    </row>
    <row r="11" spans="1:11" x14ac:dyDescent="0.35">
      <c r="A11" s="5" t="s">
        <v>21</v>
      </c>
      <c r="B11" s="6">
        <v>167558</v>
      </c>
      <c r="C11" s="3" t="s">
        <v>11</v>
      </c>
      <c r="D11" s="7"/>
      <c r="I11" s="3" t="s">
        <v>22</v>
      </c>
      <c r="J11" s="9">
        <f>B44*100</f>
        <v>4.8489312990848497</v>
      </c>
      <c r="K11" s="3">
        <v>4.8489312990848497</v>
      </c>
    </row>
    <row r="12" spans="1:11" x14ac:dyDescent="0.35">
      <c r="A12" s="5" t="s">
        <v>23</v>
      </c>
      <c r="B12" s="6">
        <v>68774</v>
      </c>
      <c r="C12" s="3" t="s">
        <v>11</v>
      </c>
      <c r="D12" s="7"/>
      <c r="I12" s="3" t="s">
        <v>24</v>
      </c>
      <c r="J12" s="9">
        <f>100+B45*100</f>
        <v>130</v>
      </c>
      <c r="K12" s="3">
        <v>130</v>
      </c>
    </row>
    <row r="13" spans="1:11" x14ac:dyDescent="0.35">
      <c r="A13" s="5" t="s">
        <v>25</v>
      </c>
      <c r="B13" s="6">
        <v>46282</v>
      </c>
      <c r="C13" s="3" t="s">
        <v>11</v>
      </c>
      <c r="D13" s="7"/>
      <c r="I13" s="3" t="s">
        <v>26</v>
      </c>
      <c r="J13" s="3">
        <f>130+IF(B39&gt;1,-20)+IF(B39&lt;-1,20)</f>
        <v>110</v>
      </c>
      <c r="K13" s="3">
        <v>110</v>
      </c>
    </row>
    <row r="14" spans="1:11" x14ac:dyDescent="0.35">
      <c r="A14" s="1" t="s">
        <v>27</v>
      </c>
      <c r="B14" s="2">
        <v>4.96</v>
      </c>
      <c r="C14" s="3" t="s">
        <v>28</v>
      </c>
      <c r="D14" s="10"/>
      <c r="I14" s="3" t="s">
        <v>29</v>
      </c>
      <c r="J14" s="3">
        <f>MAX(J12:J13)*2</f>
        <v>260</v>
      </c>
      <c r="K14" s="3">
        <v>260</v>
      </c>
    </row>
    <row r="15" spans="1:11" x14ac:dyDescent="0.35">
      <c r="I15" s="3" t="s">
        <v>30</v>
      </c>
      <c r="J15" s="9">
        <f>B14/B2*100</f>
        <v>3.0617283950617287</v>
      </c>
      <c r="K15" s="3">
        <v>3.0617283950617287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1"/>
      <c r="I17" s="3" t="s">
        <v>34</v>
      </c>
      <c r="J17" s="9">
        <f>B45*100</f>
        <v>30</v>
      </c>
      <c r="K17" s="3">
        <v>30</v>
      </c>
    </row>
    <row r="18" spans="1:11" x14ac:dyDescent="0.35">
      <c r="A18" s="1" t="s">
        <v>35</v>
      </c>
      <c r="B18" s="12">
        <v>9.92</v>
      </c>
      <c r="C18" s="3" t="s">
        <v>28</v>
      </c>
      <c r="D18" s="13">
        <v>85.16</v>
      </c>
      <c r="E18" s="3" t="s">
        <v>36</v>
      </c>
      <c r="F18" s="14"/>
      <c r="H18" s="7"/>
      <c r="I18" s="3" t="s">
        <v>37</v>
      </c>
      <c r="J18" s="9">
        <f>B48</f>
        <v>15.443548387096774</v>
      </c>
      <c r="K18" s="3">
        <v>15.443548387096774</v>
      </c>
    </row>
    <row r="19" spans="1:11" x14ac:dyDescent="0.35">
      <c r="A19" s="1" t="s">
        <v>38</v>
      </c>
      <c r="B19" s="12">
        <v>10.47</v>
      </c>
      <c r="C19" s="3" t="s">
        <v>28</v>
      </c>
      <c r="D19" s="13">
        <v>88</v>
      </c>
      <c r="E19" s="3" t="s">
        <v>36</v>
      </c>
      <c r="F19" s="15"/>
      <c r="H19" s="7"/>
      <c r="I19" s="3" t="s">
        <v>39</v>
      </c>
      <c r="J19" s="9">
        <f>B52</f>
        <v>109.90576003958493</v>
      </c>
      <c r="K19" s="3">
        <v>109.90576003958493</v>
      </c>
    </row>
    <row r="20" spans="1:11" x14ac:dyDescent="0.35">
      <c r="A20" s="1" t="s">
        <v>40</v>
      </c>
      <c r="B20" s="12">
        <v>10.62</v>
      </c>
      <c r="C20" s="3" t="s">
        <v>28</v>
      </c>
      <c r="D20" s="13">
        <v>88.46</v>
      </c>
      <c r="E20" s="3" t="s">
        <v>36</v>
      </c>
      <c r="F20" s="15"/>
      <c r="H20" s="7"/>
      <c r="I20" s="3" t="s">
        <v>41</v>
      </c>
      <c r="J20" s="9">
        <f>B53</f>
        <v>125.82075991939892</v>
      </c>
      <c r="K20" s="3">
        <v>125.82075991939892</v>
      </c>
    </row>
    <row r="21" spans="1:11" x14ac:dyDescent="0.35">
      <c r="A21" s="1" t="s">
        <v>42</v>
      </c>
      <c r="B21" s="12">
        <v>10.85</v>
      </c>
      <c r="C21" s="3" t="s">
        <v>28</v>
      </c>
      <c r="D21" s="13">
        <v>89.29</v>
      </c>
      <c r="E21" s="3" t="s">
        <v>36</v>
      </c>
      <c r="F21" s="15"/>
      <c r="H21" s="7"/>
    </row>
    <row r="22" spans="1:11" x14ac:dyDescent="0.35">
      <c r="A22" s="1" t="s">
        <v>43</v>
      </c>
      <c r="B22" s="12">
        <v>10.220000000000001</v>
      </c>
      <c r="C22" s="3" t="s">
        <v>28</v>
      </c>
      <c r="D22" s="13">
        <v>88.61</v>
      </c>
      <c r="E22" s="3" t="s">
        <v>36</v>
      </c>
      <c r="F22" s="15"/>
      <c r="H22" s="7"/>
    </row>
    <row r="23" spans="1:11" x14ac:dyDescent="0.35">
      <c r="A23" s="1" t="s">
        <v>44</v>
      </c>
      <c r="B23" s="12">
        <v>10.91</v>
      </c>
      <c r="C23" s="3" t="s">
        <v>28</v>
      </c>
      <c r="D23" s="13">
        <v>91.02</v>
      </c>
      <c r="E23" s="3" t="s">
        <v>36</v>
      </c>
      <c r="F23" s="15"/>
      <c r="H23" s="7"/>
    </row>
    <row r="24" spans="1:11" x14ac:dyDescent="0.35">
      <c r="A24" s="1" t="s">
        <v>45</v>
      </c>
      <c r="B24" s="12">
        <v>11.53</v>
      </c>
      <c r="C24" s="3" t="s">
        <v>28</v>
      </c>
      <c r="D24" s="13">
        <v>92.95</v>
      </c>
      <c r="E24" s="3" t="s">
        <v>36</v>
      </c>
      <c r="F24" s="15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6">
        <v>0.06</v>
      </c>
    </row>
    <row r="29" spans="1:11" x14ac:dyDescent="0.35">
      <c r="A29" s="1" t="s">
        <v>49</v>
      </c>
      <c r="B29" s="16">
        <v>0.03</v>
      </c>
    </row>
    <row r="30" spans="1:11" x14ac:dyDescent="0.35">
      <c r="A30" s="1" t="s">
        <v>50</v>
      </c>
      <c r="B30" s="16">
        <v>0</v>
      </c>
    </row>
    <row r="31" spans="1:11" x14ac:dyDescent="0.35">
      <c r="A31" s="1" t="s">
        <v>51</v>
      </c>
      <c r="B31" s="16">
        <v>7.0000000000000007E-2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7">
        <f>B6/B12</f>
        <v>0.21351091982435222</v>
      </c>
      <c r="C35" s="3" t="s">
        <v>54</v>
      </c>
    </row>
    <row r="36" spans="1:3" x14ac:dyDescent="0.35">
      <c r="A36" s="1" t="s">
        <v>55</v>
      </c>
      <c r="B36" s="17">
        <f>B7/B11</f>
        <v>0.13675861492736843</v>
      </c>
      <c r="C36" s="3" t="s">
        <v>56</v>
      </c>
    </row>
    <row r="37" spans="1:3" x14ac:dyDescent="0.35">
      <c r="A37" s="1" t="s">
        <v>57</v>
      </c>
      <c r="B37" s="17">
        <f>(B45*B12+B13*[1]Assumptions!B3)/B11</f>
        <v>0.13694541591568293</v>
      </c>
      <c r="C37" s="3" t="s">
        <v>58</v>
      </c>
    </row>
    <row r="38" spans="1:3" x14ac:dyDescent="0.35">
      <c r="A38" s="1" t="s">
        <v>59</v>
      </c>
      <c r="B38" s="17">
        <f>(B23-B22)/B23</f>
        <v>6.3244729605866135E-2</v>
      </c>
      <c r="C38" s="3" t="s">
        <v>60</v>
      </c>
    </row>
    <row r="39" spans="1:3" x14ac:dyDescent="0.35">
      <c r="A39" s="1" t="s">
        <v>61</v>
      </c>
      <c r="B39" s="28">
        <f>(B36-[1]Assumptions!$B$3)/B36/B38/[1]Assumptions!B5</f>
        <v>2.6612204278726947</v>
      </c>
      <c r="C39" s="3" t="s">
        <v>62</v>
      </c>
    </row>
    <row r="40" spans="1:3" x14ac:dyDescent="0.35">
      <c r="A40" s="1" t="s">
        <v>63</v>
      </c>
      <c r="B40" s="19">
        <f>Assumptions!D16</f>
        <v>0.06</v>
      </c>
    </row>
    <row r="41" spans="1:3" x14ac:dyDescent="0.35">
      <c r="A41" s="1" t="s">
        <v>64</v>
      </c>
      <c r="B41" s="20">
        <f>(D23/D18)^0.5-1</f>
        <v>3.3833472403241194E-2</v>
      </c>
    </row>
    <row r="42" spans="1:3" x14ac:dyDescent="0.35">
      <c r="A42" s="1" t="s">
        <v>65</v>
      </c>
      <c r="B42" s="20">
        <f>(B35-B41)/B48</f>
        <v>1.1634466569304317E-2</v>
      </c>
    </row>
    <row r="43" spans="1:3" x14ac:dyDescent="0.35">
      <c r="A43" s="1" t="s">
        <v>66</v>
      </c>
      <c r="B43" s="21">
        <f>AVERAGE(B28:B31)</f>
        <v>0.04</v>
      </c>
    </row>
    <row r="44" spans="1:3" x14ac:dyDescent="0.35">
      <c r="A44" s="1" t="s">
        <v>67</v>
      </c>
      <c r="B44" s="22">
        <f>SUM(B40:B43)/3</f>
        <v>4.84893129908485E-2</v>
      </c>
    </row>
    <row r="45" spans="1:3" x14ac:dyDescent="0.35">
      <c r="A45" s="1" t="s">
        <v>68</v>
      </c>
      <c r="B45" s="23">
        <f>0.3</f>
        <v>0.3</v>
      </c>
      <c r="C45" s="3" t="s">
        <v>69</v>
      </c>
    </row>
    <row r="46" spans="1:3" x14ac:dyDescent="0.35">
      <c r="A46" s="1" t="s">
        <v>70</v>
      </c>
      <c r="B46" s="17">
        <f>Assumptions!E16</f>
        <v>0.06</v>
      </c>
    </row>
    <row r="47" spans="1:3" x14ac:dyDescent="0.35">
      <c r="A47" s="1" t="s">
        <v>71</v>
      </c>
      <c r="B47" s="24">
        <f>(B45-B46)/([1]Assumptions!B4-B46)/B45</f>
        <v>19.999999999999996</v>
      </c>
    </row>
    <row r="48" spans="1:3" x14ac:dyDescent="0.35">
      <c r="A48" s="1" t="s">
        <v>72</v>
      </c>
      <c r="B48" s="24">
        <f>(B2/B18+10+B47)/3</f>
        <v>15.443548387096774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4">
        <f>(B22*2-B$23)*(1+B$44)^8*B$48/(1+[1]Assumptions!B$4-B$14/B$2)^10</f>
        <v>109.90576003958493</v>
      </c>
      <c r="C52" s="24"/>
    </row>
    <row r="53" spans="1:3" x14ac:dyDescent="0.35">
      <c r="A53" s="1" t="s">
        <v>74</v>
      </c>
      <c r="B53" s="24">
        <f>(B23*2-B$23)*(1+B$44)^8*B$48/(1+[1]Assumptions!B$4-B$14/B$2)^10</f>
        <v>125.82075991939892</v>
      </c>
      <c r="C53" s="24"/>
    </row>
    <row r="54" spans="1:3" x14ac:dyDescent="0.35">
      <c r="A54" s="1" t="s">
        <v>75</v>
      </c>
      <c r="B54" s="24">
        <f>(B24*2-B$23)*(1+B$44)^8*B$48/(1+[1]Assumptions!B$4-B$14/B$2)^10</f>
        <v>140.12119459401433</v>
      </c>
      <c r="C54" s="24"/>
    </row>
    <row r="61" spans="1:3" x14ac:dyDescent="0.35">
      <c r="A6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8308-08A0-4E84-B890-1180240717FC}">
  <dimension ref="A1:K55"/>
  <sheetViews>
    <sheetView topLeftCell="D1" workbookViewId="0">
      <selection activeCell="K1" sqref="K1:K20"/>
    </sheetView>
  </sheetViews>
  <sheetFormatPr defaultColWidth="8.88671875" defaultRowHeight="15" x14ac:dyDescent="0.35"/>
  <cols>
    <col min="1" max="1" width="30.6640625" style="1" customWidth="1"/>
    <col min="2" max="18" width="20.6640625" style="3" customWidth="1"/>
    <col min="19" max="16384" width="8.88671875" style="3"/>
  </cols>
  <sheetData>
    <row r="1" spans="1:11" x14ac:dyDescent="0.35">
      <c r="A1" s="1" t="s">
        <v>0</v>
      </c>
      <c r="B1" s="2" t="s">
        <v>115</v>
      </c>
      <c r="I1" s="3" t="s">
        <v>2</v>
      </c>
      <c r="J1" s="3" t="str">
        <f>B1</f>
        <v>BAC</v>
      </c>
      <c r="K1" s="3" t="s">
        <v>115</v>
      </c>
    </row>
    <row r="2" spans="1:11" x14ac:dyDescent="0.35">
      <c r="A2" s="1" t="s">
        <v>3</v>
      </c>
      <c r="B2" s="2">
        <v>45</v>
      </c>
      <c r="I2" s="3" t="s">
        <v>4</v>
      </c>
      <c r="J2" s="3">
        <f>B2</f>
        <v>45</v>
      </c>
      <c r="K2" s="3">
        <v>45</v>
      </c>
    </row>
    <row r="3" spans="1:11" x14ac:dyDescent="0.35">
      <c r="I3" s="3" t="s">
        <v>5</v>
      </c>
      <c r="J3" s="4">
        <f>B28</f>
        <v>0.1172</v>
      </c>
      <c r="K3" s="3">
        <v>0.1172</v>
      </c>
    </row>
    <row r="4" spans="1:11" x14ac:dyDescent="0.35">
      <c r="A4" s="1" t="s">
        <v>6</v>
      </c>
      <c r="I4" s="3" t="s">
        <v>7</v>
      </c>
      <c r="J4" s="3">
        <f>B18</f>
        <v>3.08</v>
      </c>
      <c r="K4" s="3">
        <v>3.08</v>
      </c>
    </row>
    <row r="5" spans="1:11" x14ac:dyDescent="0.35">
      <c r="B5" s="3" t="s">
        <v>8</v>
      </c>
      <c r="I5" s="3" t="s">
        <v>9</v>
      </c>
      <c r="J5" s="3">
        <f t="shared" ref="J5:J10" si="0">B19</f>
        <v>3.19</v>
      </c>
      <c r="K5" s="3">
        <v>3.19</v>
      </c>
    </row>
    <row r="6" spans="1:11" x14ac:dyDescent="0.35">
      <c r="A6" s="5" t="s">
        <v>10</v>
      </c>
      <c r="B6" s="6">
        <v>24866</v>
      </c>
      <c r="C6" s="3" t="s">
        <v>11</v>
      </c>
      <c r="D6" s="7"/>
      <c r="I6" s="3" t="s">
        <v>12</v>
      </c>
      <c r="J6" s="3">
        <f t="shared" si="0"/>
        <v>3.25</v>
      </c>
      <c r="K6" s="3">
        <v>3.25</v>
      </c>
    </row>
    <row r="7" spans="1:11" x14ac:dyDescent="0.35">
      <c r="A7" s="5" t="s">
        <v>13</v>
      </c>
      <c r="B7" s="6">
        <v>98581</v>
      </c>
      <c r="C7" s="3" t="s">
        <v>11</v>
      </c>
      <c r="D7" s="7"/>
      <c r="I7" s="3" t="s">
        <v>14</v>
      </c>
      <c r="J7" s="3">
        <f t="shared" si="0"/>
        <v>3.32</v>
      </c>
      <c r="K7" s="3">
        <v>3.32</v>
      </c>
    </row>
    <row r="8" spans="1:11" x14ac:dyDescent="0.35">
      <c r="A8" s="5" t="s">
        <v>15</v>
      </c>
      <c r="B8" s="6"/>
      <c r="C8" s="3" t="s">
        <v>11</v>
      </c>
      <c r="D8" s="7"/>
      <c r="I8" s="3" t="s">
        <v>16</v>
      </c>
      <c r="J8" s="3">
        <f t="shared" si="0"/>
        <v>3.47</v>
      </c>
      <c r="K8" s="3">
        <v>3.47</v>
      </c>
    </row>
    <row r="9" spans="1:11" x14ac:dyDescent="0.35">
      <c r="A9" s="5" t="s">
        <v>17</v>
      </c>
      <c r="B9" s="6">
        <v>98581</v>
      </c>
      <c r="C9" s="3" t="s">
        <v>11</v>
      </c>
      <c r="D9" s="7"/>
      <c r="I9" s="3" t="s">
        <v>18</v>
      </c>
      <c r="J9" s="3">
        <f t="shared" si="0"/>
        <v>3.66</v>
      </c>
      <c r="K9" s="3">
        <v>3.66</v>
      </c>
    </row>
    <row r="10" spans="1:11" x14ac:dyDescent="0.35">
      <c r="A10" s="5" t="s">
        <v>19</v>
      </c>
      <c r="B10" s="8">
        <v>8081</v>
      </c>
      <c r="C10" s="3" t="s">
        <v>11</v>
      </c>
      <c r="D10" s="7"/>
      <c r="I10" s="3" t="s">
        <v>20</v>
      </c>
      <c r="J10" s="3">
        <f t="shared" si="0"/>
        <v>3.98</v>
      </c>
      <c r="K10" s="3">
        <v>3.98</v>
      </c>
    </row>
    <row r="11" spans="1:11" x14ac:dyDescent="0.35">
      <c r="A11" s="5" t="s">
        <v>21</v>
      </c>
      <c r="B11" s="6">
        <v>3180151</v>
      </c>
      <c r="C11" s="3" t="s">
        <v>11</v>
      </c>
      <c r="D11" s="7"/>
      <c r="I11" s="3" t="s">
        <v>22</v>
      </c>
      <c r="J11" s="9">
        <f>B44*100</f>
        <v>8.0558896276716254</v>
      </c>
      <c r="K11" s="3">
        <v>8.0558896276716254</v>
      </c>
    </row>
    <row r="12" spans="1:11" x14ac:dyDescent="0.35">
      <c r="A12" s="5" t="s">
        <v>23</v>
      </c>
      <c r="B12" s="6">
        <v>291646</v>
      </c>
      <c r="C12" s="3" t="s">
        <v>11</v>
      </c>
      <c r="D12" s="7"/>
      <c r="I12" s="3" t="s">
        <v>24</v>
      </c>
      <c r="J12" s="9">
        <f>100+B45*100</f>
        <v>119.26304492432607</v>
      </c>
      <c r="K12" s="3">
        <v>119.26304492432607</v>
      </c>
    </row>
    <row r="13" spans="1:11" x14ac:dyDescent="0.35">
      <c r="A13" s="5" t="s">
        <v>25</v>
      </c>
      <c r="B13" s="6">
        <v>2888505</v>
      </c>
      <c r="C13" s="3" t="s">
        <v>11</v>
      </c>
      <c r="D13" s="7"/>
      <c r="I13" s="3" t="s">
        <v>26</v>
      </c>
      <c r="J13" s="3">
        <f>130+IF(B39&gt;1,-20)+IF(B39&lt;-1,20)</f>
        <v>150</v>
      </c>
      <c r="K13" s="3">
        <v>150</v>
      </c>
    </row>
    <row r="14" spans="1:11" x14ac:dyDescent="0.35">
      <c r="A14" s="1" t="s">
        <v>27</v>
      </c>
      <c r="B14" s="2">
        <v>1.04</v>
      </c>
      <c r="C14" s="3" t="s">
        <v>28</v>
      </c>
      <c r="D14" s="10"/>
      <c r="I14" s="3" t="s">
        <v>29</v>
      </c>
      <c r="J14" s="3">
        <f>MAX(J12:J13)*2</f>
        <v>300</v>
      </c>
      <c r="K14" s="3">
        <v>300</v>
      </c>
    </row>
    <row r="15" spans="1:11" x14ac:dyDescent="0.35">
      <c r="I15" s="3" t="s">
        <v>30</v>
      </c>
      <c r="J15" s="9">
        <f>B14/B2*100</f>
        <v>2.3111111111111113</v>
      </c>
      <c r="K15" s="3">
        <v>2.3111111111111113</v>
      </c>
    </row>
    <row r="16" spans="1:11" x14ac:dyDescent="0.35">
      <c r="A16" s="3" t="s">
        <v>31</v>
      </c>
      <c r="I16" s="3" t="s">
        <v>32</v>
      </c>
      <c r="J16" s="9">
        <f>B46*100</f>
        <v>6</v>
      </c>
      <c r="K16" s="3">
        <v>6</v>
      </c>
    </row>
    <row r="17" spans="1:11" x14ac:dyDescent="0.35">
      <c r="B17" s="3" t="s">
        <v>33</v>
      </c>
      <c r="D17" s="3" t="s">
        <v>17</v>
      </c>
      <c r="F17" s="11"/>
      <c r="I17" s="3" t="s">
        <v>34</v>
      </c>
      <c r="J17" s="9">
        <f>B45*100</f>
        <v>19.263044924326067</v>
      </c>
      <c r="K17" s="3">
        <v>19.263044924326067</v>
      </c>
    </row>
    <row r="18" spans="1:11" x14ac:dyDescent="0.35">
      <c r="A18" s="1" t="s">
        <v>35</v>
      </c>
      <c r="B18" s="12">
        <v>3.08</v>
      </c>
      <c r="C18" s="3" t="s">
        <v>28</v>
      </c>
      <c r="D18" s="13">
        <v>91.38</v>
      </c>
      <c r="E18" s="3" t="s">
        <v>36</v>
      </c>
      <c r="F18" s="14"/>
      <c r="H18" s="7"/>
      <c r="I18" s="3" t="s">
        <v>37</v>
      </c>
      <c r="J18" s="9">
        <f>B48</f>
        <v>13.941152899125413</v>
      </c>
      <c r="K18" s="3">
        <v>13.941152899125413</v>
      </c>
    </row>
    <row r="19" spans="1:11" x14ac:dyDescent="0.35">
      <c r="A19" s="1" t="s">
        <v>38</v>
      </c>
      <c r="B19" s="12">
        <v>3.19</v>
      </c>
      <c r="C19" s="3" t="s">
        <v>28</v>
      </c>
      <c r="D19" s="13">
        <v>101.92</v>
      </c>
      <c r="E19" s="3" t="s">
        <v>36</v>
      </c>
      <c r="F19" s="15"/>
      <c r="H19" s="7"/>
      <c r="I19" s="3" t="s">
        <v>39</v>
      </c>
      <c r="J19" s="9">
        <f>B52</f>
        <v>40.518291056425319</v>
      </c>
      <c r="K19" s="3">
        <v>40.518291056425319</v>
      </c>
    </row>
    <row r="20" spans="1:11" x14ac:dyDescent="0.35">
      <c r="A20" s="1" t="s">
        <v>40</v>
      </c>
      <c r="B20" s="12">
        <v>3.25</v>
      </c>
      <c r="C20" s="3" t="s">
        <v>28</v>
      </c>
      <c r="D20" s="13">
        <v>102.24</v>
      </c>
      <c r="E20" s="3" t="s">
        <v>36</v>
      </c>
      <c r="F20" s="15"/>
      <c r="H20" s="7"/>
      <c r="I20" s="3" t="s">
        <v>41</v>
      </c>
      <c r="J20" s="9">
        <f>B53</f>
        <v>45.212483312962398</v>
      </c>
      <c r="K20" s="3">
        <v>45.212483312962398</v>
      </c>
    </row>
    <row r="21" spans="1:11" x14ac:dyDescent="0.35">
      <c r="A21" s="1" t="s">
        <v>42</v>
      </c>
      <c r="B21" s="12">
        <v>3.32</v>
      </c>
      <c r="C21" s="3" t="s">
        <v>28</v>
      </c>
      <c r="D21" s="13">
        <v>102.86</v>
      </c>
      <c r="E21" s="3" t="s">
        <v>36</v>
      </c>
      <c r="F21" s="15"/>
      <c r="H21" s="7"/>
    </row>
    <row r="22" spans="1:11" x14ac:dyDescent="0.35">
      <c r="A22" s="1" t="s">
        <v>43</v>
      </c>
      <c r="B22" s="12">
        <v>3.47</v>
      </c>
      <c r="C22" s="3" t="s">
        <v>28</v>
      </c>
      <c r="D22" s="13">
        <v>105.96</v>
      </c>
      <c r="E22" s="3" t="s">
        <v>36</v>
      </c>
      <c r="F22" s="15"/>
      <c r="H22" s="7"/>
    </row>
    <row r="23" spans="1:11" x14ac:dyDescent="0.35">
      <c r="A23" s="1" t="s">
        <v>44</v>
      </c>
      <c r="B23" s="12">
        <v>3.66</v>
      </c>
      <c r="C23" s="3" t="s">
        <v>28</v>
      </c>
      <c r="D23" s="13">
        <v>106.91</v>
      </c>
      <c r="E23" s="3" t="s">
        <v>36</v>
      </c>
      <c r="F23" s="15"/>
      <c r="H23" s="7"/>
    </row>
    <row r="24" spans="1:11" x14ac:dyDescent="0.35">
      <c r="A24" s="1" t="s">
        <v>45</v>
      </c>
      <c r="B24" s="12">
        <v>3.98</v>
      </c>
      <c r="C24" s="3" t="s">
        <v>28</v>
      </c>
      <c r="D24" s="13">
        <v>110.01</v>
      </c>
      <c r="E24" s="3" t="s">
        <v>36</v>
      </c>
      <c r="F24" s="15"/>
      <c r="H24" s="7"/>
    </row>
    <row r="26" spans="1:11" x14ac:dyDescent="0.35">
      <c r="A26" s="1" t="s">
        <v>46</v>
      </c>
    </row>
    <row r="27" spans="1:11" x14ac:dyDescent="0.35">
      <c r="B27" s="2" t="s">
        <v>47</v>
      </c>
    </row>
    <row r="28" spans="1:11" x14ac:dyDescent="0.35">
      <c r="A28" s="1" t="s">
        <v>48</v>
      </c>
      <c r="B28" s="16">
        <v>0.1172</v>
      </c>
    </row>
    <row r="29" spans="1:11" x14ac:dyDescent="0.35">
      <c r="A29" s="1" t="s">
        <v>49</v>
      </c>
      <c r="B29" s="16">
        <v>0.1009</v>
      </c>
    </row>
    <row r="30" spans="1:11" x14ac:dyDescent="0.35">
      <c r="A30" s="1" t="s">
        <v>50</v>
      </c>
      <c r="B30" s="16">
        <v>5.5E-2</v>
      </c>
    </row>
    <row r="31" spans="1:11" x14ac:dyDescent="0.35">
      <c r="A31" s="1" t="s">
        <v>51</v>
      </c>
      <c r="B31" s="16">
        <v>0.126</v>
      </c>
    </row>
    <row r="32" spans="1:11" x14ac:dyDescent="0.35">
      <c r="B32" s="2"/>
    </row>
    <row r="33" spans="1:3" x14ac:dyDescent="0.35">
      <c r="A33" s="1" t="s">
        <v>52</v>
      </c>
      <c r="B33" s="2"/>
    </row>
    <row r="34" spans="1:3" x14ac:dyDescent="0.35">
      <c r="B34" s="2" t="s">
        <v>47</v>
      </c>
    </row>
    <row r="35" spans="1:3" x14ac:dyDescent="0.35">
      <c r="A35" s="1" t="s">
        <v>53</v>
      </c>
      <c r="B35" s="17">
        <f>B6/B12</f>
        <v>8.5260898486521325E-2</v>
      </c>
      <c r="C35" s="3" t="s">
        <v>54</v>
      </c>
    </row>
    <row r="36" spans="1:3" x14ac:dyDescent="0.35">
      <c r="A36" s="1" t="s">
        <v>55</v>
      </c>
      <c r="B36" s="17">
        <f>B7/B11</f>
        <v>3.0998842507792869E-2</v>
      </c>
      <c r="C36" s="3" t="s">
        <v>56</v>
      </c>
    </row>
    <row r="37" spans="1:3" x14ac:dyDescent="0.35">
      <c r="A37" s="1" t="s">
        <v>57</v>
      </c>
      <c r="B37" s="17">
        <f>(B45*B12+B13*Assumptions!B3)/B11</f>
        <v>6.3080385176678716E-2</v>
      </c>
      <c r="C37" s="3" t="s">
        <v>58</v>
      </c>
    </row>
    <row r="38" spans="1:3" x14ac:dyDescent="0.35">
      <c r="A38" s="1" t="s">
        <v>59</v>
      </c>
      <c r="B38" s="17">
        <f>(B23-B22)/B23</f>
        <v>5.191256830601091E-2</v>
      </c>
      <c r="C38" s="3" t="s">
        <v>60</v>
      </c>
    </row>
    <row r="39" spans="1:3" x14ac:dyDescent="0.35">
      <c r="A39" s="1" t="s">
        <v>61</v>
      </c>
      <c r="B39" s="27">
        <f>(B36-Assumptions!$B$3)/B36/B38/Assumptions!B5</f>
        <v>-3.1326316881227774</v>
      </c>
      <c r="C39" s="29" t="s">
        <v>116</v>
      </c>
    </row>
    <row r="40" spans="1:3" x14ac:dyDescent="0.35">
      <c r="A40" s="1" t="s">
        <v>63</v>
      </c>
      <c r="B40" s="19">
        <f>Assumptions!D16</f>
        <v>0.06</v>
      </c>
    </row>
    <row r="41" spans="1:3" x14ac:dyDescent="0.35">
      <c r="A41" s="1" t="s">
        <v>64</v>
      </c>
      <c r="B41" s="20">
        <f>(D23/D18)^0.5-1</f>
        <v>8.1642113065720556E-2</v>
      </c>
    </row>
    <row r="42" spans="1:3" x14ac:dyDescent="0.35">
      <c r="A42" s="1" t="s">
        <v>65</v>
      </c>
      <c r="B42" s="20">
        <f>(B35-B41)/B48</f>
        <v>2.5957576442819089E-4</v>
      </c>
    </row>
    <row r="43" spans="1:3" x14ac:dyDescent="0.35">
      <c r="A43" s="1" t="s">
        <v>66</v>
      </c>
      <c r="B43" s="21">
        <f>AVERAGE(B28:B31)</f>
        <v>9.9775000000000003E-2</v>
      </c>
    </row>
    <row r="44" spans="1:3" x14ac:dyDescent="0.35">
      <c r="A44" s="1" t="s">
        <v>67</v>
      </c>
      <c r="B44" s="22">
        <f>SUM(B40:B43)/3</f>
        <v>8.0558896276716252E-2</v>
      </c>
    </row>
    <row r="45" spans="1:3" x14ac:dyDescent="0.35">
      <c r="A45" s="1" t="s">
        <v>68</v>
      </c>
      <c r="B45" s="23">
        <f>(B35+0.3)/2</f>
        <v>0.19263044924326067</v>
      </c>
      <c r="C45" s="3" t="s">
        <v>69</v>
      </c>
    </row>
    <row r="46" spans="1:3" x14ac:dyDescent="0.35">
      <c r="A46" s="1" t="s">
        <v>70</v>
      </c>
      <c r="B46" s="17">
        <f>Assumptions!E16</f>
        <v>0.06</v>
      </c>
    </row>
    <row r="47" spans="1:3" x14ac:dyDescent="0.35">
      <c r="A47" s="1" t="s">
        <v>71</v>
      </c>
      <c r="B47" s="24">
        <f>(B45-B46)/(Assumptions!B4-B46)/B45</f>
        <v>17.213069086986625</v>
      </c>
    </row>
    <row r="48" spans="1:3" x14ac:dyDescent="0.35">
      <c r="A48" s="1" t="s">
        <v>72</v>
      </c>
      <c r="B48" s="24">
        <f>(B2/B18+10+B47)/3</f>
        <v>13.941152899125413</v>
      </c>
    </row>
    <row r="50" spans="1:3" x14ac:dyDescent="0.35">
      <c r="A50" s="1" t="s">
        <v>73</v>
      </c>
    </row>
    <row r="51" spans="1:3" x14ac:dyDescent="0.35">
      <c r="B51" s="2" t="s">
        <v>47</v>
      </c>
      <c r="C51" s="2"/>
    </row>
    <row r="52" spans="1:3" x14ac:dyDescent="0.35">
      <c r="A52" s="1" t="s">
        <v>39</v>
      </c>
      <c r="B52" s="24">
        <f>(B22*2-B$23)*(1+B$44)^8*B$48/(1+[1]Assumptions!B$4-B$14/B$2)^10</f>
        <v>40.518291056425319</v>
      </c>
      <c r="C52" s="24"/>
    </row>
    <row r="53" spans="1:3" x14ac:dyDescent="0.35">
      <c r="A53" s="1" t="s">
        <v>74</v>
      </c>
      <c r="B53" s="24">
        <f>(B23*2-B$23)*(1+B$44)^8*B$48/(1+[1]Assumptions!B$4-B$14/B$2)^10</f>
        <v>45.212483312962398</v>
      </c>
      <c r="C53" s="24"/>
    </row>
    <row r="54" spans="1:3" x14ac:dyDescent="0.35">
      <c r="A54" s="1" t="s">
        <v>75</v>
      </c>
      <c r="B54" s="24">
        <f>(B24*2-B$23)*(1+B$44)^8*B$48/(1+[1]Assumptions!B$4-B$14/B$2)^10</f>
        <v>53.118491323972215</v>
      </c>
      <c r="C54" s="24"/>
    </row>
    <row r="55" spans="1:3" x14ac:dyDescent="0.35">
      <c r="C5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Assumptions</vt:lpstr>
      <vt:lpstr>KO</vt:lpstr>
      <vt:lpstr>PEP</vt:lpstr>
      <vt:lpstr>NKE</vt:lpstr>
      <vt:lpstr>FSLR</vt:lpstr>
      <vt:lpstr>MCHP</vt:lpstr>
      <vt:lpstr>PFE</vt:lpstr>
      <vt:lpstr>JNJ</vt:lpstr>
      <vt:lpstr>BAC</vt:lpstr>
      <vt:lpstr>AXP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2024-11-11T11:08:15Z</dcterms:modified>
</cp:coreProperties>
</file>