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yimin_zhang1_unimelb_edu_au/Documents/Documents/Local Files/Gurobi Tutorial/mannual/"/>
    </mc:Choice>
  </mc:AlternateContent>
  <xr:revisionPtr revIDLastSave="2476" documentId="11_F25DC773A252ABDACC1048C1019D7EBE5BDE58E8" xr6:coauthVersionLast="47" xr6:coauthVersionMax="47" xr10:uidLastSave="{360A0E5D-26FC-4266-9758-61BF822CA0B8}"/>
  <bookViews>
    <workbookView xWindow="-120" yWindow="-120" windowWidth="23280" windowHeight="15000" activeTab="1" xr2:uid="{00000000-000D-0000-FFFF-FFFF00000000}"/>
  </bookViews>
  <sheets>
    <sheet name="PEG" sheetId="22" r:id="rId1"/>
    <sheet name="Assumptions" sheetId="1" r:id="rId2"/>
    <sheet name="CPT_KO" sheetId="10" r:id="rId3"/>
    <sheet name="CPT_PEP" sheetId="11" r:id="rId4"/>
    <sheet name="CPE_COST" sheetId="3" r:id="rId5"/>
    <sheet name="CPE_ULTA" sheetId="9" r:id="rId6"/>
    <sheet name="CPE_BNKG" sheetId="12" r:id="rId7"/>
    <sheet name="CPE_V" sheetId="13" r:id="rId8"/>
    <sheet name="CPE_MA" sheetId="14" r:id="rId9"/>
    <sheet name="ESPV_FSLR" sheetId="18" r:id="rId10"/>
    <sheet name="ESEV_TSLA" sheetId="17" r:id="rId11"/>
    <sheet name="ESEV_ON" sheetId="4" r:id="rId12"/>
    <sheet name="EVMG_MCHP" sheetId="20" r:id="rId13"/>
    <sheet name="Tech_CRM" sheetId="5" r:id="rId14"/>
    <sheet name="Tech_ADBE" sheetId="8" r:id="rId15"/>
    <sheet name="Tech_MSFT" sheetId="6" r:id="rId16"/>
    <sheet name="Tech_GOOG" sheetId="2" r:id="rId17"/>
    <sheet name="Tech_AAPL" sheetId="7" r:id="rId18"/>
    <sheet name="ESEV_ENPH" sheetId="19" r:id="rId19"/>
    <sheet name="HP_PFE" sheetId="15" r:id="rId20"/>
    <sheet name="HP_JNJ" sheetId="16" r:id="rId21"/>
  </sheets>
  <definedNames>
    <definedName name="solver_adj" localSheetId="1" hidden="1">Assumptions!$H$26:$K$26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Assumptions!$P$47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7" i="1" l="1"/>
  <c r="O78" i="1"/>
  <c r="O79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76" i="1"/>
  <c r="H80" i="1"/>
  <c r="G8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52" i="1"/>
  <c r="H57" i="1"/>
  <c r="J11" i="10"/>
  <c r="J12" i="10"/>
  <c r="B48" i="4"/>
  <c r="B42" i="4"/>
  <c r="B36" i="8"/>
  <c r="H88" i="1"/>
  <c r="B41" i="4"/>
  <c r="H76" i="1"/>
  <c r="L90" i="1"/>
  <c r="L89" i="1"/>
  <c r="L77" i="1"/>
  <c r="L78" i="1"/>
  <c r="L79" i="1"/>
  <c r="L80" i="1"/>
  <c r="L81" i="1"/>
  <c r="L82" i="1"/>
  <c r="L83" i="1"/>
  <c r="L84" i="1"/>
  <c r="L85" i="1"/>
  <c r="L86" i="1"/>
  <c r="L87" i="1"/>
  <c r="L88" i="1"/>
  <c r="L91" i="1"/>
  <c r="L92" i="1"/>
  <c r="L93" i="1"/>
  <c r="L94" i="1"/>
  <c r="L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76" i="1"/>
  <c r="H94" i="1"/>
  <c r="G94" i="1"/>
  <c r="N94" i="1" s="1"/>
  <c r="H93" i="1"/>
  <c r="G93" i="1"/>
  <c r="N93" i="1" s="1"/>
  <c r="H92" i="1"/>
  <c r="G92" i="1"/>
  <c r="H91" i="1"/>
  <c r="G91" i="1"/>
  <c r="N91" i="1" s="1"/>
  <c r="H90" i="1"/>
  <c r="G90" i="1"/>
  <c r="N90" i="1" s="1"/>
  <c r="H89" i="1"/>
  <c r="G89" i="1"/>
  <c r="N89" i="1" s="1"/>
  <c r="G88" i="1"/>
  <c r="H87" i="1"/>
  <c r="G87" i="1"/>
  <c r="N87" i="1" s="1"/>
  <c r="H86" i="1"/>
  <c r="G86" i="1"/>
  <c r="N86" i="1" s="1"/>
  <c r="H85" i="1"/>
  <c r="G85" i="1"/>
  <c r="N85" i="1" s="1"/>
  <c r="H84" i="1"/>
  <c r="G84" i="1"/>
  <c r="H83" i="1"/>
  <c r="G83" i="1"/>
  <c r="N83" i="1" s="1"/>
  <c r="H82" i="1"/>
  <c r="G82" i="1"/>
  <c r="N82" i="1" s="1"/>
  <c r="H81" i="1"/>
  <c r="G81" i="1"/>
  <c r="N81" i="1" s="1"/>
  <c r="H79" i="1"/>
  <c r="G79" i="1"/>
  <c r="N79" i="1" s="1"/>
  <c r="H78" i="1"/>
  <c r="G78" i="1"/>
  <c r="N78" i="1" s="1"/>
  <c r="H77" i="1"/>
  <c r="G77" i="1"/>
  <c r="N77" i="1" s="1"/>
  <c r="G76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R42" i="1"/>
  <c r="S42" i="1"/>
  <c r="R43" i="1"/>
  <c r="S43" i="1"/>
  <c r="R44" i="1"/>
  <c r="S44" i="1"/>
  <c r="R45" i="1"/>
  <c r="S45" i="1"/>
  <c r="R46" i="1"/>
  <c r="S46" i="1"/>
  <c r="S28" i="1"/>
  <c r="R28" i="1"/>
  <c r="E4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52" i="1"/>
  <c r="H53" i="1"/>
  <c r="H54" i="1"/>
  <c r="H55" i="1"/>
  <c r="H56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52" i="1"/>
  <c r="M70" i="1"/>
  <c r="K70" i="1"/>
  <c r="J70" i="1"/>
  <c r="G70" i="1"/>
  <c r="N70" i="1" s="1"/>
  <c r="M69" i="1"/>
  <c r="K69" i="1"/>
  <c r="J69" i="1"/>
  <c r="G69" i="1"/>
  <c r="N69" i="1" s="1"/>
  <c r="M68" i="1"/>
  <c r="K68" i="1"/>
  <c r="J68" i="1"/>
  <c r="G68" i="1"/>
  <c r="N68" i="1" s="1"/>
  <c r="M67" i="1"/>
  <c r="K67" i="1"/>
  <c r="J67" i="1"/>
  <c r="G67" i="1"/>
  <c r="N67" i="1" s="1"/>
  <c r="M66" i="1"/>
  <c r="K66" i="1"/>
  <c r="J66" i="1"/>
  <c r="G66" i="1"/>
  <c r="N66" i="1" s="1"/>
  <c r="M65" i="1"/>
  <c r="K65" i="1"/>
  <c r="J65" i="1"/>
  <c r="G65" i="1"/>
  <c r="N65" i="1" s="1"/>
  <c r="M64" i="1"/>
  <c r="K64" i="1"/>
  <c r="J64" i="1"/>
  <c r="G64" i="1"/>
  <c r="N64" i="1" s="1"/>
  <c r="M63" i="1"/>
  <c r="K63" i="1"/>
  <c r="J63" i="1"/>
  <c r="G63" i="1"/>
  <c r="N63" i="1" s="1"/>
  <c r="M62" i="1"/>
  <c r="K62" i="1"/>
  <c r="J62" i="1"/>
  <c r="G62" i="1"/>
  <c r="N62" i="1" s="1"/>
  <c r="M61" i="1"/>
  <c r="K61" i="1"/>
  <c r="J61" i="1"/>
  <c r="G61" i="1"/>
  <c r="N61" i="1" s="1"/>
  <c r="M60" i="1"/>
  <c r="K60" i="1"/>
  <c r="J60" i="1"/>
  <c r="G60" i="1"/>
  <c r="N60" i="1" s="1"/>
  <c r="M59" i="1"/>
  <c r="K59" i="1"/>
  <c r="J59" i="1"/>
  <c r="G59" i="1"/>
  <c r="N59" i="1" s="1"/>
  <c r="M58" i="1"/>
  <c r="K58" i="1"/>
  <c r="J58" i="1"/>
  <c r="G58" i="1"/>
  <c r="N58" i="1" s="1"/>
  <c r="M57" i="1"/>
  <c r="K57" i="1"/>
  <c r="J57" i="1"/>
  <c r="G57" i="1"/>
  <c r="N57" i="1" s="1"/>
  <c r="M56" i="1"/>
  <c r="K56" i="1"/>
  <c r="J56" i="1"/>
  <c r="G56" i="1"/>
  <c r="N56" i="1" s="1"/>
  <c r="M55" i="1"/>
  <c r="K55" i="1"/>
  <c r="J55" i="1"/>
  <c r="G55" i="1"/>
  <c r="N55" i="1" s="1"/>
  <c r="M54" i="1"/>
  <c r="K54" i="1"/>
  <c r="J54" i="1"/>
  <c r="G54" i="1"/>
  <c r="N54" i="1" s="1"/>
  <c r="M53" i="1"/>
  <c r="K53" i="1"/>
  <c r="J53" i="1"/>
  <c r="G53" i="1"/>
  <c r="N53" i="1" s="1"/>
  <c r="M52" i="1"/>
  <c r="K52" i="1"/>
  <c r="J52" i="1"/>
  <c r="G52" i="1"/>
  <c r="N52" i="1" s="1"/>
  <c r="H36" i="1"/>
  <c r="H45" i="1"/>
  <c r="O45" i="1" s="1"/>
  <c r="O29" i="1"/>
  <c r="O30" i="1"/>
  <c r="O31" i="1"/>
  <c r="O32" i="1"/>
  <c r="O33" i="1"/>
  <c r="O34" i="1"/>
  <c r="O35" i="1"/>
  <c r="O37" i="1"/>
  <c r="O38" i="1"/>
  <c r="O39" i="1"/>
  <c r="O40" i="1"/>
  <c r="O41" i="1"/>
  <c r="O42" i="1"/>
  <c r="O43" i="1"/>
  <c r="O44" i="1"/>
  <c r="O46" i="1"/>
  <c r="O28" i="1"/>
  <c r="O80" i="1" l="1"/>
  <c r="H95" i="1"/>
  <c r="P91" i="1"/>
  <c r="P79" i="1"/>
  <c r="P83" i="1"/>
  <c r="N92" i="1"/>
  <c r="N88" i="1"/>
  <c r="G95" i="1"/>
  <c r="N76" i="1"/>
  <c r="P94" i="1"/>
  <c r="P90" i="1"/>
  <c r="P86" i="1"/>
  <c r="P82" i="1"/>
  <c r="P78" i="1"/>
  <c r="N80" i="1"/>
  <c r="P93" i="1"/>
  <c r="P89" i="1"/>
  <c r="P85" i="1"/>
  <c r="P81" i="1"/>
  <c r="P77" i="1"/>
  <c r="N84" i="1"/>
  <c r="H71" i="1"/>
  <c r="G71" i="1"/>
  <c r="N71" i="1" s="1"/>
  <c r="P87" i="1"/>
  <c r="P55" i="1"/>
  <c r="P67" i="1"/>
  <c r="P59" i="1"/>
  <c r="P63" i="1"/>
  <c r="P65" i="1"/>
  <c r="P57" i="1"/>
  <c r="P52" i="1"/>
  <c r="P54" i="1"/>
  <c r="P56" i="1"/>
  <c r="P58" i="1"/>
  <c r="P60" i="1"/>
  <c r="P62" i="1"/>
  <c r="P64" i="1"/>
  <c r="P66" i="1"/>
  <c r="P68" i="1"/>
  <c r="P70" i="1"/>
  <c r="P69" i="1"/>
  <c r="P61" i="1"/>
  <c r="P53" i="1"/>
  <c r="O36" i="1"/>
  <c r="P92" i="1" l="1"/>
  <c r="R68" i="1" s="1"/>
  <c r="P88" i="1"/>
  <c r="R64" i="1" s="1"/>
  <c r="P84" i="1"/>
  <c r="R60" i="1" s="1"/>
  <c r="P76" i="1"/>
  <c r="R52" i="1" s="1"/>
  <c r="R54" i="1"/>
  <c r="P80" i="1"/>
  <c r="R56" i="1" s="1"/>
  <c r="R55" i="1"/>
  <c r="R70" i="1"/>
  <c r="R59" i="1"/>
  <c r="R62" i="1"/>
  <c r="R69" i="1"/>
  <c r="R53" i="1"/>
  <c r="R61" i="1"/>
  <c r="R66" i="1"/>
  <c r="R58" i="1"/>
  <c r="R57" i="1"/>
  <c r="R67" i="1"/>
  <c r="R65" i="1"/>
  <c r="R63" i="1"/>
  <c r="B47" i="1"/>
  <c r="N29" i="1"/>
  <c r="N30" i="1"/>
  <c r="N31" i="1"/>
  <c r="N32" i="1"/>
  <c r="N33" i="1"/>
  <c r="N34" i="1"/>
  <c r="N35" i="1"/>
  <c r="N36" i="1"/>
  <c r="Q36" i="1" s="1"/>
  <c r="N37" i="1"/>
  <c r="N38" i="1"/>
  <c r="N39" i="1"/>
  <c r="N40" i="1"/>
  <c r="N41" i="1"/>
  <c r="N42" i="1"/>
  <c r="N43" i="1"/>
  <c r="N44" i="1"/>
  <c r="N45" i="1"/>
  <c r="N46" i="1"/>
  <c r="N28" i="1"/>
  <c r="E40" i="1"/>
  <c r="B41" i="8"/>
  <c r="E47" i="1"/>
  <c r="C47" i="1"/>
  <c r="D47" i="1"/>
  <c r="F40" i="1" l="1"/>
  <c r="F42" i="1"/>
  <c r="Q46" i="1"/>
  <c r="P46" i="1"/>
  <c r="Q42" i="1"/>
  <c r="P42" i="1"/>
  <c r="Q38" i="1"/>
  <c r="P38" i="1"/>
  <c r="Q34" i="1"/>
  <c r="P34" i="1"/>
  <c r="Q30" i="1"/>
  <c r="P30" i="1"/>
  <c r="Q28" i="1"/>
  <c r="N47" i="1"/>
  <c r="P28" i="1"/>
  <c r="Q43" i="1"/>
  <c r="P43" i="1"/>
  <c r="P45" i="1"/>
  <c r="Q45" i="1"/>
  <c r="Q41" i="1"/>
  <c r="P41" i="1"/>
  <c r="Q37" i="1"/>
  <c r="P37" i="1"/>
  <c r="Q33" i="1"/>
  <c r="P33" i="1"/>
  <c r="Q29" i="1"/>
  <c r="P29" i="1"/>
  <c r="Q44" i="1"/>
  <c r="P44" i="1"/>
  <c r="Q40" i="1"/>
  <c r="P40" i="1"/>
  <c r="Q32" i="1"/>
  <c r="P32" i="1"/>
  <c r="Q39" i="1"/>
  <c r="P39" i="1"/>
  <c r="Q35" i="1"/>
  <c r="P35" i="1"/>
  <c r="Q31" i="1"/>
  <c r="P31" i="1"/>
  <c r="P36" i="1"/>
  <c r="F45" i="1"/>
  <c r="F32" i="1"/>
  <c r="B40" i="20"/>
  <c r="B41" i="20" s="1"/>
  <c r="B43" i="20"/>
  <c r="B38" i="20"/>
  <c r="B37" i="20"/>
  <c r="B36" i="20"/>
  <c r="B35" i="20"/>
  <c r="J16" i="20"/>
  <c r="J14" i="20"/>
  <c r="J11" i="20"/>
  <c r="J9" i="20"/>
  <c r="J8" i="20"/>
  <c r="J7" i="20"/>
  <c r="J6" i="20"/>
  <c r="J5" i="20"/>
  <c r="J4" i="20"/>
  <c r="J3" i="20"/>
  <c r="J2" i="20"/>
  <c r="J1" i="20"/>
  <c r="B45" i="19"/>
  <c r="B43" i="19"/>
  <c r="B38" i="19"/>
  <c r="B36" i="19"/>
  <c r="B35" i="19"/>
  <c r="J14" i="19"/>
  <c r="J9" i="19"/>
  <c r="J8" i="19"/>
  <c r="J7" i="19"/>
  <c r="J6" i="19"/>
  <c r="J5" i="19"/>
  <c r="J4" i="19"/>
  <c r="J3" i="19"/>
  <c r="J2" i="19"/>
  <c r="J1" i="19"/>
  <c r="B43" i="18"/>
  <c r="B38" i="18"/>
  <c r="B36" i="18"/>
  <c r="B35" i="18"/>
  <c r="B45" i="18" s="1"/>
  <c r="J14" i="18"/>
  <c r="J9" i="18"/>
  <c r="J8" i="18"/>
  <c r="J7" i="18"/>
  <c r="J6" i="18"/>
  <c r="J5" i="18"/>
  <c r="J4" i="18"/>
  <c r="J3" i="18"/>
  <c r="J2" i="18"/>
  <c r="J1" i="18"/>
  <c r="B43" i="17"/>
  <c r="B41" i="17"/>
  <c r="B38" i="17"/>
  <c r="B36" i="17"/>
  <c r="B35" i="17"/>
  <c r="B45" i="17" s="1"/>
  <c r="J14" i="17"/>
  <c r="J9" i="17"/>
  <c r="J8" i="17"/>
  <c r="J7" i="17"/>
  <c r="J6" i="17"/>
  <c r="J5" i="17"/>
  <c r="J4" i="17"/>
  <c r="J3" i="17"/>
  <c r="J2" i="17"/>
  <c r="J1" i="17"/>
  <c r="B45" i="16"/>
  <c r="J6" i="16"/>
  <c r="B46" i="16"/>
  <c r="J15" i="16" s="1"/>
  <c r="B43" i="16"/>
  <c r="B41" i="16"/>
  <c r="B40" i="16"/>
  <c r="B38" i="16"/>
  <c r="B36" i="16"/>
  <c r="B35" i="16"/>
  <c r="J14" i="16"/>
  <c r="J9" i="16"/>
  <c r="J8" i="16"/>
  <c r="J7" i="16"/>
  <c r="J5" i="16"/>
  <c r="J4" i="16"/>
  <c r="J3" i="16"/>
  <c r="J2" i="16"/>
  <c r="J1" i="16"/>
  <c r="J16" i="18" l="1"/>
  <c r="B37" i="18"/>
  <c r="J11" i="18"/>
  <c r="B37" i="17"/>
  <c r="J11" i="17"/>
  <c r="J16" i="17"/>
  <c r="S47" i="1"/>
  <c r="S48" i="1" s="1"/>
  <c r="P47" i="1"/>
  <c r="P48" i="1" s="1"/>
  <c r="F47" i="1"/>
  <c r="J11" i="19" l="1"/>
  <c r="B37" i="19"/>
  <c r="J16" i="19"/>
  <c r="B47" i="16"/>
  <c r="B48" i="16" s="1"/>
  <c r="B37" i="16"/>
  <c r="J16" i="16"/>
  <c r="J11" i="16"/>
  <c r="J17" i="16" l="1"/>
  <c r="B42" i="16"/>
  <c r="B44" i="16" s="1"/>
  <c r="B52" i="16" l="1"/>
  <c r="B54" i="16"/>
  <c r="J10" i="16"/>
  <c r="B53" i="16"/>
  <c r="J14" i="4" l="1"/>
  <c r="J4" i="4"/>
  <c r="J5" i="4"/>
  <c r="J6" i="4"/>
  <c r="J7" i="4"/>
  <c r="J8" i="4"/>
  <c r="J9" i="4"/>
  <c r="J2" i="4"/>
  <c r="J1" i="4"/>
  <c r="J16" i="14"/>
  <c r="J14" i="14"/>
  <c r="J11" i="14"/>
  <c r="J9" i="14"/>
  <c r="J8" i="14"/>
  <c r="J7" i="14"/>
  <c r="J6" i="14"/>
  <c r="J5" i="14"/>
  <c r="J4" i="14"/>
  <c r="J3" i="14"/>
  <c r="J2" i="14"/>
  <c r="J1" i="14"/>
  <c r="J16" i="13"/>
  <c r="J14" i="13"/>
  <c r="J11" i="13"/>
  <c r="J9" i="13"/>
  <c r="J8" i="13"/>
  <c r="J7" i="13"/>
  <c r="J6" i="13"/>
  <c r="J5" i="13"/>
  <c r="J4" i="13"/>
  <c r="J3" i="13"/>
  <c r="J2" i="13"/>
  <c r="J1" i="13"/>
  <c r="J16" i="12"/>
  <c r="J14" i="12"/>
  <c r="J11" i="12"/>
  <c r="J9" i="12"/>
  <c r="J8" i="12"/>
  <c r="J7" i="12"/>
  <c r="J6" i="12"/>
  <c r="J5" i="12"/>
  <c r="J4" i="12"/>
  <c r="J3" i="12"/>
  <c r="J2" i="12"/>
  <c r="J1" i="12"/>
  <c r="J16" i="9"/>
  <c r="J14" i="9"/>
  <c r="J11" i="9"/>
  <c r="J9" i="9"/>
  <c r="J8" i="9"/>
  <c r="J7" i="9"/>
  <c r="J6" i="9"/>
  <c r="J5" i="9"/>
  <c r="J4" i="9"/>
  <c r="J3" i="9"/>
  <c r="J2" i="9"/>
  <c r="J1" i="9"/>
  <c r="J14" i="3"/>
  <c r="J9" i="3"/>
  <c r="J8" i="3"/>
  <c r="J7" i="3"/>
  <c r="J6" i="3"/>
  <c r="J5" i="3"/>
  <c r="J4" i="3"/>
  <c r="J3" i="3"/>
  <c r="J2" i="3"/>
  <c r="J1" i="3"/>
  <c r="J16" i="11"/>
  <c r="J14" i="11"/>
  <c r="J11" i="11"/>
  <c r="J9" i="11"/>
  <c r="J8" i="11"/>
  <c r="J7" i="11"/>
  <c r="J6" i="11"/>
  <c r="J5" i="11"/>
  <c r="J4" i="11"/>
  <c r="J3" i="11"/>
  <c r="J2" i="11"/>
  <c r="J1" i="11"/>
  <c r="J16" i="10"/>
  <c r="J14" i="10"/>
  <c r="J9" i="10"/>
  <c r="J8" i="10"/>
  <c r="J7" i="10"/>
  <c r="J6" i="10"/>
  <c r="J5" i="10"/>
  <c r="J4" i="10"/>
  <c r="J3" i="10"/>
  <c r="J2" i="10"/>
  <c r="J1" i="10"/>
  <c r="J14" i="5"/>
  <c r="J9" i="5"/>
  <c r="J8" i="5"/>
  <c r="J7" i="5"/>
  <c r="J6" i="5"/>
  <c r="J5" i="5"/>
  <c r="J4" i="5"/>
  <c r="J3" i="5"/>
  <c r="J2" i="5"/>
  <c r="J1" i="5"/>
  <c r="J16" i="8"/>
  <c r="J14" i="8"/>
  <c r="J9" i="8"/>
  <c r="J8" i="8"/>
  <c r="J7" i="8"/>
  <c r="J6" i="8"/>
  <c r="J5" i="8"/>
  <c r="J4" i="8"/>
  <c r="J3" i="8"/>
  <c r="J2" i="8"/>
  <c r="J1" i="8"/>
  <c r="J16" i="7"/>
  <c r="J14" i="7"/>
  <c r="J11" i="7"/>
  <c r="J9" i="7"/>
  <c r="J8" i="7"/>
  <c r="J7" i="7"/>
  <c r="J6" i="7"/>
  <c r="J5" i="7"/>
  <c r="J4" i="7"/>
  <c r="J3" i="7"/>
  <c r="J2" i="7"/>
  <c r="J1" i="7"/>
  <c r="J16" i="6"/>
  <c r="J14" i="6"/>
  <c r="J11" i="6"/>
  <c r="J9" i="6"/>
  <c r="J8" i="6"/>
  <c r="J7" i="6"/>
  <c r="J6" i="6"/>
  <c r="J5" i="6"/>
  <c r="J4" i="6"/>
  <c r="J3" i="6"/>
  <c r="J2" i="6"/>
  <c r="J1" i="6"/>
  <c r="J14" i="2"/>
  <c r="J9" i="2"/>
  <c r="J8" i="2"/>
  <c r="J7" i="2"/>
  <c r="J6" i="2"/>
  <c r="J5" i="2"/>
  <c r="J4" i="2"/>
  <c r="J3" i="2"/>
  <c r="J2" i="2"/>
  <c r="J1" i="2"/>
  <c r="J14" i="15"/>
  <c r="J4" i="15"/>
  <c r="J5" i="15"/>
  <c r="J6" i="15"/>
  <c r="J7" i="15"/>
  <c r="J8" i="15"/>
  <c r="J9" i="15"/>
  <c r="J3" i="15"/>
  <c r="J2" i="15"/>
  <c r="J1" i="15"/>
  <c r="B36" i="15"/>
  <c r="B35" i="15"/>
  <c r="B45" i="15" s="1"/>
  <c r="B40" i="15"/>
  <c r="B46" i="15"/>
  <c r="B43" i="15"/>
  <c r="B41" i="15"/>
  <c r="B38" i="15"/>
  <c r="B43" i="4"/>
  <c r="J10" i="4" s="1"/>
  <c r="B46" i="14"/>
  <c r="B43" i="14"/>
  <c r="B41" i="14"/>
  <c r="B38" i="14"/>
  <c r="B37" i="14"/>
  <c r="B36" i="14"/>
  <c r="B35" i="14"/>
  <c r="B46" i="13"/>
  <c r="B47" i="13" s="1"/>
  <c r="B43" i="13"/>
  <c r="B41" i="13"/>
  <c r="B38" i="13"/>
  <c r="B37" i="13"/>
  <c r="B36" i="13"/>
  <c r="B35" i="13"/>
  <c r="D17" i="1"/>
  <c r="B40" i="9" s="1"/>
  <c r="B46" i="12"/>
  <c r="J15" i="12" s="1"/>
  <c r="B37" i="12"/>
  <c r="B43" i="12"/>
  <c r="B41" i="12"/>
  <c r="B38" i="12"/>
  <c r="B36" i="12"/>
  <c r="B46" i="11"/>
  <c r="B47" i="11" s="1"/>
  <c r="B43" i="11"/>
  <c r="B41" i="11"/>
  <c r="B40" i="11"/>
  <c r="B38" i="11"/>
  <c r="B37" i="11"/>
  <c r="B36" i="11"/>
  <c r="B35" i="11"/>
  <c r="E21" i="1"/>
  <c r="B46" i="20" s="1"/>
  <c r="B46" i="10"/>
  <c r="J15" i="10" s="1"/>
  <c r="B43" i="10"/>
  <c r="B41" i="10"/>
  <c r="B40" i="10"/>
  <c r="B38" i="10"/>
  <c r="B36" i="10"/>
  <c r="B35" i="10"/>
  <c r="B37" i="10" s="1"/>
  <c r="B43" i="9"/>
  <c r="B46" i="9"/>
  <c r="J15" i="9" s="1"/>
  <c r="B41" i="9"/>
  <c r="B38" i="9"/>
  <c r="B36" i="9"/>
  <c r="B35" i="9"/>
  <c r="B37" i="9" s="1"/>
  <c r="B43" i="3"/>
  <c r="B41" i="3"/>
  <c r="B46" i="8"/>
  <c r="B43" i="8"/>
  <c r="B40" i="8"/>
  <c r="B38" i="8"/>
  <c r="B35" i="8"/>
  <c r="B45" i="8" s="1"/>
  <c r="B37" i="8" s="1"/>
  <c r="B40" i="2"/>
  <c r="B41" i="2"/>
  <c r="B43" i="2"/>
  <c r="B40" i="6"/>
  <c r="B41" i="6"/>
  <c r="B43" i="6"/>
  <c r="B40" i="7"/>
  <c r="B41" i="7"/>
  <c r="B43" i="7"/>
  <c r="B43" i="5"/>
  <c r="B41" i="5"/>
  <c r="B40" i="5"/>
  <c r="B37" i="7"/>
  <c r="B35" i="7"/>
  <c r="B46" i="7"/>
  <c r="J15" i="7" s="1"/>
  <c r="B38" i="7"/>
  <c r="B36" i="7"/>
  <c r="B46" i="6"/>
  <c r="J15" i="6" s="1"/>
  <c r="B38" i="6"/>
  <c r="B36" i="6"/>
  <c r="B35" i="6"/>
  <c r="B37" i="6" s="1"/>
  <c r="J11" i="15" l="1"/>
  <c r="J16" i="15"/>
  <c r="B37" i="15"/>
  <c r="B47" i="15"/>
  <c r="B48" i="15" s="1"/>
  <c r="J17" i="15" s="1"/>
  <c r="B47" i="8"/>
  <c r="J11" i="8"/>
  <c r="B47" i="12"/>
  <c r="B47" i="20"/>
  <c r="B48" i="20" s="1"/>
  <c r="J15" i="20"/>
  <c r="B40" i="12"/>
  <c r="B40" i="13"/>
  <c r="B40" i="3"/>
  <c r="B40" i="14"/>
  <c r="B47" i="6"/>
  <c r="J15" i="11"/>
  <c r="B47" i="9"/>
  <c r="B47" i="10"/>
  <c r="J15" i="15"/>
  <c r="J15" i="13"/>
  <c r="B47" i="7"/>
  <c r="J15" i="8"/>
  <c r="B48" i="13"/>
  <c r="J17" i="13" s="1"/>
  <c r="J15" i="14"/>
  <c r="B47" i="14"/>
  <c r="B48" i="14" s="1"/>
  <c r="B42" i="15"/>
  <c r="B44" i="15" s="1"/>
  <c r="J10" i="15" s="1"/>
  <c r="J17" i="20" l="1"/>
  <c r="B42" i="20"/>
  <c r="B44" i="20" s="1"/>
  <c r="J17" i="14"/>
  <c r="B42" i="14"/>
  <c r="B44" i="14" s="1"/>
  <c r="J10" i="14" s="1"/>
  <c r="B42" i="13"/>
  <c r="B44" i="13" s="1"/>
  <c r="J10" i="13" s="1"/>
  <c r="B54" i="15"/>
  <c r="B53" i="15"/>
  <c r="B52" i="15"/>
  <c r="J10" i="20" l="1"/>
  <c r="B52" i="20"/>
  <c r="B53" i="20"/>
  <c r="B54" i="20"/>
  <c r="B53" i="13"/>
  <c r="B54" i="14"/>
  <c r="B54" i="13"/>
  <c r="B53" i="14"/>
  <c r="B52" i="14"/>
  <c r="J18" i="14" s="1"/>
  <c r="B52" i="13"/>
  <c r="J18" i="13" s="1"/>
  <c r="B46" i="5"/>
  <c r="B38" i="5"/>
  <c r="B36" i="5"/>
  <c r="B35" i="5"/>
  <c r="B45" i="5" s="1"/>
  <c r="B38" i="4"/>
  <c r="B36" i="4"/>
  <c r="B35" i="4"/>
  <c r="B46" i="3"/>
  <c r="B38" i="3"/>
  <c r="B36" i="3"/>
  <c r="B35" i="3"/>
  <c r="B38" i="2"/>
  <c r="B36" i="2"/>
  <c r="B35" i="2"/>
  <c r="B46" i="2"/>
  <c r="E19" i="1"/>
  <c r="D19" i="1"/>
  <c r="D20" i="1"/>
  <c r="B5" i="1"/>
  <c r="J3" i="4" l="1"/>
  <c r="B37" i="5"/>
  <c r="J11" i="5"/>
  <c r="J16" i="5"/>
  <c r="B46" i="19"/>
  <c r="B46" i="18"/>
  <c r="B39" i="20"/>
  <c r="J12" i="20" s="1"/>
  <c r="J13" i="20" s="1"/>
  <c r="B39" i="18"/>
  <c r="J12" i="18" s="1"/>
  <c r="J13" i="18" s="1"/>
  <c r="B39" i="19"/>
  <c r="J12" i="19" s="1"/>
  <c r="J13" i="19" s="1"/>
  <c r="B39" i="16"/>
  <c r="J12" i="16" s="1"/>
  <c r="J13" i="16" s="1"/>
  <c r="B39" i="17"/>
  <c r="J12" i="17" s="1"/>
  <c r="J13" i="17" s="1"/>
  <c r="B39" i="14"/>
  <c r="J12" i="14" s="1"/>
  <c r="J13" i="14" s="1"/>
  <c r="B39" i="15"/>
  <c r="J12" i="15" s="1"/>
  <c r="J13" i="15" s="1"/>
  <c r="B39" i="13"/>
  <c r="J12" i="13" s="1"/>
  <c r="J13" i="13" s="1"/>
  <c r="E20" i="1"/>
  <c r="B40" i="17"/>
  <c r="B40" i="4"/>
  <c r="B40" i="19"/>
  <c r="B41" i="19" s="1"/>
  <c r="B40" i="18"/>
  <c r="B41" i="18" s="1"/>
  <c r="B39" i="5"/>
  <c r="J12" i="5" s="1"/>
  <c r="B39" i="3"/>
  <c r="J12" i="3" s="1"/>
  <c r="J15" i="3"/>
  <c r="J15" i="2"/>
  <c r="B47" i="2"/>
  <c r="B48" i="2" s="1"/>
  <c r="B47" i="5"/>
  <c r="J15" i="5"/>
  <c r="B39" i="4"/>
  <c r="J12" i="4" s="1"/>
  <c r="B48" i="11"/>
  <c r="B48" i="9"/>
  <c r="B48" i="10"/>
  <c r="B39" i="6"/>
  <c r="J12" i="6" s="1"/>
  <c r="J13" i="6" s="1"/>
  <c r="B39" i="7"/>
  <c r="J12" i="7" s="1"/>
  <c r="J13" i="7" s="1"/>
  <c r="B39" i="12"/>
  <c r="J12" i="12" s="1"/>
  <c r="J13" i="12" s="1"/>
  <c r="B39" i="11"/>
  <c r="J12" i="11" s="1"/>
  <c r="J13" i="11" s="1"/>
  <c r="B39" i="8"/>
  <c r="J12" i="8" s="1"/>
  <c r="J13" i="8" s="1"/>
  <c r="B39" i="9"/>
  <c r="J12" i="9" s="1"/>
  <c r="J13" i="9" s="1"/>
  <c r="B39" i="10"/>
  <c r="J13" i="10" s="1"/>
  <c r="B45" i="3"/>
  <c r="B45" i="2"/>
  <c r="B48" i="6"/>
  <c r="B48" i="8"/>
  <c r="J17" i="8" s="1"/>
  <c r="B48" i="7"/>
  <c r="B48" i="5"/>
  <c r="B45" i="4"/>
  <c r="B39" i="2"/>
  <c r="J12" i="2" s="1"/>
  <c r="J16" i="4" l="1"/>
  <c r="J11" i="4"/>
  <c r="J13" i="4"/>
  <c r="J13" i="5"/>
  <c r="B37" i="2"/>
  <c r="J11" i="2"/>
  <c r="J16" i="2"/>
  <c r="J13" i="2"/>
  <c r="B37" i="3"/>
  <c r="J11" i="3"/>
  <c r="J13" i="3" s="1"/>
  <c r="J16" i="3"/>
  <c r="B47" i="3"/>
  <c r="B48" i="3" s="1"/>
  <c r="B46" i="17"/>
  <c r="B46" i="4"/>
  <c r="J15" i="18"/>
  <c r="B47" i="18"/>
  <c r="B48" i="18" s="1"/>
  <c r="J17" i="18" s="1"/>
  <c r="J15" i="19"/>
  <c r="B47" i="19"/>
  <c r="B48" i="19" s="1"/>
  <c r="J17" i="19" s="1"/>
  <c r="B42" i="2"/>
  <c r="B44" i="2" s="1"/>
  <c r="J10" i="2" s="1"/>
  <c r="J17" i="2"/>
  <c r="B42" i="11"/>
  <c r="B44" i="11" s="1"/>
  <c r="J10" i="11" s="1"/>
  <c r="J17" i="11"/>
  <c r="B42" i="5"/>
  <c r="B44" i="5" s="1"/>
  <c r="J10" i="5" s="1"/>
  <c r="J17" i="5"/>
  <c r="B42" i="6"/>
  <c r="B44" i="6" s="1"/>
  <c r="J10" i="6" s="1"/>
  <c r="J17" i="6"/>
  <c r="B42" i="7"/>
  <c r="B44" i="7" s="1"/>
  <c r="J10" i="7" s="1"/>
  <c r="J17" i="7"/>
  <c r="B42" i="10"/>
  <c r="B44" i="10" s="1"/>
  <c r="J10" i="10" s="1"/>
  <c r="J17" i="10"/>
  <c r="B42" i="9"/>
  <c r="B44" i="9" s="1"/>
  <c r="J10" i="9" s="1"/>
  <c r="J17" i="9"/>
  <c r="B37" i="4"/>
  <c r="B42" i="8"/>
  <c r="B44" i="8" s="1"/>
  <c r="J10" i="8" s="1"/>
  <c r="B48" i="12"/>
  <c r="B54" i="10" l="1"/>
  <c r="B54" i="2"/>
  <c r="B53" i="11"/>
  <c r="B53" i="7"/>
  <c r="B54" i="9"/>
  <c r="B52" i="5"/>
  <c r="J18" i="5" s="1"/>
  <c r="B54" i="5"/>
  <c r="B42" i="19"/>
  <c r="B44" i="19" s="1"/>
  <c r="J15" i="4"/>
  <c r="B47" i="4"/>
  <c r="J17" i="4" s="1"/>
  <c r="B47" i="17"/>
  <c r="B48" i="17" s="1"/>
  <c r="J15" i="17"/>
  <c r="B42" i="18"/>
  <c r="B44" i="18" s="1"/>
  <c r="B53" i="9"/>
  <c r="B53" i="2"/>
  <c r="B52" i="9"/>
  <c r="J18" i="9" s="1"/>
  <c r="B54" i="7"/>
  <c r="B52" i="2"/>
  <c r="J18" i="2" s="1"/>
  <c r="B53" i="5"/>
  <c r="B52" i="7"/>
  <c r="J18" i="7" s="1"/>
  <c r="B52" i="11"/>
  <c r="J18" i="11" s="1"/>
  <c r="B54" i="6"/>
  <c r="B53" i="6"/>
  <c r="B42" i="3"/>
  <c r="B44" i="3" s="1"/>
  <c r="J10" i="3" s="1"/>
  <c r="J17" i="3"/>
  <c r="B42" i="12"/>
  <c r="B44" i="12" s="1"/>
  <c r="J10" i="12" s="1"/>
  <c r="J17" i="12"/>
  <c r="B53" i="10"/>
  <c r="B52" i="10"/>
  <c r="J18" i="10" s="1"/>
  <c r="B52" i="6"/>
  <c r="J18" i="6" s="1"/>
  <c r="B54" i="11"/>
  <c r="B54" i="8"/>
  <c r="B52" i="8"/>
  <c r="J18" i="8" s="1"/>
  <c r="B53" i="8"/>
  <c r="B52" i="3" l="1"/>
  <c r="J18" i="3" s="1"/>
  <c r="B44" i="4"/>
  <c r="J17" i="17"/>
  <c r="B42" i="17"/>
  <c r="B44" i="17" s="1"/>
  <c r="B52" i="18"/>
  <c r="B54" i="18"/>
  <c r="B53" i="18"/>
  <c r="J10" i="18"/>
  <c r="B54" i="19"/>
  <c r="J10" i="19"/>
  <c r="B52" i="19"/>
  <c r="B53" i="19"/>
  <c r="B53" i="3"/>
  <c r="B54" i="3"/>
  <c r="B53" i="12"/>
  <c r="B54" i="12"/>
  <c r="B52" i="12"/>
  <c r="J18" i="12" s="1"/>
  <c r="B52" i="4" l="1"/>
  <c r="B53" i="4"/>
  <c r="B51" i="4"/>
  <c r="B52" i="17"/>
  <c r="J10" i="17"/>
  <c r="B54" i="17"/>
  <c r="B53" i="17"/>
</calcChain>
</file>

<file path=xl/sharedStrings.xml><?xml version="1.0" encoding="utf-8"?>
<sst xmlns="http://schemas.openxmlformats.org/spreadsheetml/2006/main" count="2032" uniqueCount="170">
  <si>
    <t>crate</t>
  </si>
  <si>
    <t>mrate</t>
  </si>
  <si>
    <t>mult buffer</t>
  </si>
  <si>
    <t>INFLATION</t>
  </si>
  <si>
    <t>POPULATION</t>
  </si>
  <si>
    <t>EFFICIENCY</t>
  </si>
  <si>
    <t>General Assumptions</t>
  </si>
  <si>
    <t>Sector Assumptions</t>
  </si>
  <si>
    <t>Value</t>
  </si>
  <si>
    <t>Explanation</t>
  </si>
  <si>
    <t>5% interest rate</t>
  </si>
  <si>
    <t>10% cost of equity</t>
  </si>
  <si>
    <t>Assuming the current 2-year estimation of downside covering 40% (0.52 sigma), then 95% (1.96 sigma) of the time, the investigated entity is still profitable after interest.</t>
  </si>
  <si>
    <t>3% inflation rate</t>
  </si>
  <si>
    <t>Genetic economic growth due to population growth</t>
  </si>
  <si>
    <t>Norminal</t>
  </si>
  <si>
    <t>Normal growth = Inflation + Efficiency + Efficiency</t>
  </si>
  <si>
    <t>SECTOR</t>
  </si>
  <si>
    <t>EV</t>
  </si>
  <si>
    <t>software</t>
  </si>
  <si>
    <t>Near</t>
  </si>
  <si>
    <t>Consumer product</t>
  </si>
  <si>
    <t>rating</t>
  </si>
  <si>
    <t>Service</t>
  </si>
  <si>
    <t>Energy system</t>
  </si>
  <si>
    <t>solar</t>
  </si>
  <si>
    <t>microgrid</t>
  </si>
  <si>
    <t>Long-term</t>
  </si>
  <si>
    <t>Tech</t>
  </si>
  <si>
    <t>Health</t>
  </si>
  <si>
    <t>pharmacy</t>
  </si>
  <si>
    <t>GOOG</t>
  </si>
  <si>
    <t>Justification</t>
  </si>
  <si>
    <t>* Expanding market</t>
  </si>
  <si>
    <t>* Doubling current capacity in 25 years, then realising only 50% is required to maintain a net-zero fleet.</t>
  </si>
  <si>
    <t>Efficiency improvement (only assumed for mature sector)</t>
  </si>
  <si>
    <t>* 5X in the next 30 years</t>
  </si>
  <si>
    <t>EBIT</t>
  </si>
  <si>
    <t>asset</t>
  </si>
  <si>
    <t>equity</t>
  </si>
  <si>
    <t>million</t>
  </si>
  <si>
    <t>net income</t>
  </si>
  <si>
    <t>gross income</t>
  </si>
  <si>
    <t>revenue</t>
  </si>
  <si>
    <t>share</t>
  </si>
  <si>
    <t>debt</t>
  </si>
  <si>
    <t>dividend</t>
  </si>
  <si>
    <t>per share</t>
  </si>
  <si>
    <t>trailing</t>
  </si>
  <si>
    <t>forward - low</t>
  </si>
  <si>
    <t>next - high</t>
  </si>
  <si>
    <t>next - mid</t>
  </si>
  <si>
    <t>next - low</t>
  </si>
  <si>
    <t>forward - mid</t>
  </si>
  <si>
    <t>forward - high</t>
  </si>
  <si>
    <t>EPS</t>
  </si>
  <si>
    <t>Year 2023</t>
  </si>
  <si>
    <t>past 5 years</t>
  </si>
  <si>
    <t>next 5 years</t>
  </si>
  <si>
    <t>current</t>
  </si>
  <si>
    <t>PE in 10 years</t>
  </si>
  <si>
    <t>Growth in 10 years</t>
  </si>
  <si>
    <t>ROE</t>
  </si>
  <si>
    <t>leverage health</t>
  </si>
  <si>
    <t>yz estimates</t>
  </si>
  <si>
    <t>growth estimates</t>
  </si>
  <si>
    <t>analysis</t>
  </si>
  <si>
    <t>financials</t>
  </si>
  <si>
    <t>code</t>
  </si>
  <si>
    <t>value</t>
  </si>
  <si>
    <t>ROA - before interest</t>
  </si>
  <si>
    <t>downside potential</t>
  </si>
  <si>
    <t>current ROE</t>
  </si>
  <si>
    <t>current EBIT/asset</t>
  </si>
  <si>
    <t>normalised using next year estimates</t>
  </si>
  <si>
    <t>Check whether current leverage rate is sustainable (i.e. profitability if the downside is x times next EPS)</t>
  </si>
  <si>
    <t>growth - sector</t>
  </si>
  <si>
    <t>growth - market</t>
  </si>
  <si>
    <t>growth - average</t>
  </si>
  <si>
    <t>growth - revenue</t>
  </si>
  <si>
    <t>growth - profitability</t>
  </si>
  <si>
    <t>ROE in 10 years</t>
  </si>
  <si>
    <t>WACC</t>
  </si>
  <si>
    <t>current WACC</t>
  </si>
  <si>
    <t>price</t>
  </si>
  <si>
    <t>PE adjusted</t>
  </si>
  <si>
    <t>yz calculation</t>
  </si>
  <si>
    <t>medium</t>
  </si>
  <si>
    <t>low</t>
  </si>
  <si>
    <t>COST</t>
  </si>
  <si>
    <t>ON</t>
  </si>
  <si>
    <t>billion</t>
  </si>
  <si>
    <t>* mannually adjusted</t>
  </si>
  <si>
    <t>CRM</t>
  </si>
  <si>
    <t>next</t>
  </si>
  <si>
    <t>Code</t>
  </si>
  <si>
    <t>ESMG</t>
  </si>
  <si>
    <t>ESEV</t>
  </si>
  <si>
    <t>ESPV</t>
  </si>
  <si>
    <t>Rate</t>
  </si>
  <si>
    <t>HP</t>
  </si>
  <si>
    <t>MSFT</t>
  </si>
  <si>
    <t>high</t>
  </si>
  <si>
    <t>* average of current and a cap of 30%</t>
  </si>
  <si>
    <t>* capped at 30%</t>
  </si>
  <si>
    <t>AAPL</t>
  </si>
  <si>
    <t>* using ROE in 10 years for this case due to expected improvement in ROE</t>
  </si>
  <si>
    <t>ADBE</t>
  </si>
  <si>
    <t>ULTA</t>
  </si>
  <si>
    <t>KO</t>
  </si>
  <si>
    <t>PEP</t>
  </si>
  <si>
    <t>BKNG</t>
  </si>
  <si>
    <t>traditional</t>
  </si>
  <si>
    <t>evolving</t>
  </si>
  <si>
    <t>CPT</t>
  </si>
  <si>
    <t>CPE</t>
  </si>
  <si>
    <t>V</t>
  </si>
  <si>
    <t>PFE</t>
  </si>
  <si>
    <t>index</t>
  </si>
  <si>
    <t>i_cost</t>
  </si>
  <si>
    <t>i</t>
  </si>
  <si>
    <t>ii_low</t>
  </si>
  <si>
    <t>ii_med</t>
  </si>
  <si>
    <t>ii_high</t>
  </si>
  <si>
    <t>iii_low</t>
  </si>
  <si>
    <t>iii_med</t>
  </si>
  <si>
    <t>iii_high</t>
  </si>
  <si>
    <t>iv_rate</t>
  </si>
  <si>
    <t>iv_up</t>
  </si>
  <si>
    <t>iv_do</t>
  </si>
  <si>
    <t>iv_cap</t>
  </si>
  <si>
    <t>x_div</t>
  </si>
  <si>
    <t>x_rate</t>
  </si>
  <si>
    <t>x_roe</t>
  </si>
  <si>
    <t>per</t>
  </si>
  <si>
    <t>MA</t>
  </si>
  <si>
    <t>JNJ</t>
  </si>
  <si>
    <t>TSLA</t>
  </si>
  <si>
    <t>FSLR</t>
  </si>
  <si>
    <t>ENPH</t>
  </si>
  <si>
    <t>MCHP</t>
  </si>
  <si>
    <t>exp</t>
  </si>
  <si>
    <t>Optimisation results - average shortfall</t>
  </si>
  <si>
    <t>2024-11</t>
  </si>
  <si>
    <t>Price</t>
  </si>
  <si>
    <t>PE</t>
  </si>
  <si>
    <t>G-p</t>
  </si>
  <si>
    <t>G-f</t>
  </si>
  <si>
    <t>G-c</t>
  </si>
  <si>
    <t>G-n</t>
  </si>
  <si>
    <t>PE-regression</t>
  </si>
  <si>
    <t>errors</t>
  </si>
  <si>
    <t>Variance</t>
  </si>
  <si>
    <t>Standard</t>
  </si>
  <si>
    <t>PEG</t>
  </si>
  <si>
    <t>mid</t>
  </si>
  <si>
    <t>Reference</t>
  </si>
  <si>
    <t>high - nd</t>
  </si>
  <si>
    <t>avg+10%</t>
  </si>
  <si>
    <t>avg</t>
  </si>
  <si>
    <t xml:space="preserve">Discount_factor </t>
  </si>
  <si>
    <t>PEG-regression</t>
  </si>
  <si>
    <t>mannual_low</t>
  </si>
  <si>
    <t>mannual_high</t>
  </si>
  <si>
    <t>mannual</t>
  </si>
  <si>
    <t>B</t>
  </si>
  <si>
    <t>S</t>
  </si>
  <si>
    <t>combined</t>
  </si>
  <si>
    <t>TTM</t>
  </si>
  <si>
    <t>Winning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</si>
</sst>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"/>
    <numFmt numFmtId="165" formatCode="0.0%"/>
    <numFmt numFmtId="166" formatCode="_-&quot;$&quot;* #,##0_-;\-&quot;$&quot;* #,##0_-;_-&quot;$&quot;* &quot;-&quot;??_-;_-@_-"/>
    <numFmt numFmtId="167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Lucida Calligraphy"/>
      <family val="4"/>
    </font>
    <font>
      <sz val="11"/>
      <color theme="1"/>
      <name val="Algerian"/>
      <family val="5"/>
    </font>
    <font>
      <sz val="11"/>
      <color rgb="FFFF0000"/>
      <name val="Lucida Calligraphy"/>
      <family val="4"/>
    </font>
    <font>
      <u/>
      <sz val="11"/>
      <color theme="1"/>
      <name val="Lucida Calligraphy"/>
      <family val="4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9" fontId="2" fillId="0" borderId="0" xfId="3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center"/>
    </xf>
    <xf numFmtId="166" fontId="2" fillId="0" borderId="0" xfId="2" applyNumberFormat="1" applyFont="1" applyAlignment="1">
      <alignment horizontal="center" vertical="center"/>
    </xf>
    <xf numFmtId="167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/>
    </xf>
    <xf numFmtId="2" fontId="2" fillId="2" borderId="0" xfId="3" applyNumberFormat="1" applyFont="1" applyFill="1" applyAlignment="1">
      <alignment horizontal="center"/>
    </xf>
    <xf numFmtId="9" fontId="2" fillId="3" borderId="0" xfId="0" applyNumberFormat="1" applyFont="1" applyFill="1" applyAlignment="1">
      <alignment horizontal="center"/>
    </xf>
    <xf numFmtId="9" fontId="2" fillId="4" borderId="0" xfId="0" applyNumberFormat="1" applyFont="1" applyFill="1" applyAlignment="1">
      <alignment horizontal="center"/>
    </xf>
    <xf numFmtId="9" fontId="2" fillId="5" borderId="0" xfId="3" applyFont="1" applyFill="1" applyAlignment="1">
      <alignment horizontal="center"/>
    </xf>
    <xf numFmtId="9" fontId="2" fillId="6" borderId="0" xfId="3" applyFont="1" applyFill="1" applyAlignment="1">
      <alignment horizontal="center"/>
    </xf>
    <xf numFmtId="2" fontId="2" fillId="7" borderId="0" xfId="3" applyNumberFormat="1" applyFont="1" applyFill="1" applyAlignment="1">
      <alignment horizontal="center"/>
    </xf>
    <xf numFmtId="9" fontId="4" fillId="5" borderId="0" xfId="3" applyFont="1" applyFill="1" applyAlignment="1">
      <alignment horizontal="center"/>
    </xf>
    <xf numFmtId="9" fontId="4" fillId="0" borderId="0" xfId="3" applyFont="1" applyAlignment="1">
      <alignment horizontal="center"/>
    </xf>
    <xf numFmtId="2" fontId="2" fillId="8" borderId="0" xfId="3" applyNumberFormat="1" applyFont="1" applyFill="1" applyAlignment="1">
      <alignment horizontal="center"/>
    </xf>
    <xf numFmtId="1" fontId="2" fillId="0" borderId="0" xfId="0" applyNumberFormat="1" applyFont="1"/>
    <xf numFmtId="2" fontId="2" fillId="9" borderId="0" xfId="3" applyNumberFormat="1" applyFont="1" applyFill="1" applyAlignment="1">
      <alignment horizontal="center"/>
    </xf>
    <xf numFmtId="2" fontId="2" fillId="10" borderId="0" xfId="3" applyNumberFormat="1" applyFont="1" applyFill="1" applyAlignment="1">
      <alignment horizontal="center"/>
    </xf>
    <xf numFmtId="9" fontId="2" fillId="0" borderId="0" xfId="3" applyFont="1"/>
    <xf numFmtId="0" fontId="2" fillId="11" borderId="0" xfId="0" applyFont="1" applyFill="1"/>
    <xf numFmtId="1" fontId="2" fillId="11" borderId="0" xfId="0" applyNumberFormat="1" applyFont="1" applyFill="1"/>
    <xf numFmtId="0" fontId="2" fillId="12" borderId="0" xfId="0" applyFont="1" applyFill="1"/>
    <xf numFmtId="9" fontId="2" fillId="6" borderId="0" xfId="0" applyNumberFormat="1" applyFont="1" applyFill="1" applyAlignment="1">
      <alignment horizontal="center"/>
    </xf>
    <xf numFmtId="1" fontId="2" fillId="13" borderId="0" xfId="0" applyNumberFormat="1" applyFont="1" applyFill="1"/>
    <xf numFmtId="2" fontId="2" fillId="0" borderId="0" xfId="0" applyNumberFormat="1" applyFont="1"/>
    <xf numFmtId="0" fontId="2" fillId="14" borderId="0" xfId="0" applyFont="1" applyFill="1"/>
    <xf numFmtId="0" fontId="2" fillId="9" borderId="0" xfId="0" applyFont="1" applyFill="1"/>
    <xf numFmtId="9" fontId="4" fillId="6" borderId="0" xfId="0" applyNumberFormat="1" applyFont="1" applyFill="1" applyAlignment="1">
      <alignment horizontal="center"/>
    </xf>
    <xf numFmtId="0" fontId="2" fillId="15" borderId="0" xfId="0" applyFont="1" applyFill="1"/>
    <xf numFmtId="1" fontId="2" fillId="15" borderId="0" xfId="0" applyNumberFormat="1" applyFont="1" applyFill="1"/>
    <xf numFmtId="9" fontId="2" fillId="15" borderId="0" xfId="3" applyFont="1" applyFill="1"/>
    <xf numFmtId="9" fontId="2" fillId="0" borderId="0" xfId="0" applyNumberFormat="1" applyFont="1"/>
    <xf numFmtId="2" fontId="2" fillId="0" borderId="0" xfId="0" applyNumberFormat="1" applyFont="1" applyAlignment="1">
      <alignment horizontal="center"/>
    </xf>
    <xf numFmtId="0" fontId="5" fillId="0" borderId="0" xfId="0" applyFont="1"/>
    <xf numFmtId="9" fontId="2" fillId="16" borderId="0" xfId="0" applyNumberFormat="1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calcChain" Target="calcChain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microsoft.com/office/2017/10/relationships/person" Target="persons/person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styles" Target="styles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ysClr val="windowText" lastClr="000000"/>
                      </a:solidFill>
                      <a:latin typeface="Lucida Calligraphy" panose="03010101010101010101" pitchFamily="66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Assumptions!$H$28:$H$46</c:f>
              <c:numCache>
                <c:formatCode>0%</c:formatCode>
                <c:ptCount val="19"/>
                <c:pt idx="0">
                  <c:v>0.1</c:v>
                </c:pt>
                <c:pt idx="1">
                  <c:v>0.1</c:v>
                </c:pt>
                <c:pt idx="2">
                  <c:v>0.17</c:v>
                </c:pt>
                <c:pt idx="3">
                  <c:v>0.3</c:v>
                </c:pt>
                <c:pt idx="4">
                  <c:v>0.16</c:v>
                </c:pt>
                <c:pt idx="5">
                  <c:v>0.16</c:v>
                </c:pt>
                <c:pt idx="6">
                  <c:v>0.16</c:v>
                </c:pt>
                <c:pt idx="7">
                  <c:v>0.32</c:v>
                </c:pt>
                <c:pt idx="8">
                  <c:v>0.29500900497091131</c:v>
                </c:pt>
                <c:pt idx="9">
                  <c:v>0.48</c:v>
                </c:pt>
                <c:pt idx="10">
                  <c:v>0.1</c:v>
                </c:pt>
                <c:pt idx="11">
                  <c:v>0.27</c:v>
                </c:pt>
                <c:pt idx="12">
                  <c:v>0.18</c:v>
                </c:pt>
                <c:pt idx="13">
                  <c:v>0.19</c:v>
                </c:pt>
                <c:pt idx="14">
                  <c:v>0.24</c:v>
                </c:pt>
                <c:pt idx="15">
                  <c:v>0.2</c:v>
                </c:pt>
                <c:pt idx="16">
                  <c:v>0.21</c:v>
                </c:pt>
                <c:pt idx="17">
                  <c:v>4.9759674695576628E-2</c:v>
                </c:pt>
                <c:pt idx="18">
                  <c:v>0.06</c:v>
                </c:pt>
              </c:numCache>
            </c:numRef>
          </c:xVal>
          <c:yVal>
            <c:numRef>
              <c:f>Assumptions!$Q$28:$Q$46</c:f>
              <c:numCache>
                <c:formatCode>0.00</c:formatCode>
                <c:ptCount val="19"/>
                <c:pt idx="0">
                  <c:v>2.68</c:v>
                </c:pt>
                <c:pt idx="1">
                  <c:v>2.4328147100424324</c:v>
                </c:pt>
                <c:pt idx="2">
                  <c:v>3.738783649052841</c:v>
                </c:pt>
                <c:pt idx="3">
                  <c:v>0.47765398898706624</c:v>
                </c:pt>
                <c:pt idx="4">
                  <c:v>1.7655367231638419</c:v>
                </c:pt>
                <c:pt idx="5">
                  <c:v>2.203125</c:v>
                </c:pt>
                <c:pt idx="6">
                  <c:v>2.5897226753670468</c:v>
                </c:pt>
                <c:pt idx="7">
                  <c:v>0.84786821705426352</c:v>
                </c:pt>
                <c:pt idx="8">
                  <c:v>2.8573660591541432</c:v>
                </c:pt>
                <c:pt idx="9">
                  <c:v>0.44495991937055729</c:v>
                </c:pt>
                <c:pt idx="10">
                  <c:v>1.5853658536585364</c:v>
                </c:pt>
                <c:pt idx="11">
                  <c:v>1.3066594575110388</c:v>
                </c:pt>
                <c:pt idx="12">
                  <c:v>1.8193412859179237</c:v>
                </c:pt>
                <c:pt idx="13">
                  <c:v>1.9090098126672612</c:v>
                </c:pt>
                <c:pt idx="14">
                  <c:v>1.2068965517241379</c:v>
                </c:pt>
                <c:pt idx="15">
                  <c:v>2.0069808027923206</c:v>
                </c:pt>
                <c:pt idx="16">
                  <c:v>0.91782744843969322</c:v>
                </c:pt>
                <c:pt idx="17">
                  <c:v>3.1673980309639056</c:v>
                </c:pt>
                <c:pt idx="18">
                  <c:v>2.721774193548387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37-486D-9A81-2996C6EF4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726495"/>
        <c:axId val="701716895"/>
      </c:scatterChart>
      <c:valAx>
        <c:axId val="701726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Lucida Calligraphy" panose="03010101010101010101" pitchFamily="66" charset="0"/>
                <a:ea typeface="+mn-ea"/>
                <a:cs typeface="+mn-cs"/>
              </a:defRPr>
            </a:pPr>
            <a:endParaRPr lang="en-US"/>
          </a:p>
        </c:txPr>
        <c:crossAx val="701716895"/>
        <c:crosses val="autoZero"/>
        <c:crossBetween val="midCat"/>
      </c:valAx>
      <c:valAx>
        <c:axId val="70171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Lucida Calligraphy" panose="03010101010101010101" pitchFamily="66" charset="0"/>
                <a:ea typeface="+mn-ea"/>
                <a:cs typeface="+mn-cs"/>
              </a:defRPr>
            </a:pPr>
            <a:endParaRPr lang="en-US"/>
          </a:p>
        </c:txPr>
        <c:crossAx val="701726495"/>
        <c:crosses val="autoZero"/>
        <c:crossBetween val="midCat"/>
      </c:valAx>
      <c:spPr>
        <a:solidFill>
          <a:sysClr val="window" lastClr="FFFFFF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solidFill>
            <a:sysClr val="windowText" lastClr="000000"/>
          </a:solidFill>
          <a:latin typeface="Lucida Calligraphy" panose="03010101010101010101" pitchFamily="66" charset="0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BBFF55-1DD9-4253-B234-49B8967FB3FB}">
  <sheetPr/>
  <sheetViews>
    <sheetView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10875" cy="78462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587FB6-3A15-215A-99D4-DEF9DCCB24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tabSelected="1" topLeftCell="C70" workbookViewId="0">
      <selection activeCell="F80" sqref="F80"/>
    </sheetView>
  </sheetViews>
  <sheetFormatPr defaultColWidth="8.88671875" defaultRowHeight="15" x14ac:dyDescent="0.35"/>
  <cols>
    <col min="1" max="1" width="20.6640625" style="1" customWidth="1"/>
    <col min="2" max="2" width="20.6640625" style="2" customWidth="1"/>
    <col min="3" max="4" width="20.6640625" style="1" customWidth="1"/>
    <col min="5" max="20" width="15.6640625" style="1" customWidth="1"/>
    <col min="21" max="16384" width="8.88671875" style="1"/>
  </cols>
  <sheetData>
    <row r="1" spans="1:6" x14ac:dyDescent="0.35">
      <c r="A1" s="1" t="s">
        <v>6</v>
      </c>
    </row>
    <row r="2" spans="1:6" x14ac:dyDescent="0.35">
      <c r="B2" s="2" t="s">
        <v>8</v>
      </c>
      <c r="C2" s="1" t="s">
        <v>9</v>
      </c>
    </row>
    <row r="3" spans="1:6" x14ac:dyDescent="0.35">
      <c r="A3" s="1" t="s">
        <v>0</v>
      </c>
      <c r="B3" s="4">
        <v>0.05</v>
      </c>
      <c r="C3" s="1" t="s">
        <v>10</v>
      </c>
    </row>
    <row r="4" spans="1:6" x14ac:dyDescent="0.35">
      <c r="A4" s="1" t="s">
        <v>1</v>
      </c>
      <c r="B4" s="4">
        <v>0.1</v>
      </c>
      <c r="C4" s="1" t="s">
        <v>11</v>
      </c>
    </row>
    <row r="5" spans="1:6" x14ac:dyDescent="0.35">
      <c r="A5" s="1" t="s">
        <v>2</v>
      </c>
      <c r="B5" s="3">
        <f>1.96/0.52</f>
        <v>3.7692307692307692</v>
      </c>
      <c r="C5" s="1" t="s">
        <v>12</v>
      </c>
    </row>
    <row r="6" spans="1:6" x14ac:dyDescent="0.35">
      <c r="A6" s="1" t="s">
        <v>3</v>
      </c>
      <c r="B6" s="5">
        <v>0.03</v>
      </c>
      <c r="C6" s="1" t="s">
        <v>13</v>
      </c>
    </row>
    <row r="7" spans="1:6" x14ac:dyDescent="0.35">
      <c r="A7" s="1" t="s">
        <v>4</v>
      </c>
      <c r="B7" s="5">
        <v>0.02</v>
      </c>
      <c r="C7" s="1" t="s">
        <v>14</v>
      </c>
    </row>
    <row r="8" spans="1:6" x14ac:dyDescent="0.35">
      <c r="A8" s="1" t="s">
        <v>5</v>
      </c>
      <c r="B8" s="5">
        <v>0.01</v>
      </c>
      <c r="C8" s="1" t="s">
        <v>35</v>
      </c>
    </row>
    <row r="9" spans="1:6" x14ac:dyDescent="0.35">
      <c r="A9" s="1" t="s">
        <v>15</v>
      </c>
      <c r="B9" s="5">
        <v>0.06</v>
      </c>
      <c r="C9" s="1" t="s">
        <v>16</v>
      </c>
    </row>
    <row r="13" spans="1:6" x14ac:dyDescent="0.35">
      <c r="A13" s="1" t="s">
        <v>7</v>
      </c>
    </row>
    <row r="15" spans="1:6" x14ac:dyDescent="0.35">
      <c r="A15" s="1" t="s">
        <v>17</v>
      </c>
      <c r="B15" s="1"/>
      <c r="C15" s="1" t="s">
        <v>95</v>
      </c>
      <c r="D15" s="2" t="s">
        <v>20</v>
      </c>
      <c r="E15" s="2" t="s">
        <v>27</v>
      </c>
      <c r="F15" s="1" t="s">
        <v>32</v>
      </c>
    </row>
    <row r="16" spans="1:6" x14ac:dyDescent="0.35">
      <c r="A16" s="1" t="s">
        <v>21</v>
      </c>
      <c r="B16" s="1" t="s">
        <v>112</v>
      </c>
      <c r="C16" s="1" t="s">
        <v>114</v>
      </c>
      <c r="D16" s="10">
        <v>0.06</v>
      </c>
      <c r="E16" s="10">
        <v>0.06</v>
      </c>
    </row>
    <row r="17" spans="1:19" x14ac:dyDescent="0.35">
      <c r="A17" s="1" t="s">
        <v>21</v>
      </c>
      <c r="B17" s="1" t="s">
        <v>113</v>
      </c>
      <c r="C17" s="1" t="s">
        <v>115</v>
      </c>
      <c r="D17" s="10">
        <f>(D16+D22)/2</f>
        <v>0.09</v>
      </c>
      <c r="E17" s="10">
        <v>0.06</v>
      </c>
    </row>
    <row r="18" spans="1:19" x14ac:dyDescent="0.35">
      <c r="A18" s="1" t="s">
        <v>23</v>
      </c>
      <c r="B18" s="1" t="s">
        <v>22</v>
      </c>
      <c r="C18" s="1" t="s">
        <v>99</v>
      </c>
      <c r="D18" s="10">
        <v>0.15</v>
      </c>
      <c r="E18" s="10">
        <v>0.06</v>
      </c>
      <c r="F18" s="1" t="s">
        <v>33</v>
      </c>
    </row>
    <row r="19" spans="1:19" x14ac:dyDescent="0.35">
      <c r="A19" s="1" t="s">
        <v>24</v>
      </c>
      <c r="B19" s="1" t="s">
        <v>25</v>
      </c>
      <c r="C19" s="1" t="s">
        <v>98</v>
      </c>
      <c r="D19" s="10">
        <f>3%+2^0.04-1</f>
        <v>5.8113826656066569E-2</v>
      </c>
      <c r="E19" s="10">
        <f>E18+0.5^0.05-1</f>
        <v>2.5936328924845542E-2</v>
      </c>
      <c r="F19" s="1" t="s">
        <v>34</v>
      </c>
    </row>
    <row r="20" spans="1:19" x14ac:dyDescent="0.35">
      <c r="A20" s="1" t="s">
        <v>24</v>
      </c>
      <c r="B20" s="1" t="s">
        <v>18</v>
      </c>
      <c r="C20" s="1" t="s">
        <v>97</v>
      </c>
      <c r="D20" s="10">
        <f>5^(1/30)-1+0.03</f>
        <v>8.5113063536227579E-2</v>
      </c>
      <c r="E20" s="10">
        <f>D20</f>
        <v>8.5113063536227579E-2</v>
      </c>
      <c r="F20" s="1" t="s">
        <v>36</v>
      </c>
    </row>
    <row r="21" spans="1:19" x14ac:dyDescent="0.35">
      <c r="A21" s="1" t="s">
        <v>24</v>
      </c>
      <c r="B21" s="1" t="s">
        <v>26</v>
      </c>
      <c r="C21" s="1" t="s">
        <v>96</v>
      </c>
      <c r="D21" s="10">
        <v>0.1</v>
      </c>
      <c r="E21" s="10">
        <f>E16</f>
        <v>0.06</v>
      </c>
    </row>
    <row r="22" spans="1:19" x14ac:dyDescent="0.35">
      <c r="A22" s="1" t="s">
        <v>28</v>
      </c>
      <c r="B22" s="1" t="s">
        <v>19</v>
      </c>
      <c r="C22" s="1" t="s">
        <v>28</v>
      </c>
      <c r="D22" s="10">
        <v>0.12</v>
      </c>
      <c r="E22" s="10">
        <v>0.06</v>
      </c>
    </row>
    <row r="23" spans="1:19" x14ac:dyDescent="0.35">
      <c r="A23" s="1" t="s">
        <v>29</v>
      </c>
      <c r="B23" s="1" t="s">
        <v>30</v>
      </c>
      <c r="C23" s="1" t="s">
        <v>100</v>
      </c>
      <c r="D23" s="10">
        <v>0.06</v>
      </c>
      <c r="E23" s="10">
        <v>0.06</v>
      </c>
    </row>
    <row r="26" spans="1:19" x14ac:dyDescent="0.35">
      <c r="A26" s="1" t="s">
        <v>142</v>
      </c>
      <c r="H26" s="34">
        <v>117.17407435450608</v>
      </c>
      <c r="I26" s="34">
        <v>0</v>
      </c>
      <c r="J26" s="34">
        <v>17.055614770595472</v>
      </c>
      <c r="K26" s="34">
        <v>12.521677405447273</v>
      </c>
    </row>
    <row r="27" spans="1:19" x14ac:dyDescent="0.35">
      <c r="B27" s="45">
        <v>0.1</v>
      </c>
      <c r="C27" s="45">
        <v>0.2</v>
      </c>
      <c r="D27" s="45">
        <v>0.3</v>
      </c>
      <c r="E27" s="39" t="s">
        <v>143</v>
      </c>
      <c r="F27" s="39"/>
      <c r="H27" s="32" t="s">
        <v>146</v>
      </c>
      <c r="I27" s="32" t="s">
        <v>147</v>
      </c>
      <c r="J27" s="32" t="s">
        <v>148</v>
      </c>
      <c r="K27" s="32" t="s">
        <v>149</v>
      </c>
      <c r="L27" s="32" t="s">
        <v>144</v>
      </c>
      <c r="M27" s="32" t="s">
        <v>55</v>
      </c>
      <c r="N27" s="32" t="s">
        <v>145</v>
      </c>
      <c r="O27" s="36" t="s">
        <v>150</v>
      </c>
      <c r="P27" s="36" t="s">
        <v>151</v>
      </c>
      <c r="Q27" s="37" t="s">
        <v>154</v>
      </c>
      <c r="R27" s="37" t="s">
        <v>161</v>
      </c>
      <c r="S27" s="37" t="s">
        <v>151</v>
      </c>
    </row>
    <row r="28" spans="1:19" x14ac:dyDescent="0.35">
      <c r="A28" s="1" t="s">
        <v>109</v>
      </c>
      <c r="B28" s="5">
        <v>0</v>
      </c>
      <c r="C28" s="5">
        <v>0.04</v>
      </c>
      <c r="D28" s="2">
        <v>0</v>
      </c>
      <c r="H28" s="33">
        <v>0.1</v>
      </c>
      <c r="I28" s="33">
        <v>0.06</v>
      </c>
      <c r="J28" s="33">
        <v>0.14000000000000001</v>
      </c>
      <c r="K28" s="33">
        <v>0.05</v>
      </c>
      <c r="L28" s="30">
        <v>67</v>
      </c>
      <c r="M28" s="30">
        <v>2.5</v>
      </c>
      <c r="N28" s="31">
        <f>L28/M28</f>
        <v>26.8</v>
      </c>
      <c r="O28" s="34">
        <f>SUMPRODUCT(H$26:K$26,H28:K28)</f>
        <v>14.731277373606339</v>
      </c>
      <c r="P28" s="34">
        <f>(N28-O28)^2</f>
        <v>145.65406583282632</v>
      </c>
      <c r="Q28" s="35">
        <f>N28/H28/100</f>
        <v>2.68</v>
      </c>
      <c r="R28" s="35">
        <f>H28^2*3-H28*7+3</f>
        <v>2.33</v>
      </c>
      <c r="S28" s="35">
        <f>(R28-Q28)^2</f>
        <v>0.12250000000000007</v>
      </c>
    </row>
    <row r="29" spans="1:19" x14ac:dyDescent="0.35">
      <c r="A29" s="1" t="s">
        <v>110</v>
      </c>
      <c r="B29" s="5">
        <v>0.1</v>
      </c>
      <c r="C29" s="5">
        <v>0.11</v>
      </c>
      <c r="D29" s="2"/>
      <c r="H29" s="33">
        <v>0.1</v>
      </c>
      <c r="I29" s="33">
        <v>0.06</v>
      </c>
      <c r="J29" s="33">
        <v>0.14000000000000001</v>
      </c>
      <c r="K29" s="33">
        <v>0.05</v>
      </c>
      <c r="L29" s="30">
        <v>172</v>
      </c>
      <c r="M29" s="30">
        <v>7.07</v>
      </c>
      <c r="N29" s="31">
        <f t="shared" ref="N29:N46" si="0">L29/M29</f>
        <v>24.328147100424328</v>
      </c>
      <c r="O29" s="34">
        <f t="shared" ref="O29:O46" si="1">SUMPRODUCT(H$26:K$26,H29:K29)</f>
        <v>14.731277373606339</v>
      </c>
      <c r="P29" s="34">
        <f t="shared" ref="P29:P46" si="2">(N29-O29)^2</f>
        <v>92.099908553515576</v>
      </c>
      <c r="Q29" s="35">
        <f t="shared" ref="Q29:Q46" si="3">N29/H29/100</f>
        <v>2.4328147100424324</v>
      </c>
      <c r="R29" s="35">
        <f t="shared" ref="R29:R46" si="4">H29^2*3-H29*7+3</f>
        <v>2.33</v>
      </c>
      <c r="S29" s="35">
        <f t="shared" ref="S29:S46" si="5">(R29-Q29)^2</f>
        <v>1.0570864601109443E-2</v>
      </c>
    </row>
    <row r="30" spans="1:19" x14ac:dyDescent="0.35">
      <c r="A30" s="1" t="s">
        <v>89</v>
      </c>
      <c r="C30" s="5">
        <v>0.02</v>
      </c>
      <c r="D30" s="2"/>
      <c r="H30" s="33">
        <v>0.17</v>
      </c>
      <c r="I30" s="33">
        <v>0.1</v>
      </c>
      <c r="J30" s="33">
        <v>0.08</v>
      </c>
      <c r="K30" s="33">
        <v>0.1</v>
      </c>
      <c r="L30" s="30">
        <v>900</v>
      </c>
      <c r="M30" s="30">
        <v>14.16</v>
      </c>
      <c r="N30" s="31">
        <f t="shared" si="0"/>
        <v>63.559322033898304</v>
      </c>
      <c r="O30" s="34">
        <f t="shared" si="1"/>
        <v>22.536209562458403</v>
      </c>
      <c r="P30" s="34">
        <f t="shared" si="2"/>
        <v>1682.895756844408</v>
      </c>
      <c r="Q30" s="35">
        <f t="shared" si="3"/>
        <v>3.738783649052841</v>
      </c>
      <c r="R30" s="35">
        <f t="shared" si="4"/>
        <v>1.8966999999999998</v>
      </c>
      <c r="S30" s="35">
        <f t="shared" si="5"/>
        <v>3.393272170107831</v>
      </c>
    </row>
    <row r="31" spans="1:19" x14ac:dyDescent="0.35">
      <c r="A31" s="1" t="s">
        <v>108</v>
      </c>
      <c r="B31" s="5">
        <v>0.06</v>
      </c>
      <c r="C31" s="5">
        <v>0.06</v>
      </c>
      <c r="D31" s="5">
        <v>0.1</v>
      </c>
      <c r="H31" s="33">
        <v>0.3</v>
      </c>
      <c r="I31" s="33">
        <v>-2.8000000000000001E-2</v>
      </c>
      <c r="J31" s="33">
        <v>-0.11</v>
      </c>
      <c r="K31" s="33">
        <v>0</v>
      </c>
      <c r="L31" s="30">
        <v>373</v>
      </c>
      <c r="M31" s="30">
        <v>26.03</v>
      </c>
      <c r="N31" s="31">
        <f t="shared" si="0"/>
        <v>14.329619669611986</v>
      </c>
      <c r="O31" s="34">
        <f t="shared" si="1"/>
        <v>33.276104681586325</v>
      </c>
      <c r="P31" s="34">
        <f t="shared" si="2"/>
        <v>358.96929430896824</v>
      </c>
      <c r="Q31" s="35">
        <f t="shared" si="3"/>
        <v>0.47765398898706624</v>
      </c>
      <c r="R31" s="35">
        <f t="shared" si="4"/>
        <v>1.17</v>
      </c>
      <c r="S31" s="35">
        <f t="shared" si="5"/>
        <v>0.47934299896552129</v>
      </c>
    </row>
    <row r="32" spans="1:19" x14ac:dyDescent="0.35">
      <c r="A32" s="1" t="s">
        <v>111</v>
      </c>
      <c r="B32" s="5">
        <v>0.06</v>
      </c>
      <c r="C32" s="5">
        <v>0.05</v>
      </c>
      <c r="D32" s="5">
        <v>0.08</v>
      </c>
      <c r="E32" s="1">
        <v>4750</v>
      </c>
      <c r="F32" s="29">
        <f>E32/E$47</f>
        <v>0.10961538461538461</v>
      </c>
      <c r="G32" s="29"/>
      <c r="H32" s="33">
        <v>0.16</v>
      </c>
      <c r="I32" s="33">
        <v>0.22</v>
      </c>
      <c r="J32" s="33">
        <v>0.15</v>
      </c>
      <c r="K32" s="33">
        <v>0.15</v>
      </c>
      <c r="L32" s="30">
        <v>4300</v>
      </c>
      <c r="M32" s="30">
        <v>152.22</v>
      </c>
      <c r="N32" s="31">
        <f t="shared" si="0"/>
        <v>28.248587570621471</v>
      </c>
      <c r="O32" s="34">
        <f t="shared" si="1"/>
        <v>23.184445723127386</v>
      </c>
      <c r="P32" s="34">
        <f t="shared" si="2"/>
        <v>25.645532651540805</v>
      </c>
      <c r="Q32" s="35">
        <f t="shared" si="3"/>
        <v>1.7655367231638419</v>
      </c>
      <c r="R32" s="35">
        <f t="shared" si="4"/>
        <v>1.9567999999999999</v>
      </c>
      <c r="S32" s="35">
        <f t="shared" si="5"/>
        <v>3.65816410661048E-2</v>
      </c>
    </row>
    <row r="33" spans="1:19" x14ac:dyDescent="0.35">
      <c r="A33" s="1" t="s">
        <v>116</v>
      </c>
      <c r="B33" s="5">
        <v>0.13</v>
      </c>
      <c r="C33" s="5">
        <v>0.12</v>
      </c>
      <c r="D33" s="2">
        <v>0.04</v>
      </c>
      <c r="H33" s="33">
        <v>0.16</v>
      </c>
      <c r="I33" s="33">
        <v>0.13</v>
      </c>
      <c r="J33" s="33">
        <v>0.24</v>
      </c>
      <c r="K33" s="33">
        <v>0.12</v>
      </c>
      <c r="L33" s="30">
        <v>282</v>
      </c>
      <c r="M33" s="30">
        <v>8</v>
      </c>
      <c r="N33" s="31">
        <f t="shared" si="0"/>
        <v>35.25</v>
      </c>
      <c r="O33" s="34">
        <f t="shared" si="1"/>
        <v>24.343800730317561</v>
      </c>
      <c r="P33" s="34">
        <f t="shared" si="2"/>
        <v>118.94518251002177</v>
      </c>
      <c r="Q33" s="35">
        <f t="shared" si="3"/>
        <v>2.203125</v>
      </c>
      <c r="R33" s="35">
        <f t="shared" si="4"/>
        <v>1.9567999999999999</v>
      </c>
      <c r="S33" s="35">
        <f t="shared" si="5"/>
        <v>6.0676005625000064E-2</v>
      </c>
    </row>
    <row r="34" spans="1:19" x14ac:dyDescent="0.35">
      <c r="A34" s="1" t="s">
        <v>135</v>
      </c>
      <c r="B34" s="5">
        <v>0</v>
      </c>
      <c r="C34" s="5">
        <v>0.02</v>
      </c>
      <c r="D34" s="5"/>
      <c r="H34" s="33">
        <v>0.16</v>
      </c>
      <c r="I34" s="33">
        <v>0.16</v>
      </c>
      <c r="J34" s="33">
        <v>0.17</v>
      </c>
      <c r="K34" s="33">
        <v>0.16</v>
      </c>
      <c r="L34" s="30">
        <v>508</v>
      </c>
      <c r="M34" s="30">
        <v>12.26</v>
      </c>
      <c r="N34" s="31">
        <f t="shared" si="0"/>
        <v>41.435562805872756</v>
      </c>
      <c r="O34" s="34">
        <f t="shared" si="1"/>
        <v>23.650774792593769</v>
      </c>
      <c r="P34" s="34">
        <f t="shared" si="2"/>
        <v>316.29868467727198</v>
      </c>
      <c r="Q34" s="35">
        <f t="shared" si="3"/>
        <v>2.5897226753670468</v>
      </c>
      <c r="R34" s="35">
        <f t="shared" si="4"/>
        <v>1.9567999999999999</v>
      </c>
      <c r="S34" s="35">
        <f t="shared" si="5"/>
        <v>0.40059111299378031</v>
      </c>
    </row>
    <row r="35" spans="1:19" x14ac:dyDescent="0.35">
      <c r="A35" s="1" t="s">
        <v>138</v>
      </c>
      <c r="B35" s="5">
        <v>0</v>
      </c>
      <c r="C35" s="5"/>
      <c r="D35" s="5"/>
      <c r="H35" s="33">
        <v>0.32</v>
      </c>
      <c r="I35" s="33">
        <v>0.56000000000000005</v>
      </c>
      <c r="J35" s="33">
        <v>0.74</v>
      </c>
      <c r="K35" s="33">
        <v>0.57999999999999996</v>
      </c>
      <c r="L35" s="30">
        <v>210</v>
      </c>
      <c r="M35" s="30">
        <v>7.74</v>
      </c>
      <c r="N35" s="31">
        <f t="shared" si="0"/>
        <v>27.131782945736433</v>
      </c>
      <c r="O35" s="34">
        <f t="shared" si="1"/>
        <v>57.379431618842013</v>
      </c>
      <c r="P35" s="34">
        <f t="shared" si="2"/>
        <v>914.9202502516257</v>
      </c>
      <c r="Q35" s="35">
        <f t="shared" si="3"/>
        <v>0.84786821705426352</v>
      </c>
      <c r="R35" s="35">
        <f t="shared" si="4"/>
        <v>1.0671999999999997</v>
      </c>
      <c r="S35" s="35">
        <f t="shared" si="5"/>
        <v>4.8106431010155534E-2</v>
      </c>
    </row>
    <row r="36" spans="1:19" x14ac:dyDescent="0.35">
      <c r="A36" s="1" t="s">
        <v>137</v>
      </c>
      <c r="C36" s="2"/>
      <c r="D36" s="2"/>
      <c r="H36" s="38">
        <f>(1.47^4*0.78)^0.2-1</f>
        <v>0.29500900497091131</v>
      </c>
      <c r="I36" s="33">
        <v>0.05</v>
      </c>
      <c r="J36" s="33">
        <v>-0.22</v>
      </c>
      <c r="K36" s="33">
        <v>0.32</v>
      </c>
      <c r="L36" s="30">
        <v>263</v>
      </c>
      <c r="M36" s="30">
        <v>3.12</v>
      </c>
      <c r="N36" s="31">
        <f t="shared" si="0"/>
        <v>84.294871794871796</v>
      </c>
      <c r="O36" s="34">
        <f t="shared" si="1"/>
        <v>34.822108603922537</v>
      </c>
      <c r="P36" s="34">
        <f t="shared" si="2"/>
        <v>2447.5542977477439</v>
      </c>
      <c r="Q36" s="35">
        <f t="shared" si="3"/>
        <v>2.8573660591541432</v>
      </c>
      <c r="R36" s="35">
        <f t="shared" si="4"/>
        <v>1.1960279042454021</v>
      </c>
      <c r="S36" s="35">
        <f t="shared" si="5"/>
        <v>2.7600444649555804</v>
      </c>
    </row>
    <row r="37" spans="1:19" x14ac:dyDescent="0.35">
      <c r="A37" s="1" t="s">
        <v>90</v>
      </c>
      <c r="C37" s="2"/>
      <c r="D37" s="2"/>
      <c r="H37" s="33">
        <v>0.48</v>
      </c>
      <c r="I37" s="33">
        <v>0.05</v>
      </c>
      <c r="J37" s="33">
        <v>-0.22500000000000001</v>
      </c>
      <c r="K37" s="33">
        <v>0.17</v>
      </c>
      <c r="L37" s="30">
        <v>72</v>
      </c>
      <c r="M37" s="30">
        <v>3.3710901469999999</v>
      </c>
      <c r="N37" s="31">
        <f t="shared" si="0"/>
        <v>21.358076129786749</v>
      </c>
      <c r="O37" s="34">
        <f t="shared" si="1"/>
        <v>54.534727525704973</v>
      </c>
      <c r="P37" s="34">
        <f t="shared" si="2"/>
        <v>1100.6901978462829</v>
      </c>
      <c r="Q37" s="35">
        <f t="shared" si="3"/>
        <v>0.44495991937055729</v>
      </c>
      <c r="R37" s="35">
        <f t="shared" si="4"/>
        <v>0.33119999999999994</v>
      </c>
      <c r="S37" s="35">
        <f t="shared" si="5"/>
        <v>1.294131925519571E-2</v>
      </c>
    </row>
    <row r="38" spans="1:19" x14ac:dyDescent="0.35">
      <c r="A38" s="1" t="s">
        <v>140</v>
      </c>
      <c r="C38" s="2"/>
      <c r="D38" s="2"/>
      <c r="H38" s="33">
        <v>0.1</v>
      </c>
      <c r="I38" s="33">
        <v>-0.1</v>
      </c>
      <c r="J38" s="33">
        <v>-0.6</v>
      </c>
      <c r="K38" s="33">
        <v>0.68</v>
      </c>
      <c r="L38" s="30">
        <v>78</v>
      </c>
      <c r="M38" s="30">
        <v>4.92</v>
      </c>
      <c r="N38" s="31">
        <f t="shared" si="0"/>
        <v>15.853658536585366</v>
      </c>
      <c r="O38" s="34">
        <f t="shared" si="1"/>
        <v>9.9987792087974725</v>
      </c>
      <c r="P38" s="34">
        <f t="shared" si="2"/>
        <v>34.279611942958013</v>
      </c>
      <c r="Q38" s="35">
        <f t="shared" si="3"/>
        <v>1.5853658536585364</v>
      </c>
      <c r="R38" s="35">
        <f t="shared" si="4"/>
        <v>2.33</v>
      </c>
      <c r="S38" s="35">
        <f t="shared" si="5"/>
        <v>0.55448001189768026</v>
      </c>
    </row>
    <row r="39" spans="1:19" x14ac:dyDescent="0.35">
      <c r="A39" s="1" t="s">
        <v>93</v>
      </c>
      <c r="C39" s="2"/>
      <c r="D39" s="2"/>
      <c r="H39" s="33">
        <v>0.27</v>
      </c>
      <c r="I39" s="33">
        <v>0.16</v>
      </c>
      <c r="J39" s="33">
        <v>0.23</v>
      </c>
      <c r="K39" s="33">
        <v>0.1</v>
      </c>
      <c r="L39" s="30">
        <v>290</v>
      </c>
      <c r="M39" s="30">
        <v>8.2200000000000006</v>
      </c>
      <c r="N39" s="31">
        <f t="shared" si="0"/>
        <v>35.27980535279805</v>
      </c>
      <c r="O39" s="34">
        <f t="shared" si="1"/>
        <v>36.811959213498326</v>
      </c>
      <c r="P39" s="34">
        <f t="shared" si="2"/>
        <v>2.3474954528587624</v>
      </c>
      <c r="Q39" s="35">
        <f t="shared" si="3"/>
        <v>1.3066594575110388</v>
      </c>
      <c r="R39" s="35">
        <f t="shared" si="4"/>
        <v>1.3287</v>
      </c>
      <c r="S39" s="35">
        <f t="shared" si="5"/>
        <v>4.8578551320770157E-4</v>
      </c>
    </row>
    <row r="40" spans="1:19" x14ac:dyDescent="0.35">
      <c r="A40" s="1" t="s">
        <v>107</v>
      </c>
      <c r="B40" s="5">
        <v>0.21</v>
      </c>
      <c r="C40" s="5">
        <v>0.15</v>
      </c>
      <c r="D40" s="5">
        <v>0.12</v>
      </c>
      <c r="E40" s="1">
        <f>5*485</f>
        <v>2425</v>
      </c>
      <c r="F40" s="29">
        <f t="shared" ref="F40" si="6">E40/E$47</f>
        <v>5.5961538461538458E-2</v>
      </c>
      <c r="G40" s="29"/>
      <c r="H40" s="33">
        <v>0.18</v>
      </c>
      <c r="I40" s="33">
        <v>0.14000000000000001</v>
      </c>
      <c r="J40" s="33">
        <v>0.23</v>
      </c>
      <c r="K40" s="33">
        <v>0.12</v>
      </c>
      <c r="L40" s="30">
        <v>485</v>
      </c>
      <c r="M40" s="30">
        <v>14.81</v>
      </c>
      <c r="N40" s="31">
        <f t="shared" si="0"/>
        <v>32.748143146522622</v>
      </c>
      <c r="O40" s="34">
        <f t="shared" si="1"/>
        <v>26.516726069701726</v>
      </c>
      <c r="P40" s="34">
        <f t="shared" si="2"/>
        <v>38.830558785295089</v>
      </c>
      <c r="Q40" s="35">
        <f t="shared" si="3"/>
        <v>1.8193412859179237</v>
      </c>
      <c r="R40" s="35">
        <f t="shared" si="4"/>
        <v>1.8371999999999999</v>
      </c>
      <c r="S40" s="35">
        <f t="shared" si="5"/>
        <v>3.189336686653499E-4</v>
      </c>
    </row>
    <row r="41" spans="1:19" x14ac:dyDescent="0.35">
      <c r="A41" s="1" t="s">
        <v>101</v>
      </c>
      <c r="B41" s="5">
        <v>0.09</v>
      </c>
      <c r="C41" s="5">
        <v>0.08</v>
      </c>
      <c r="D41" s="5">
        <v>0.11</v>
      </c>
      <c r="F41" s="29"/>
      <c r="G41" s="29"/>
      <c r="H41" s="33">
        <v>0.19</v>
      </c>
      <c r="I41" s="33">
        <v>0.15</v>
      </c>
      <c r="J41" s="33">
        <v>0.11</v>
      </c>
      <c r="K41" s="33">
        <v>0.16</v>
      </c>
      <c r="L41" s="30">
        <v>428</v>
      </c>
      <c r="M41" s="30">
        <v>11.8</v>
      </c>
      <c r="N41" s="31">
        <f t="shared" si="0"/>
        <v>36.271186440677965</v>
      </c>
      <c r="O41" s="34">
        <f t="shared" si="1"/>
        <v>26.142660136993221</v>
      </c>
      <c r="P41" s="34">
        <f t="shared" si="2"/>
        <v>102.58704508443374</v>
      </c>
      <c r="Q41" s="35">
        <f t="shared" si="3"/>
        <v>1.9090098126672612</v>
      </c>
      <c r="R41" s="35">
        <f t="shared" si="4"/>
        <v>1.7783</v>
      </c>
      <c r="S41" s="35">
        <f t="shared" si="5"/>
        <v>1.7085055127510525E-2</v>
      </c>
    </row>
    <row r="42" spans="1:19" x14ac:dyDescent="0.35">
      <c r="A42" s="1" t="s">
        <v>31</v>
      </c>
      <c r="B42" s="5">
        <v>0.23</v>
      </c>
      <c r="C42" s="5">
        <v>0.2</v>
      </c>
      <c r="D42" s="5">
        <v>0.32</v>
      </c>
      <c r="E42" s="1">
        <f>70*170</f>
        <v>11900</v>
      </c>
      <c r="F42" s="29">
        <f>E42/E$47</f>
        <v>0.27461538461538459</v>
      </c>
      <c r="G42" s="29"/>
      <c r="H42" s="33">
        <v>0.24</v>
      </c>
      <c r="I42" s="33">
        <v>0.2</v>
      </c>
      <c r="J42" s="33">
        <v>0.32</v>
      </c>
      <c r="K42" s="33">
        <v>0.13</v>
      </c>
      <c r="L42" s="30">
        <v>168</v>
      </c>
      <c r="M42" s="30">
        <v>5.8</v>
      </c>
      <c r="N42" s="31">
        <f t="shared" si="0"/>
        <v>28.96551724137931</v>
      </c>
      <c r="O42" s="34">
        <f t="shared" si="1"/>
        <v>35.207392634380156</v>
      </c>
      <c r="P42" s="34">
        <f t="shared" si="2"/>
        <v>38.961008421749469</v>
      </c>
      <c r="Q42" s="35">
        <f t="shared" si="3"/>
        <v>1.2068965517241379</v>
      </c>
      <c r="R42" s="35">
        <f t="shared" si="4"/>
        <v>1.4928000000000001</v>
      </c>
      <c r="S42" s="35">
        <f t="shared" si="5"/>
        <v>8.1740781736028625E-2</v>
      </c>
    </row>
    <row r="43" spans="1:19" x14ac:dyDescent="0.35">
      <c r="A43" s="1" t="s">
        <v>105</v>
      </c>
      <c r="B43" s="5">
        <v>0.02</v>
      </c>
      <c r="C43" s="5">
        <v>0.04</v>
      </c>
      <c r="D43" s="5">
        <v>7.0000000000000007E-2</v>
      </c>
      <c r="H43" s="33">
        <v>0.2</v>
      </c>
      <c r="I43" s="33">
        <v>0.1</v>
      </c>
      <c r="J43" s="33">
        <v>0.16</v>
      </c>
      <c r="K43" s="33">
        <v>0.12</v>
      </c>
      <c r="L43" s="30">
        <v>230</v>
      </c>
      <c r="M43" s="30">
        <v>5.73</v>
      </c>
      <c r="N43" s="31">
        <f t="shared" si="0"/>
        <v>40.139616055846417</v>
      </c>
      <c r="O43" s="34">
        <f t="shared" si="1"/>
        <v>27.666314522850165</v>
      </c>
      <c r="P43" s="34">
        <f t="shared" si="2"/>
        <v>155.58325113304667</v>
      </c>
      <c r="Q43" s="35">
        <f t="shared" si="3"/>
        <v>2.0069808027923206</v>
      </c>
      <c r="R43" s="35">
        <f t="shared" si="4"/>
        <v>1.72</v>
      </c>
      <c r="S43" s="35">
        <f t="shared" si="5"/>
        <v>8.2357981171324826E-2</v>
      </c>
    </row>
    <row r="44" spans="1:19" x14ac:dyDescent="0.35">
      <c r="A44" s="1" t="s">
        <v>139</v>
      </c>
      <c r="C44" s="2"/>
      <c r="D44" s="2"/>
      <c r="H44" s="33">
        <v>0.21</v>
      </c>
      <c r="I44" s="33">
        <v>0.1</v>
      </c>
      <c r="J44" s="33">
        <v>-0.51</v>
      </c>
      <c r="K44" s="33">
        <v>0.75</v>
      </c>
      <c r="L44" s="30">
        <v>85</v>
      </c>
      <c r="M44" s="30">
        <v>4.41</v>
      </c>
      <c r="N44" s="31">
        <f t="shared" si="0"/>
        <v>19.274376417233558</v>
      </c>
      <c r="O44" s="34">
        <f t="shared" si="1"/>
        <v>25.299450135528041</v>
      </c>
      <c r="P44" s="34">
        <f t="shared" si="2"/>
        <v>36.301513310882903</v>
      </c>
      <c r="Q44" s="35">
        <f t="shared" si="3"/>
        <v>0.91782744843969322</v>
      </c>
      <c r="R44" s="35">
        <f t="shared" si="4"/>
        <v>1.6623000000000001</v>
      </c>
      <c r="S44" s="35">
        <f t="shared" si="5"/>
        <v>0.5542393800267138</v>
      </c>
    </row>
    <row r="45" spans="1:19" x14ac:dyDescent="0.35">
      <c r="A45" s="1" t="s">
        <v>117</v>
      </c>
      <c r="C45" s="2"/>
      <c r="D45" s="2"/>
      <c r="E45" s="1">
        <v>0</v>
      </c>
      <c r="F45" s="29">
        <f>E45/E$47</f>
        <v>0</v>
      </c>
      <c r="G45" s="29"/>
      <c r="H45" s="38">
        <f>(0.97^4*1.44)^0.2-1</f>
        <v>4.9759674695576628E-2</v>
      </c>
      <c r="I45" s="33">
        <v>0.18</v>
      </c>
      <c r="J45" s="33">
        <v>0.44</v>
      </c>
      <c r="K45" s="33">
        <v>0.08</v>
      </c>
      <c r="L45" s="30">
        <v>29</v>
      </c>
      <c r="M45" s="30">
        <v>1.84</v>
      </c>
      <c r="N45" s="31">
        <f t="shared" si="0"/>
        <v>15.760869565217391</v>
      </c>
      <c r="O45" s="34">
        <f t="shared" si="1"/>
        <v>14.336748514133321</v>
      </c>
      <c r="P45" s="34">
        <f t="shared" si="2"/>
        <v>2.0281207681407958</v>
      </c>
      <c r="Q45" s="35">
        <f t="shared" si="3"/>
        <v>3.1673980309639056</v>
      </c>
      <c r="R45" s="35">
        <f t="shared" si="4"/>
        <v>2.6591103528083924</v>
      </c>
      <c r="S45" s="35">
        <f t="shared" si="5"/>
        <v>0.2583563637647226</v>
      </c>
    </row>
    <row r="46" spans="1:19" x14ac:dyDescent="0.35">
      <c r="A46" s="1" t="s">
        <v>136</v>
      </c>
      <c r="B46" s="5">
        <v>0.09</v>
      </c>
      <c r="C46" s="5">
        <v>0.1</v>
      </c>
      <c r="D46" s="5">
        <v>0.11</v>
      </c>
      <c r="H46" s="33">
        <v>0.06</v>
      </c>
      <c r="I46" s="33">
        <v>0.03</v>
      </c>
      <c r="J46" s="33">
        <v>0</v>
      </c>
      <c r="K46" s="33">
        <v>7.0000000000000007E-2</v>
      </c>
      <c r="L46" s="30">
        <v>162</v>
      </c>
      <c r="M46" s="30">
        <v>9.92</v>
      </c>
      <c r="N46" s="31">
        <f t="shared" si="0"/>
        <v>16.330645161290324</v>
      </c>
      <c r="O46" s="34">
        <f t="shared" si="1"/>
        <v>7.9069618796516732</v>
      </c>
      <c r="P46" s="34">
        <f t="shared" si="2"/>
        <v>70.958440029358513</v>
      </c>
      <c r="Q46" s="35">
        <f t="shared" si="3"/>
        <v>2.721774193548387</v>
      </c>
      <c r="R46" s="35">
        <f t="shared" si="4"/>
        <v>2.5907999999999998</v>
      </c>
      <c r="S46" s="35">
        <f t="shared" si="5"/>
        <v>1.7154239375650401E-2</v>
      </c>
    </row>
    <row r="47" spans="1:19" x14ac:dyDescent="0.35">
      <c r="B47" s="4">
        <f>SUM(B28:B46)</f>
        <v>0.98999999999999988</v>
      </c>
      <c r="C47" s="4">
        <f t="shared" ref="C47" si="7">SUM(C28:C46)</f>
        <v>0.98999999999999988</v>
      </c>
      <c r="D47" s="4">
        <f>SUM(D28:D46)</f>
        <v>0.95000000000000007</v>
      </c>
      <c r="E47" s="40">
        <f>65000/1.5</f>
        <v>43333.333333333336</v>
      </c>
      <c r="F47" s="41">
        <f>SUM(F28:F46)</f>
        <v>0.44019230769230766</v>
      </c>
      <c r="G47" s="29"/>
      <c r="N47" s="1">
        <f>COUNT(N28:N46)</f>
        <v>19</v>
      </c>
      <c r="O47" s="1" t="s">
        <v>152</v>
      </c>
      <c r="P47" s="26">
        <f>SUM(P28:P46)/N47</f>
        <v>404.50264295541729</v>
      </c>
      <c r="S47" s="26">
        <f>SUM(S28:S46)/N47</f>
        <v>0.46793923899272533</v>
      </c>
    </row>
    <row r="48" spans="1:19" x14ac:dyDescent="0.35">
      <c r="O48" s="1" t="s">
        <v>153</v>
      </c>
      <c r="P48" s="26">
        <f>P47^0.5</f>
        <v>20.112251066338082</v>
      </c>
      <c r="S48" s="35">
        <f>S47^0.5</f>
        <v>0.68406084451072435</v>
      </c>
    </row>
    <row r="50" spans="1:18" x14ac:dyDescent="0.35">
      <c r="A50" s="1" t="s">
        <v>165</v>
      </c>
    </row>
    <row r="51" spans="1:18" x14ac:dyDescent="0.35">
      <c r="A51" s="1" t="s">
        <v>95</v>
      </c>
      <c r="B51" s="1" t="s">
        <v>88</v>
      </c>
      <c r="C51" s="1" t="s">
        <v>102</v>
      </c>
      <c r="D51" s="1" t="s">
        <v>155</v>
      </c>
      <c r="F51" s="1" t="s">
        <v>156</v>
      </c>
      <c r="G51" s="1" t="s">
        <v>88</v>
      </c>
      <c r="H51" s="1" t="s">
        <v>102</v>
      </c>
      <c r="J51" s="1" t="s">
        <v>157</v>
      </c>
      <c r="K51" s="1" t="s">
        <v>158</v>
      </c>
      <c r="L51" s="1" t="s">
        <v>102</v>
      </c>
      <c r="M51" s="1" t="s">
        <v>159</v>
      </c>
      <c r="N51" s="1" t="s">
        <v>162</v>
      </c>
      <c r="O51" s="1" t="s">
        <v>163</v>
      </c>
      <c r="P51" s="1" t="s">
        <v>164</v>
      </c>
      <c r="R51" s="1" t="s">
        <v>167</v>
      </c>
    </row>
    <row r="52" spans="1:18" x14ac:dyDescent="0.35">
      <c r="A52" s="1" t="s">
        <v>109</v>
      </c>
      <c r="B52" s="26">
        <v>53.38</v>
      </c>
      <c r="C52" s="26">
        <v>57.41</v>
      </c>
      <c r="D52" s="26">
        <v>58.5</v>
      </c>
      <c r="F52" s="1">
        <v>67</v>
      </c>
      <c r="G52" s="29">
        <f>B52/F52-1</f>
        <v>-0.20328358208955222</v>
      </c>
      <c r="H52" s="29">
        <f t="shared" ref="H52:H70" si="8">C52*$B$72/F52-1</f>
        <v>-0.14313432835820905</v>
      </c>
      <c r="J52" s="1">
        <f>IF(F52&lt;C52,1,0)</f>
        <v>0</v>
      </c>
      <c r="K52" s="1">
        <f>IF(F52&lt;D52*1.1,1,0)</f>
        <v>0</v>
      </c>
      <c r="L52" s="1">
        <f t="shared" ref="L52:L70" si="9">IF(F52&lt;C52*$B$72,1,0)</f>
        <v>0</v>
      </c>
      <c r="M52" s="1">
        <f t="shared" ref="M52:M70" si="10">IF(F52&lt;D52,1,0)</f>
        <v>0</v>
      </c>
      <c r="N52" s="1">
        <f>IF(G52&gt;-0.3,1,0)</f>
        <v>1</v>
      </c>
      <c r="O52" s="1">
        <f>IF(H52&gt;0,1,0)</f>
        <v>0</v>
      </c>
      <c r="P52" s="1">
        <f>IF(N52+O52&gt;1,1,0)</f>
        <v>0</v>
      </c>
      <c r="R52" s="1">
        <f>P52-P76</f>
        <v>0</v>
      </c>
    </row>
    <row r="53" spans="1:18" x14ac:dyDescent="0.35">
      <c r="A53" s="1" t="s">
        <v>110</v>
      </c>
      <c r="B53" s="26">
        <v>157.72999999999999</v>
      </c>
      <c r="C53" s="26">
        <v>166.39</v>
      </c>
      <c r="D53" s="26">
        <v>165.98</v>
      </c>
      <c r="F53" s="1">
        <v>172</v>
      </c>
      <c r="G53" s="29">
        <f t="shared" ref="G53:G70" si="11">B53/F53-1</f>
        <v>-8.2965116279069773E-2</v>
      </c>
      <c r="H53" s="29">
        <f t="shared" si="8"/>
        <v>-3.2616279069767495E-2</v>
      </c>
      <c r="J53" s="1">
        <f t="shared" ref="J53:J70" si="12">IF(F53&lt;C53,1,0)</f>
        <v>0</v>
      </c>
      <c r="K53" s="1">
        <f t="shared" ref="K53:K70" si="13">IF(F53&lt;D53*1.1,1,0)</f>
        <v>1</v>
      </c>
      <c r="L53" s="1">
        <f t="shared" si="9"/>
        <v>0</v>
      </c>
      <c r="M53" s="1">
        <f t="shared" si="10"/>
        <v>0</v>
      </c>
      <c r="N53" s="1">
        <f t="shared" ref="N53:N71" si="14">IF(G53&gt;-0.3,1,0)</f>
        <v>1</v>
      </c>
      <c r="O53" s="1">
        <f t="shared" ref="O53:O70" si="15">IF(H53&gt;0,1,0)</f>
        <v>0</v>
      </c>
      <c r="P53" s="1">
        <f t="shared" ref="P53:P70" si="16">IF(N53+O53&gt;1,1,0)</f>
        <v>0</v>
      </c>
      <c r="R53" s="1">
        <f t="shared" ref="R53:R70" si="17">P53-P77</f>
        <v>0</v>
      </c>
    </row>
    <row r="54" spans="1:18" x14ac:dyDescent="0.35">
      <c r="A54" s="1" t="s">
        <v>89</v>
      </c>
      <c r="B54" s="26">
        <v>365.15</v>
      </c>
      <c r="C54" s="26">
        <v>491.65</v>
      </c>
      <c r="D54" s="26">
        <v>451.44</v>
      </c>
      <c r="F54" s="1">
        <v>900</v>
      </c>
      <c r="G54" s="29">
        <f t="shared" si="11"/>
        <v>-0.59427777777777779</v>
      </c>
      <c r="H54" s="29">
        <f t="shared" si="8"/>
        <v>-0.45372222222222225</v>
      </c>
      <c r="J54" s="1">
        <f t="shared" si="12"/>
        <v>0</v>
      </c>
      <c r="K54" s="1">
        <f t="shared" si="13"/>
        <v>0</v>
      </c>
      <c r="L54" s="1">
        <f t="shared" si="9"/>
        <v>0</v>
      </c>
      <c r="M54" s="1">
        <f t="shared" si="10"/>
        <v>0</v>
      </c>
      <c r="N54" s="1">
        <f t="shared" si="14"/>
        <v>0</v>
      </c>
      <c r="O54" s="1">
        <f t="shared" si="15"/>
        <v>0</v>
      </c>
      <c r="P54" s="1">
        <f t="shared" si="16"/>
        <v>0</v>
      </c>
      <c r="R54" s="1">
        <f t="shared" si="17"/>
        <v>-1</v>
      </c>
    </row>
    <row r="55" spans="1:18" x14ac:dyDescent="0.35">
      <c r="A55" s="1" t="s">
        <v>108</v>
      </c>
      <c r="B55" s="26">
        <v>190.21</v>
      </c>
      <c r="C55" s="26">
        <v>678.38</v>
      </c>
      <c r="D55" s="26">
        <v>315.58</v>
      </c>
      <c r="F55" s="1">
        <v>370</v>
      </c>
      <c r="G55" s="29">
        <f t="shared" si="11"/>
        <v>-0.48591891891891892</v>
      </c>
      <c r="H55" s="29">
        <f t="shared" si="8"/>
        <v>0.83345945945945954</v>
      </c>
      <c r="J55" s="1">
        <f t="shared" si="12"/>
        <v>1</v>
      </c>
      <c r="K55" s="1">
        <f t="shared" si="13"/>
        <v>0</v>
      </c>
      <c r="L55" s="1">
        <f t="shared" si="9"/>
        <v>1</v>
      </c>
      <c r="M55" s="1">
        <f t="shared" si="10"/>
        <v>0</v>
      </c>
      <c r="N55" s="1">
        <f t="shared" si="14"/>
        <v>0</v>
      </c>
      <c r="O55" s="1">
        <f t="shared" si="15"/>
        <v>1</v>
      </c>
      <c r="P55" s="1">
        <f t="shared" si="16"/>
        <v>0</v>
      </c>
      <c r="R55" s="1">
        <f t="shared" si="17"/>
        <v>0</v>
      </c>
    </row>
    <row r="56" spans="1:18" x14ac:dyDescent="0.35">
      <c r="A56" s="1" t="s">
        <v>111</v>
      </c>
      <c r="B56" s="26">
        <v>3083.04</v>
      </c>
      <c r="C56" s="26">
        <v>4724.72</v>
      </c>
      <c r="D56" s="26">
        <v>2363.58</v>
      </c>
      <c r="F56" s="1">
        <v>4700</v>
      </c>
      <c r="G56" s="29">
        <f t="shared" si="11"/>
        <v>-0.34403404255319148</v>
      </c>
      <c r="H56" s="29">
        <f t="shared" si="8"/>
        <v>5.2595744680852263E-3</v>
      </c>
      <c r="J56" s="1">
        <f t="shared" si="12"/>
        <v>1</v>
      </c>
      <c r="K56" s="1">
        <f t="shared" si="13"/>
        <v>0</v>
      </c>
      <c r="L56" s="1">
        <f t="shared" si="9"/>
        <v>1</v>
      </c>
      <c r="M56" s="1">
        <f t="shared" si="10"/>
        <v>0</v>
      </c>
      <c r="N56" s="1">
        <f t="shared" si="14"/>
        <v>0</v>
      </c>
      <c r="O56" s="1">
        <f t="shared" si="15"/>
        <v>1</v>
      </c>
      <c r="P56" s="1">
        <f t="shared" si="16"/>
        <v>0</v>
      </c>
      <c r="R56" s="1">
        <f t="shared" si="17"/>
        <v>-1</v>
      </c>
    </row>
    <row r="57" spans="1:18" x14ac:dyDescent="0.35">
      <c r="A57" s="1" t="s">
        <v>116</v>
      </c>
      <c r="B57" s="26">
        <v>234.42</v>
      </c>
      <c r="C57" s="26">
        <v>271.67</v>
      </c>
      <c r="D57" s="26">
        <v>273.08</v>
      </c>
      <c r="F57" s="1">
        <v>273</v>
      </c>
      <c r="G57" s="29">
        <f t="shared" si="11"/>
        <v>-0.14131868131868142</v>
      </c>
      <c r="H57" s="29">
        <f>C57*$B$72/F57-1</f>
        <v>-4.8717948717947879E-3</v>
      </c>
      <c r="J57" s="1">
        <f t="shared" si="12"/>
        <v>0</v>
      </c>
      <c r="K57" s="1">
        <f t="shared" si="13"/>
        <v>1</v>
      </c>
      <c r="L57" s="1">
        <f t="shared" si="9"/>
        <v>0</v>
      </c>
      <c r="M57" s="1">
        <f t="shared" si="10"/>
        <v>1</v>
      </c>
      <c r="N57" s="1">
        <f t="shared" si="14"/>
        <v>1</v>
      </c>
      <c r="O57" s="1">
        <f t="shared" si="15"/>
        <v>0</v>
      </c>
      <c r="P57" s="1">
        <f t="shared" si="16"/>
        <v>0</v>
      </c>
      <c r="R57" s="1">
        <f t="shared" si="17"/>
        <v>0</v>
      </c>
    </row>
    <row r="58" spans="1:18" x14ac:dyDescent="0.35">
      <c r="A58" s="1" t="s">
        <v>135</v>
      </c>
      <c r="B58" s="26">
        <v>345.66</v>
      </c>
      <c r="C58" s="26">
        <v>402.78</v>
      </c>
      <c r="D58" s="26">
        <v>400.2</v>
      </c>
      <c r="F58" s="1">
        <v>508</v>
      </c>
      <c r="G58" s="29">
        <f t="shared" si="11"/>
        <v>-0.3195669291338582</v>
      </c>
      <c r="H58" s="29">
        <f t="shared" si="8"/>
        <v>-0.2071259842519686</v>
      </c>
      <c r="J58" s="1">
        <f t="shared" si="12"/>
        <v>0</v>
      </c>
      <c r="K58" s="1">
        <f t="shared" si="13"/>
        <v>0</v>
      </c>
      <c r="L58" s="1">
        <f t="shared" si="9"/>
        <v>0</v>
      </c>
      <c r="M58" s="1">
        <f t="shared" si="10"/>
        <v>0</v>
      </c>
      <c r="N58" s="1">
        <f t="shared" si="14"/>
        <v>0</v>
      </c>
      <c r="O58" s="1">
        <f t="shared" si="15"/>
        <v>0</v>
      </c>
      <c r="P58" s="1">
        <f t="shared" si="16"/>
        <v>0</v>
      </c>
      <c r="R58" s="1">
        <f t="shared" si="17"/>
        <v>-1</v>
      </c>
    </row>
    <row r="59" spans="1:18" x14ac:dyDescent="0.35">
      <c r="A59" s="1" t="s">
        <v>138</v>
      </c>
      <c r="B59" s="26">
        <v>0</v>
      </c>
      <c r="C59" s="26">
        <v>606.88</v>
      </c>
      <c r="D59" s="26">
        <v>0</v>
      </c>
      <c r="F59" s="1">
        <v>210</v>
      </c>
      <c r="G59" s="29">
        <f t="shared" si="11"/>
        <v>-1</v>
      </c>
      <c r="H59" s="29">
        <f t="shared" si="8"/>
        <v>1.889904761904762</v>
      </c>
      <c r="J59" s="1">
        <f t="shared" si="12"/>
        <v>1</v>
      </c>
      <c r="K59" s="1">
        <f t="shared" si="13"/>
        <v>0</v>
      </c>
      <c r="L59" s="1">
        <f t="shared" si="9"/>
        <v>1</v>
      </c>
      <c r="M59" s="1">
        <f t="shared" si="10"/>
        <v>0</v>
      </c>
      <c r="N59" s="1">
        <f t="shared" si="14"/>
        <v>0</v>
      </c>
      <c r="O59" s="1">
        <f t="shared" si="15"/>
        <v>1</v>
      </c>
      <c r="P59" s="1">
        <f t="shared" si="16"/>
        <v>0</v>
      </c>
      <c r="R59" s="1">
        <f t="shared" si="17"/>
        <v>0</v>
      </c>
    </row>
    <row r="60" spans="1:18" x14ac:dyDescent="0.35">
      <c r="A60" s="1" t="s">
        <v>137</v>
      </c>
      <c r="B60" s="26">
        <v>0</v>
      </c>
      <c r="C60" s="26">
        <v>93.09</v>
      </c>
      <c r="D60" s="26">
        <v>0</v>
      </c>
      <c r="F60" s="1">
        <v>263</v>
      </c>
      <c r="G60" s="29">
        <f t="shared" si="11"/>
        <v>-1</v>
      </c>
      <c r="H60" s="29">
        <f t="shared" si="8"/>
        <v>-0.6460456273764259</v>
      </c>
      <c r="J60" s="1">
        <f t="shared" si="12"/>
        <v>0</v>
      </c>
      <c r="K60" s="1">
        <f t="shared" si="13"/>
        <v>0</v>
      </c>
      <c r="L60" s="1">
        <f t="shared" si="9"/>
        <v>0</v>
      </c>
      <c r="M60" s="1">
        <f t="shared" si="10"/>
        <v>0</v>
      </c>
      <c r="N60" s="1">
        <f t="shared" si="14"/>
        <v>0</v>
      </c>
      <c r="O60" s="1">
        <f t="shared" si="15"/>
        <v>0</v>
      </c>
      <c r="P60" s="1">
        <f t="shared" si="16"/>
        <v>0</v>
      </c>
      <c r="R60" s="1">
        <f t="shared" si="17"/>
        <v>-1</v>
      </c>
    </row>
    <row r="61" spans="1:18" x14ac:dyDescent="0.35">
      <c r="A61" s="1" t="s">
        <v>90</v>
      </c>
      <c r="B61" s="26">
        <v>0</v>
      </c>
      <c r="C61" s="26">
        <v>149.27000000000001</v>
      </c>
      <c r="D61" s="26">
        <v>0</v>
      </c>
      <c r="F61" s="1">
        <v>72</v>
      </c>
      <c r="G61" s="29">
        <f t="shared" si="11"/>
        <v>-1</v>
      </c>
      <c r="H61" s="29">
        <f t="shared" si="8"/>
        <v>1.0731944444444448</v>
      </c>
      <c r="J61" s="1">
        <f t="shared" si="12"/>
        <v>1</v>
      </c>
      <c r="K61" s="1">
        <f t="shared" si="13"/>
        <v>0</v>
      </c>
      <c r="L61" s="1">
        <f t="shared" si="9"/>
        <v>1</v>
      </c>
      <c r="M61" s="1">
        <f t="shared" si="10"/>
        <v>0</v>
      </c>
      <c r="N61" s="1">
        <f t="shared" si="14"/>
        <v>0</v>
      </c>
      <c r="O61" s="1">
        <f t="shared" si="15"/>
        <v>1</v>
      </c>
      <c r="P61" s="1">
        <f t="shared" si="16"/>
        <v>0</v>
      </c>
      <c r="R61" s="1">
        <f t="shared" si="17"/>
        <v>-1</v>
      </c>
    </row>
    <row r="62" spans="1:18" x14ac:dyDescent="0.35">
      <c r="A62" s="1" t="s">
        <v>140</v>
      </c>
      <c r="B62" s="26">
        <v>0</v>
      </c>
      <c r="C62" s="26">
        <v>103.54</v>
      </c>
      <c r="D62" s="26">
        <v>0</v>
      </c>
      <c r="F62" s="1">
        <v>78</v>
      </c>
      <c r="G62" s="29">
        <f t="shared" si="11"/>
        <v>-1</v>
      </c>
      <c r="H62" s="29">
        <f t="shared" si="8"/>
        <v>0.32743589743589752</v>
      </c>
      <c r="J62" s="1">
        <f t="shared" si="12"/>
        <v>1</v>
      </c>
      <c r="K62" s="1">
        <f t="shared" si="13"/>
        <v>0</v>
      </c>
      <c r="L62" s="1">
        <f t="shared" si="9"/>
        <v>1</v>
      </c>
      <c r="M62" s="1">
        <f t="shared" si="10"/>
        <v>0</v>
      </c>
      <c r="N62" s="1">
        <f t="shared" si="14"/>
        <v>0</v>
      </c>
      <c r="O62" s="1">
        <f t="shared" si="15"/>
        <v>1</v>
      </c>
      <c r="P62" s="1">
        <f t="shared" si="16"/>
        <v>0</v>
      </c>
      <c r="R62" s="1">
        <f t="shared" si="17"/>
        <v>-1</v>
      </c>
    </row>
    <row r="63" spans="1:18" x14ac:dyDescent="0.35">
      <c r="A63" s="1" t="s">
        <v>93</v>
      </c>
      <c r="B63" s="26">
        <v>141.16</v>
      </c>
      <c r="C63" s="26">
        <v>289.36</v>
      </c>
      <c r="D63" s="26">
        <v>47.3</v>
      </c>
      <c r="F63" s="1">
        <v>290</v>
      </c>
      <c r="G63" s="29">
        <f t="shared" si="11"/>
        <v>-0.51324137931034486</v>
      </c>
      <c r="H63" s="29">
        <f t="shared" si="8"/>
        <v>-2.2068965517241246E-3</v>
      </c>
      <c r="J63" s="1">
        <f t="shared" si="12"/>
        <v>0</v>
      </c>
      <c r="K63" s="1">
        <f t="shared" si="13"/>
        <v>0</v>
      </c>
      <c r="L63" s="1">
        <f t="shared" si="9"/>
        <v>0</v>
      </c>
      <c r="M63" s="1">
        <f t="shared" si="10"/>
        <v>0</v>
      </c>
      <c r="N63" s="1">
        <f t="shared" si="14"/>
        <v>0</v>
      </c>
      <c r="O63" s="1">
        <f t="shared" si="15"/>
        <v>0</v>
      </c>
      <c r="P63" s="1">
        <f t="shared" si="16"/>
        <v>0</v>
      </c>
      <c r="R63" s="1">
        <f t="shared" si="17"/>
        <v>-1</v>
      </c>
    </row>
    <row r="64" spans="1:18" x14ac:dyDescent="0.35">
      <c r="A64" s="1" t="s">
        <v>107</v>
      </c>
      <c r="B64" s="26">
        <v>446.62</v>
      </c>
      <c r="C64" s="26">
        <v>512.07000000000005</v>
      </c>
      <c r="D64" s="26">
        <v>514.4</v>
      </c>
      <c r="F64" s="1">
        <v>485</v>
      </c>
      <c r="G64" s="29">
        <f t="shared" si="11"/>
        <v>-7.9134020618556677E-2</v>
      </c>
      <c r="H64" s="29">
        <f t="shared" si="8"/>
        <v>5.5814432989690799E-2</v>
      </c>
      <c r="J64" s="1">
        <f t="shared" si="12"/>
        <v>1</v>
      </c>
      <c r="K64" s="1">
        <f t="shared" si="13"/>
        <v>1</v>
      </c>
      <c r="L64" s="1">
        <f t="shared" si="9"/>
        <v>1</v>
      </c>
      <c r="M64" s="1">
        <f t="shared" si="10"/>
        <v>1</v>
      </c>
      <c r="N64" s="1">
        <f t="shared" si="14"/>
        <v>1</v>
      </c>
      <c r="O64" s="1">
        <f t="shared" si="15"/>
        <v>1</v>
      </c>
      <c r="P64" s="1">
        <f t="shared" si="16"/>
        <v>1</v>
      </c>
      <c r="R64" s="1">
        <f t="shared" si="17"/>
        <v>1</v>
      </c>
    </row>
    <row r="65" spans="1:18" x14ac:dyDescent="0.35">
      <c r="A65" s="1" t="s">
        <v>101</v>
      </c>
      <c r="B65" s="26">
        <v>316.83</v>
      </c>
      <c r="C65" s="26">
        <v>422.94</v>
      </c>
      <c r="D65" s="26">
        <v>411.2</v>
      </c>
      <c r="F65" s="1">
        <v>411</v>
      </c>
      <c r="G65" s="29">
        <f t="shared" si="11"/>
        <v>-0.22912408759124092</v>
      </c>
      <c r="H65" s="29">
        <f t="shared" si="8"/>
        <v>2.9051094890510942E-2</v>
      </c>
      <c r="J65" s="1">
        <f t="shared" si="12"/>
        <v>1</v>
      </c>
      <c r="K65" s="1">
        <f t="shared" si="13"/>
        <v>1</v>
      </c>
      <c r="L65" s="1">
        <f t="shared" si="9"/>
        <v>1</v>
      </c>
      <c r="M65" s="1">
        <f t="shared" si="10"/>
        <v>1</v>
      </c>
      <c r="N65" s="1">
        <f t="shared" si="14"/>
        <v>1</v>
      </c>
      <c r="O65" s="1">
        <f t="shared" si="15"/>
        <v>1</v>
      </c>
      <c r="P65" s="1">
        <f t="shared" si="16"/>
        <v>1</v>
      </c>
      <c r="R65" s="1">
        <f t="shared" si="17"/>
        <v>1</v>
      </c>
    </row>
    <row r="66" spans="1:18" x14ac:dyDescent="0.35">
      <c r="A66" s="1" t="s">
        <v>31</v>
      </c>
      <c r="B66" s="26">
        <v>173.19</v>
      </c>
      <c r="C66" s="26">
        <v>318.10000000000002</v>
      </c>
      <c r="D66" s="26">
        <v>307.77999999999997</v>
      </c>
      <c r="F66" s="1">
        <v>200</v>
      </c>
      <c r="G66" s="29">
        <f t="shared" si="11"/>
        <v>-0.13405</v>
      </c>
      <c r="H66" s="29">
        <f t="shared" si="8"/>
        <v>0.59050000000000002</v>
      </c>
      <c r="J66" s="1">
        <f t="shared" si="12"/>
        <v>1</v>
      </c>
      <c r="K66" s="1">
        <f t="shared" si="13"/>
        <v>1</v>
      </c>
      <c r="L66" s="1">
        <f t="shared" si="9"/>
        <v>1</v>
      </c>
      <c r="M66" s="1">
        <f t="shared" si="10"/>
        <v>1</v>
      </c>
      <c r="N66" s="1">
        <f t="shared" si="14"/>
        <v>1</v>
      </c>
      <c r="O66" s="1">
        <f t="shared" si="15"/>
        <v>1</v>
      </c>
      <c r="P66" s="1">
        <f t="shared" si="16"/>
        <v>1</v>
      </c>
      <c r="R66" s="1">
        <f t="shared" si="17"/>
        <v>1</v>
      </c>
    </row>
    <row r="67" spans="1:18" x14ac:dyDescent="0.35">
      <c r="A67" s="1" t="s">
        <v>105</v>
      </c>
      <c r="B67" s="26">
        <v>137.13999999999999</v>
      </c>
      <c r="C67" s="26">
        <v>205.22</v>
      </c>
      <c r="D67" s="26">
        <v>140.4</v>
      </c>
      <c r="F67" s="1">
        <v>230</v>
      </c>
      <c r="G67" s="29">
        <f t="shared" si="11"/>
        <v>-0.40373913043478271</v>
      </c>
      <c r="H67" s="29">
        <f t="shared" si="8"/>
        <v>-0.10773913043478256</v>
      </c>
      <c r="J67" s="1">
        <f t="shared" si="12"/>
        <v>0</v>
      </c>
      <c r="K67" s="1">
        <f t="shared" si="13"/>
        <v>0</v>
      </c>
      <c r="L67" s="1">
        <f t="shared" si="9"/>
        <v>0</v>
      </c>
      <c r="M67" s="1">
        <f t="shared" si="10"/>
        <v>0</v>
      </c>
      <c r="N67" s="1">
        <f t="shared" si="14"/>
        <v>0</v>
      </c>
      <c r="O67" s="1">
        <f t="shared" si="15"/>
        <v>0</v>
      </c>
      <c r="P67" s="1">
        <f t="shared" si="16"/>
        <v>0</v>
      </c>
      <c r="R67" s="1">
        <f t="shared" si="17"/>
        <v>-1</v>
      </c>
    </row>
    <row r="68" spans="1:18" x14ac:dyDescent="0.35">
      <c r="A68" s="1" t="s">
        <v>139</v>
      </c>
      <c r="B68" s="26">
        <v>0</v>
      </c>
      <c r="C68" s="26">
        <v>129.77000000000001</v>
      </c>
      <c r="D68" s="26">
        <v>0</v>
      </c>
      <c r="F68" s="1">
        <v>85</v>
      </c>
      <c r="G68" s="29">
        <f t="shared" si="11"/>
        <v>-1</v>
      </c>
      <c r="H68" s="29">
        <f t="shared" si="8"/>
        <v>0.52670588235294136</v>
      </c>
      <c r="J68" s="1">
        <f t="shared" si="12"/>
        <v>1</v>
      </c>
      <c r="K68" s="1">
        <f t="shared" si="13"/>
        <v>0</v>
      </c>
      <c r="L68" s="1">
        <f t="shared" si="9"/>
        <v>1</v>
      </c>
      <c r="M68" s="1">
        <f t="shared" si="10"/>
        <v>0</v>
      </c>
      <c r="N68" s="1">
        <f t="shared" si="14"/>
        <v>0</v>
      </c>
      <c r="O68" s="1">
        <f t="shared" si="15"/>
        <v>1</v>
      </c>
      <c r="P68" s="1">
        <f t="shared" si="16"/>
        <v>0</v>
      </c>
      <c r="R68" s="1">
        <f t="shared" si="17"/>
        <v>-1</v>
      </c>
    </row>
    <row r="69" spans="1:18" x14ac:dyDescent="0.35">
      <c r="A69" s="1" t="s">
        <v>117</v>
      </c>
      <c r="B69" s="26">
        <v>0</v>
      </c>
      <c r="C69" s="26">
        <v>57.82</v>
      </c>
      <c r="D69" s="26">
        <v>0</v>
      </c>
      <c r="F69" s="1">
        <v>29</v>
      </c>
      <c r="G69" s="29">
        <f t="shared" si="11"/>
        <v>-1</v>
      </c>
      <c r="H69" s="29">
        <f t="shared" si="8"/>
        <v>0.99379310344827587</v>
      </c>
      <c r="J69" s="1">
        <f t="shared" si="12"/>
        <v>1</v>
      </c>
      <c r="K69" s="1">
        <f t="shared" si="13"/>
        <v>0</v>
      </c>
      <c r="L69" s="1">
        <f t="shared" si="9"/>
        <v>1</v>
      </c>
      <c r="M69" s="1">
        <f t="shared" si="10"/>
        <v>0</v>
      </c>
      <c r="N69" s="1">
        <f t="shared" si="14"/>
        <v>0</v>
      </c>
      <c r="O69" s="1">
        <f t="shared" si="15"/>
        <v>1</v>
      </c>
      <c r="P69" s="1">
        <f t="shared" si="16"/>
        <v>0</v>
      </c>
      <c r="R69" s="1">
        <f t="shared" si="17"/>
        <v>-1</v>
      </c>
    </row>
    <row r="70" spans="1:18" x14ac:dyDescent="0.35">
      <c r="A70" s="1" t="s">
        <v>136</v>
      </c>
      <c r="B70" s="26">
        <v>120.54</v>
      </c>
      <c r="C70" s="26">
        <v>155.46</v>
      </c>
      <c r="D70" s="26">
        <v>150.97999999999999</v>
      </c>
      <c r="F70" s="1">
        <v>160</v>
      </c>
      <c r="G70" s="29">
        <f t="shared" si="11"/>
        <v>-0.24662499999999998</v>
      </c>
      <c r="H70" s="29">
        <f t="shared" si="8"/>
        <v>-2.8374999999999928E-2</v>
      </c>
      <c r="J70" s="1">
        <f t="shared" si="12"/>
        <v>0</v>
      </c>
      <c r="K70" s="1">
        <f t="shared" si="13"/>
        <v>1</v>
      </c>
      <c r="L70" s="1">
        <f t="shared" si="9"/>
        <v>0</v>
      </c>
      <c r="M70" s="1">
        <f t="shared" si="10"/>
        <v>0</v>
      </c>
      <c r="N70" s="1">
        <f t="shared" si="14"/>
        <v>1</v>
      </c>
      <c r="O70" s="1">
        <f t="shared" si="15"/>
        <v>0</v>
      </c>
      <c r="P70" s="1">
        <f t="shared" si="16"/>
        <v>0</v>
      </c>
      <c r="R70" s="1">
        <f t="shared" si="17"/>
        <v>0</v>
      </c>
    </row>
    <row r="71" spans="1:18" x14ac:dyDescent="0.35">
      <c r="B71" s="1"/>
      <c r="F71" s="1" t="s">
        <v>159</v>
      </c>
      <c r="G71" s="42">
        <f>AVERAGE(G52:G70)</f>
        <v>-0.51459361400136705</v>
      </c>
      <c r="H71" s="42">
        <f>AVERAGE(H52:H70)</f>
        <v>0.24733059938195653</v>
      </c>
      <c r="N71" s="1">
        <f t="shared" si="14"/>
        <v>0</v>
      </c>
    </row>
    <row r="72" spans="1:18" x14ac:dyDescent="0.35">
      <c r="A72" s="1" t="s">
        <v>160</v>
      </c>
      <c r="B72" s="1">
        <v>1</v>
      </c>
    </row>
    <row r="74" spans="1:18" x14ac:dyDescent="0.35">
      <c r="A74" s="1" t="s">
        <v>166</v>
      </c>
    </row>
    <row r="75" spans="1:18" x14ac:dyDescent="0.35">
      <c r="A75" s="1" t="s">
        <v>95</v>
      </c>
      <c r="B75" s="1" t="s">
        <v>88</v>
      </c>
      <c r="C75" s="1" t="s">
        <v>102</v>
      </c>
      <c r="D75" s="1" t="s">
        <v>155</v>
      </c>
      <c r="F75" s="1" t="s">
        <v>156</v>
      </c>
      <c r="G75" s="1" t="s">
        <v>88</v>
      </c>
      <c r="H75" s="1" t="s">
        <v>102</v>
      </c>
      <c r="L75" s="1" t="s">
        <v>88</v>
      </c>
      <c r="M75" s="1" t="s">
        <v>159</v>
      </c>
      <c r="N75" s="1" t="s">
        <v>162</v>
      </c>
      <c r="O75" s="1" t="s">
        <v>163</v>
      </c>
      <c r="P75" s="1" t="s">
        <v>164</v>
      </c>
    </row>
    <row r="76" spans="1:18" x14ac:dyDescent="0.35">
      <c r="A76" s="1" t="s">
        <v>109</v>
      </c>
      <c r="B76" s="26">
        <v>48.04</v>
      </c>
      <c r="C76" s="26">
        <v>112.37</v>
      </c>
      <c r="D76" s="26">
        <v>58.5</v>
      </c>
      <c r="F76" s="1">
        <v>67</v>
      </c>
      <c r="G76" s="29">
        <f>B76/F76-1</f>
        <v>-0.28298507462686573</v>
      </c>
      <c r="H76" s="29">
        <f t="shared" ref="H76:H94" si="18">C76*$B$72/F76-1</f>
        <v>0.67716417910447757</v>
      </c>
      <c r="L76" s="1">
        <f>IF(F76&gt;B76,1,0)</f>
        <v>1</v>
      </c>
      <c r="M76" s="1">
        <f>IF(F76&gt;D76,1,0)</f>
        <v>1</v>
      </c>
      <c r="N76" s="1">
        <f>IF(G76&lt;-0.3,1,0)</f>
        <v>0</v>
      </c>
      <c r="O76" s="1">
        <f>IF(H76&lt;-G76*$B$97,1,0)</f>
        <v>0</v>
      </c>
      <c r="P76" s="1">
        <f>IF(N76+O76&gt;1,1,0)</f>
        <v>0</v>
      </c>
    </row>
    <row r="77" spans="1:18" x14ac:dyDescent="0.35">
      <c r="A77" s="1" t="s">
        <v>110</v>
      </c>
      <c r="B77" s="26">
        <v>147.01</v>
      </c>
      <c r="C77" s="26">
        <v>312.32</v>
      </c>
      <c r="D77" s="26">
        <v>165.98</v>
      </c>
      <c r="F77" s="1">
        <v>172</v>
      </c>
      <c r="G77" s="29">
        <f t="shared" ref="G77:G94" si="19">B77/F77-1</f>
        <v>-0.14529069767441871</v>
      </c>
      <c r="H77" s="29">
        <f t="shared" si="18"/>
        <v>0.81581395348837216</v>
      </c>
      <c r="L77" s="1">
        <f t="shared" ref="L77:L94" si="20">IF(F77&gt;B77,1,0)</f>
        <v>1</v>
      </c>
      <c r="M77" s="1">
        <f t="shared" ref="M77:M94" si="21">IF(F77&gt;D77,1,0)</f>
        <v>1</v>
      </c>
      <c r="N77" s="1">
        <f t="shared" ref="N77:N94" si="22">IF(G77&lt;-0.3,1,0)</f>
        <v>0</v>
      </c>
      <c r="O77" s="1">
        <f t="shared" ref="O77:O94" si="23">IF(H77&lt;-G77*$B$97,1,0)</f>
        <v>0</v>
      </c>
      <c r="P77" s="1">
        <f t="shared" ref="P77:P94" si="24">IF(N77+O77&gt;1,1,0)</f>
        <v>0</v>
      </c>
    </row>
    <row r="78" spans="1:18" x14ac:dyDescent="0.35">
      <c r="A78" s="1" t="s">
        <v>89</v>
      </c>
      <c r="B78" s="26">
        <v>319.86</v>
      </c>
      <c r="C78" s="26">
        <v>1047.0999999999999</v>
      </c>
      <c r="D78" s="26">
        <v>451.44</v>
      </c>
      <c r="F78" s="1">
        <v>900</v>
      </c>
      <c r="G78" s="29">
        <f t="shared" si="19"/>
        <v>-0.64460000000000006</v>
      </c>
      <c r="H78" s="29">
        <f t="shared" si="18"/>
        <v>0.16344444444444428</v>
      </c>
      <c r="L78" s="1">
        <f t="shared" si="20"/>
        <v>1</v>
      </c>
      <c r="M78" s="1">
        <f t="shared" si="21"/>
        <v>1</v>
      </c>
      <c r="N78" s="1">
        <f t="shared" si="22"/>
        <v>1</v>
      </c>
      <c r="O78" s="1">
        <f t="shared" si="23"/>
        <v>1</v>
      </c>
      <c r="P78" s="1">
        <f t="shared" si="24"/>
        <v>1</v>
      </c>
    </row>
    <row r="79" spans="1:18" x14ac:dyDescent="0.35">
      <c r="A79" s="1" t="s">
        <v>108</v>
      </c>
      <c r="B79" s="26">
        <v>155.71</v>
      </c>
      <c r="C79" s="26">
        <v>1027.58</v>
      </c>
      <c r="D79" s="26">
        <v>315.58</v>
      </c>
      <c r="F79" s="1">
        <v>373</v>
      </c>
      <c r="G79" s="29">
        <f t="shared" si="19"/>
        <v>-0.58254691689008042</v>
      </c>
      <c r="H79" s="29">
        <f t="shared" si="18"/>
        <v>1.7549061662198389</v>
      </c>
      <c r="L79" s="1">
        <f t="shared" si="20"/>
        <v>1</v>
      </c>
      <c r="M79" s="1">
        <f t="shared" si="21"/>
        <v>1</v>
      </c>
      <c r="N79" s="1">
        <f t="shared" si="22"/>
        <v>1</v>
      </c>
      <c r="O79" s="1">
        <f t="shared" si="23"/>
        <v>0</v>
      </c>
      <c r="P79" s="1">
        <f t="shared" si="24"/>
        <v>0</v>
      </c>
    </row>
    <row r="80" spans="1:18" x14ac:dyDescent="0.35">
      <c r="A80" s="1" t="s">
        <v>111</v>
      </c>
      <c r="B80" s="26">
        <v>3066.42</v>
      </c>
      <c r="C80" s="26">
        <v>7370.78</v>
      </c>
      <c r="D80" s="26">
        <v>2363.58</v>
      </c>
      <c r="F80" s="1">
        <v>4700</v>
      </c>
      <c r="G80" s="29">
        <f>B80/F80-1</f>
        <v>-0.34757021276595745</v>
      </c>
      <c r="H80" s="29">
        <f>C80*$B$72/F80-1</f>
        <v>0.56825106382978707</v>
      </c>
      <c r="L80" s="1">
        <f t="shared" si="20"/>
        <v>1</v>
      </c>
      <c r="M80" s="1">
        <f t="shared" si="21"/>
        <v>1</v>
      </c>
      <c r="N80" s="1">
        <f t="shared" si="22"/>
        <v>1</v>
      </c>
      <c r="O80" s="1">
        <f t="shared" si="23"/>
        <v>1</v>
      </c>
      <c r="P80" s="1">
        <f t="shared" si="24"/>
        <v>1</v>
      </c>
    </row>
    <row r="81" spans="1:16" x14ac:dyDescent="0.35">
      <c r="A81" s="1" t="s">
        <v>116</v>
      </c>
      <c r="B81" s="26">
        <v>213.73</v>
      </c>
      <c r="C81" s="26">
        <v>532.29999999999995</v>
      </c>
      <c r="D81" s="26">
        <v>273.08</v>
      </c>
      <c r="F81" s="1">
        <v>282</v>
      </c>
      <c r="G81" s="29">
        <f t="shared" si="19"/>
        <v>-0.24209219858156028</v>
      </c>
      <c r="H81" s="29">
        <f t="shared" si="18"/>
        <v>0.88758865248226937</v>
      </c>
      <c r="L81" s="1">
        <f t="shared" si="20"/>
        <v>1</v>
      </c>
      <c r="M81" s="1">
        <f t="shared" si="21"/>
        <v>1</v>
      </c>
      <c r="N81" s="1">
        <f t="shared" si="22"/>
        <v>0</v>
      </c>
      <c r="O81" s="1">
        <f t="shared" si="23"/>
        <v>0</v>
      </c>
      <c r="P81" s="1">
        <f t="shared" si="24"/>
        <v>0</v>
      </c>
    </row>
    <row r="82" spans="1:16" x14ac:dyDescent="0.35">
      <c r="A82" s="1" t="s">
        <v>135</v>
      </c>
      <c r="B82" s="26">
        <v>313.17</v>
      </c>
      <c r="C82" s="26">
        <v>805.54</v>
      </c>
      <c r="D82" s="26">
        <v>400.2</v>
      </c>
      <c r="F82" s="1">
        <v>508</v>
      </c>
      <c r="G82" s="29">
        <f t="shared" si="19"/>
        <v>-0.38352362204724411</v>
      </c>
      <c r="H82" s="29">
        <f t="shared" si="18"/>
        <v>0.58570866141732281</v>
      </c>
      <c r="L82" s="1">
        <f t="shared" si="20"/>
        <v>1</v>
      </c>
      <c r="M82" s="1">
        <f t="shared" si="21"/>
        <v>1</v>
      </c>
      <c r="N82" s="1">
        <f t="shared" si="22"/>
        <v>1</v>
      </c>
      <c r="O82" s="1">
        <f t="shared" si="23"/>
        <v>1</v>
      </c>
      <c r="P82" s="1">
        <f t="shared" si="24"/>
        <v>1</v>
      </c>
    </row>
    <row r="83" spans="1:16" x14ac:dyDescent="0.35">
      <c r="A83" s="1" t="s">
        <v>138</v>
      </c>
      <c r="B83" s="26">
        <v>0</v>
      </c>
      <c r="C83" s="26">
        <v>826.87</v>
      </c>
      <c r="D83" s="26">
        <v>0</v>
      </c>
      <c r="F83" s="1">
        <v>210</v>
      </c>
      <c r="G83" s="29">
        <f t="shared" si="19"/>
        <v>-1</v>
      </c>
      <c r="H83" s="29">
        <f t="shared" si="18"/>
        <v>2.9374761904761906</v>
      </c>
      <c r="L83" s="1">
        <f t="shared" si="20"/>
        <v>1</v>
      </c>
      <c r="M83" s="1">
        <f t="shared" si="21"/>
        <v>1</v>
      </c>
      <c r="N83" s="1">
        <f t="shared" si="22"/>
        <v>1</v>
      </c>
      <c r="O83" s="1">
        <f t="shared" si="23"/>
        <v>0</v>
      </c>
      <c r="P83" s="1">
        <f t="shared" si="24"/>
        <v>0</v>
      </c>
    </row>
    <row r="84" spans="1:16" x14ac:dyDescent="0.35">
      <c r="A84" s="1" t="s">
        <v>137</v>
      </c>
      <c r="B84" s="26">
        <v>0</v>
      </c>
      <c r="C84" s="26">
        <v>116.69</v>
      </c>
      <c r="D84" s="26">
        <v>0</v>
      </c>
      <c r="F84" s="1">
        <v>263</v>
      </c>
      <c r="G84" s="29">
        <f t="shared" si="19"/>
        <v>-1</v>
      </c>
      <c r="H84" s="29">
        <f t="shared" si="18"/>
        <v>-0.55631178707224338</v>
      </c>
      <c r="L84" s="1">
        <f t="shared" si="20"/>
        <v>1</v>
      </c>
      <c r="M84" s="1">
        <f t="shared" si="21"/>
        <v>1</v>
      </c>
      <c r="N84" s="1">
        <f t="shared" si="22"/>
        <v>1</v>
      </c>
      <c r="O84" s="1">
        <f t="shared" si="23"/>
        <v>1</v>
      </c>
      <c r="P84" s="1">
        <f t="shared" si="24"/>
        <v>1</v>
      </c>
    </row>
    <row r="85" spans="1:16" x14ac:dyDescent="0.35">
      <c r="A85" s="1" t="s">
        <v>90</v>
      </c>
      <c r="B85" s="26">
        <v>0</v>
      </c>
      <c r="C85" s="26">
        <v>190.49</v>
      </c>
      <c r="D85" s="26">
        <v>0</v>
      </c>
      <c r="F85" s="1">
        <v>72</v>
      </c>
      <c r="G85" s="29">
        <f t="shared" si="19"/>
        <v>-1</v>
      </c>
      <c r="H85" s="29">
        <f t="shared" si="18"/>
        <v>1.6456944444444446</v>
      </c>
      <c r="L85" s="1">
        <f t="shared" si="20"/>
        <v>1</v>
      </c>
      <c r="M85" s="1">
        <f t="shared" si="21"/>
        <v>1</v>
      </c>
      <c r="N85" s="1">
        <f t="shared" si="22"/>
        <v>1</v>
      </c>
      <c r="O85" s="1">
        <f t="shared" si="23"/>
        <v>1</v>
      </c>
      <c r="P85" s="1">
        <f t="shared" si="24"/>
        <v>1</v>
      </c>
    </row>
    <row r="86" spans="1:16" x14ac:dyDescent="0.35">
      <c r="A86" s="1" t="s">
        <v>140</v>
      </c>
      <c r="B86" s="26">
        <v>0</v>
      </c>
      <c r="C86" s="26">
        <v>122.96</v>
      </c>
      <c r="D86" s="26">
        <v>0</v>
      </c>
      <c r="F86" s="1">
        <v>78</v>
      </c>
      <c r="G86" s="29">
        <f t="shared" si="19"/>
        <v>-1</v>
      </c>
      <c r="H86" s="29">
        <f t="shared" si="18"/>
        <v>0.57641025641025623</v>
      </c>
      <c r="L86" s="1">
        <f t="shared" si="20"/>
        <v>1</v>
      </c>
      <c r="M86" s="1">
        <f t="shared" si="21"/>
        <v>1</v>
      </c>
      <c r="N86" s="1">
        <f t="shared" si="22"/>
        <v>1</v>
      </c>
      <c r="O86" s="1">
        <f t="shared" si="23"/>
        <v>1</v>
      </c>
      <c r="P86" s="1">
        <f t="shared" si="24"/>
        <v>1</v>
      </c>
    </row>
    <row r="87" spans="1:16" x14ac:dyDescent="0.35">
      <c r="A87" s="1" t="s">
        <v>93</v>
      </c>
      <c r="B87" s="26">
        <v>160.43</v>
      </c>
      <c r="C87" s="26">
        <v>417.54</v>
      </c>
      <c r="D87" s="26">
        <v>47.3</v>
      </c>
      <c r="F87" s="1">
        <v>290</v>
      </c>
      <c r="G87" s="29">
        <f t="shared" si="19"/>
        <v>-0.44679310344827583</v>
      </c>
      <c r="H87" s="29">
        <f t="shared" si="18"/>
        <v>0.43979310344827582</v>
      </c>
      <c r="L87" s="1">
        <f t="shared" si="20"/>
        <v>1</v>
      </c>
      <c r="M87" s="1">
        <f t="shared" si="21"/>
        <v>1</v>
      </c>
      <c r="N87" s="1">
        <f t="shared" si="22"/>
        <v>1</v>
      </c>
      <c r="O87" s="1">
        <f t="shared" si="23"/>
        <v>1</v>
      </c>
      <c r="P87" s="1">
        <f t="shared" si="24"/>
        <v>1</v>
      </c>
    </row>
    <row r="88" spans="1:16" x14ac:dyDescent="0.35">
      <c r="A88" s="1" t="s">
        <v>107</v>
      </c>
      <c r="B88" s="26">
        <v>402.93</v>
      </c>
      <c r="C88" s="26">
        <v>1001.51</v>
      </c>
      <c r="D88" s="26">
        <v>514.4</v>
      </c>
      <c r="F88" s="1">
        <v>485</v>
      </c>
      <c r="G88" s="29">
        <f t="shared" si="19"/>
        <v>-0.16921649484536083</v>
      </c>
      <c r="H88" s="29">
        <f>C88*$B$72/F88-1</f>
        <v>1.0649690721649483</v>
      </c>
      <c r="L88" s="1">
        <f t="shared" si="20"/>
        <v>1</v>
      </c>
      <c r="M88" s="1">
        <f t="shared" si="21"/>
        <v>0</v>
      </c>
      <c r="N88" s="1">
        <f t="shared" si="22"/>
        <v>0</v>
      </c>
      <c r="O88" s="1">
        <f t="shared" si="23"/>
        <v>0</v>
      </c>
      <c r="P88" s="1">
        <f t="shared" si="24"/>
        <v>0</v>
      </c>
    </row>
    <row r="89" spans="1:16" x14ac:dyDescent="0.35">
      <c r="A89" s="1" t="s">
        <v>101</v>
      </c>
      <c r="B89" s="26">
        <v>278.45</v>
      </c>
      <c r="C89" s="26">
        <v>902.24</v>
      </c>
      <c r="D89" s="26">
        <v>411.2</v>
      </c>
      <c r="F89" s="1">
        <v>406</v>
      </c>
      <c r="G89" s="29">
        <f t="shared" si="19"/>
        <v>-0.31416256157635469</v>
      </c>
      <c r="H89" s="29">
        <f t="shared" si="18"/>
        <v>1.2222660098522167</v>
      </c>
      <c r="L89" s="1">
        <f>IF(F89&gt;B89,1,0)</f>
        <v>1</v>
      </c>
      <c r="M89" s="1">
        <f t="shared" si="21"/>
        <v>0</v>
      </c>
      <c r="N89" s="1">
        <f t="shared" si="22"/>
        <v>1</v>
      </c>
      <c r="O89" s="1">
        <f t="shared" si="23"/>
        <v>0</v>
      </c>
      <c r="P89" s="1">
        <f t="shared" si="24"/>
        <v>0</v>
      </c>
    </row>
    <row r="90" spans="1:16" x14ac:dyDescent="0.35">
      <c r="A90" s="1" t="s">
        <v>31</v>
      </c>
      <c r="B90" s="26">
        <v>160.97999999999999</v>
      </c>
      <c r="C90" s="26">
        <v>772.25</v>
      </c>
      <c r="D90" s="26">
        <v>307.77999999999997</v>
      </c>
      <c r="F90" s="1">
        <v>200</v>
      </c>
      <c r="G90" s="29">
        <f t="shared" si="19"/>
        <v>-0.19510000000000005</v>
      </c>
      <c r="H90" s="29">
        <f t="shared" si="18"/>
        <v>2.8612500000000001</v>
      </c>
      <c r="L90" s="1">
        <f>IF(F90&gt;B90,1,0)</f>
        <v>1</v>
      </c>
      <c r="M90" s="1">
        <f t="shared" si="21"/>
        <v>0</v>
      </c>
      <c r="N90" s="1">
        <f t="shared" si="22"/>
        <v>0</v>
      </c>
      <c r="O90" s="1">
        <f t="shared" si="23"/>
        <v>0</v>
      </c>
      <c r="P90" s="1">
        <f t="shared" si="24"/>
        <v>0</v>
      </c>
    </row>
    <row r="91" spans="1:16" x14ac:dyDescent="0.35">
      <c r="A91" s="1" t="s">
        <v>105</v>
      </c>
      <c r="B91" s="26">
        <v>125.48</v>
      </c>
      <c r="C91" s="26">
        <v>369.28</v>
      </c>
      <c r="D91" s="26">
        <v>140.4</v>
      </c>
      <c r="F91" s="1">
        <v>230</v>
      </c>
      <c r="G91" s="29">
        <f t="shared" si="19"/>
        <v>-0.45443478260869563</v>
      </c>
      <c r="H91" s="29">
        <f t="shared" si="18"/>
        <v>0.6055652173913042</v>
      </c>
      <c r="L91" s="1">
        <f t="shared" si="20"/>
        <v>1</v>
      </c>
      <c r="M91" s="1">
        <f t="shared" si="21"/>
        <v>1</v>
      </c>
      <c r="N91" s="1">
        <f t="shared" si="22"/>
        <v>1</v>
      </c>
      <c r="O91" s="1">
        <f t="shared" si="23"/>
        <v>1</v>
      </c>
      <c r="P91" s="1">
        <f t="shared" si="24"/>
        <v>1</v>
      </c>
    </row>
    <row r="92" spans="1:16" x14ac:dyDescent="0.35">
      <c r="A92" s="1" t="s">
        <v>139</v>
      </c>
      <c r="B92" s="26">
        <v>0</v>
      </c>
      <c r="C92" s="26">
        <v>157.34</v>
      </c>
      <c r="D92" s="26">
        <v>0</v>
      </c>
      <c r="F92" s="1">
        <v>85</v>
      </c>
      <c r="G92" s="29">
        <f t="shared" si="19"/>
        <v>-1</v>
      </c>
      <c r="H92" s="29">
        <f t="shared" si="18"/>
        <v>0.85105882352941187</v>
      </c>
      <c r="L92" s="1">
        <f t="shared" si="20"/>
        <v>1</v>
      </c>
      <c r="M92" s="1">
        <f t="shared" si="21"/>
        <v>1</v>
      </c>
      <c r="N92" s="1">
        <f t="shared" si="22"/>
        <v>1</v>
      </c>
      <c r="O92" s="1">
        <f t="shared" si="23"/>
        <v>1</v>
      </c>
      <c r="P92" s="1">
        <f t="shared" si="24"/>
        <v>1</v>
      </c>
    </row>
    <row r="93" spans="1:16" x14ac:dyDescent="0.35">
      <c r="A93" s="1" t="s">
        <v>117</v>
      </c>
      <c r="B93" s="26">
        <v>0</v>
      </c>
      <c r="C93" s="26">
        <v>85.37</v>
      </c>
      <c r="D93" s="26">
        <v>0</v>
      </c>
      <c r="F93" s="1">
        <v>29</v>
      </c>
      <c r="G93" s="29">
        <f t="shared" si="19"/>
        <v>-1</v>
      </c>
      <c r="H93" s="29">
        <f t="shared" si="18"/>
        <v>1.943793103448276</v>
      </c>
      <c r="L93" s="1">
        <f t="shared" si="20"/>
        <v>1</v>
      </c>
      <c r="M93" s="1">
        <f t="shared" si="21"/>
        <v>1</v>
      </c>
      <c r="N93" s="1">
        <f t="shared" si="22"/>
        <v>1</v>
      </c>
      <c r="O93" s="1">
        <f t="shared" si="23"/>
        <v>1</v>
      </c>
      <c r="P93" s="1">
        <f t="shared" si="24"/>
        <v>1</v>
      </c>
    </row>
    <row r="94" spans="1:16" x14ac:dyDescent="0.35">
      <c r="A94" s="1" t="s">
        <v>136</v>
      </c>
      <c r="B94" s="26">
        <v>109.13</v>
      </c>
      <c r="C94" s="26">
        <v>315.82</v>
      </c>
      <c r="D94" s="26">
        <v>150.97999999999999</v>
      </c>
      <c r="F94" s="1">
        <v>162</v>
      </c>
      <c r="G94" s="29">
        <f t="shared" si="19"/>
        <v>-0.32635802469135811</v>
      </c>
      <c r="H94" s="29">
        <f t="shared" si="18"/>
        <v>0.94950617283950622</v>
      </c>
      <c r="L94" s="1">
        <f t="shared" si="20"/>
        <v>1</v>
      </c>
      <c r="M94" s="1">
        <f t="shared" si="21"/>
        <v>1</v>
      </c>
      <c r="N94" s="1">
        <f t="shared" si="22"/>
        <v>1</v>
      </c>
      <c r="O94" s="1">
        <f t="shared" si="23"/>
        <v>0</v>
      </c>
      <c r="P94" s="1">
        <f t="shared" si="24"/>
        <v>0</v>
      </c>
    </row>
    <row r="95" spans="1:16" x14ac:dyDescent="0.35">
      <c r="F95" s="1" t="s">
        <v>159</v>
      </c>
      <c r="G95" s="42">
        <f>AVERAGE(G76:G94)</f>
        <v>-0.55445650998716689</v>
      </c>
      <c r="H95" s="42">
        <f>AVERAGE(H76:H94)</f>
        <v>1.0523340909431103</v>
      </c>
    </row>
    <row r="97" spans="1:2" x14ac:dyDescent="0.35">
      <c r="A97" s="1" t="s">
        <v>169</v>
      </c>
      <c r="B97" s="1">
        <v>2</v>
      </c>
    </row>
  </sheetData>
  <conditionalFormatting sqref="B28:D47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{FE3F90B9-64D3-47F6-9359-F4E73CB1285F}</x14:id>
        </ext>
      </extLst>
    </cfRule>
  </conditionalFormatting>
  <conditionalFormatting sqref="F28:F47"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{15BED3F0-7E2C-4E91-85B7-B4ABA89E8185}</x14:id>
        </ext>
      </extLst>
    </cfRule>
  </conditionalFormatting>
  <conditionalFormatting sqref="G52:H70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76:H94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52:J70">
    <cfRule type="dataBar" priority="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{FB3CD18B-C055-43E4-9C32-324CCDE26A5E}</x14:id>
        </ext>
      </extLst>
    </cfRule>
  </conditionalFormatting>
  <conditionalFormatting sqref="J76:J94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{1E6B3AB8-63C0-4589-AF20-6C2E37139799}</x14:id>
        </ext>
      </extLst>
    </cfRule>
  </conditionalFormatting>
  <conditionalFormatting sqref="K52:K70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{623E6252-8134-47B2-A488-FE0231FE9BF3}</x14:id>
        </ext>
      </extLst>
    </cfRule>
  </conditionalFormatting>
  <conditionalFormatting sqref="K76:K94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{8A287EF8-D50D-4A8C-BC7E-00EF494269F7}</x14:id>
        </ext>
      </extLst>
    </cfRule>
  </conditionalFormatting>
  <conditionalFormatting sqref="L51:M51">
    <cfRule type="colorScale" priority="17">
      <colorScale>
        <cfvo type="min"/>
        <cfvo type="max"/>
        <color rgb="FFFCFCFF"/>
        <color rgb="FF63BE7B"/>
      </colorScale>
    </cfRule>
  </conditionalFormatting>
  <conditionalFormatting sqref="L52:M70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{C44D0188-CB76-415F-8BBC-69BACF4D4767}</x14:id>
        </ext>
      </extLst>
    </cfRule>
  </conditionalFormatting>
  <conditionalFormatting sqref="L75:M75">
    <cfRule type="colorScale" priority="8">
      <colorScale>
        <cfvo type="min"/>
        <cfvo type="max"/>
        <color rgb="FFFCFCFF"/>
        <color rgb="FF63BE7B"/>
      </colorScale>
    </cfRule>
  </conditionalFormatting>
  <conditionalFormatting sqref="L76:M9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{629EB9DB-A330-4267-BD10-1E9AD7D728D8}</x14:id>
        </ext>
      </extLst>
    </cfRule>
  </conditionalFormatting>
  <conditionalFormatting sqref="N52:O70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{42299D32-1484-4187-94F2-F64AAA1FB883}</x14:id>
        </ext>
      </extLst>
    </cfRule>
  </conditionalFormatting>
  <conditionalFormatting sqref="N76:O94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{B2BD9386-9221-49BD-8271-6071569E3C8D}</x14:id>
        </ext>
      </extLst>
    </cfRule>
  </conditionalFormatting>
  <conditionalFormatting sqref="N52:P70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{23160123-4A11-41F2-A2AB-C66D18C650C4}</x14:id>
        </ext>
      </extLst>
    </cfRule>
  </conditionalFormatting>
  <conditionalFormatting sqref="N76:P94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{5B940A58-0D7F-4955-8F23-79EE9DCF5083}</x14:id>
        </ext>
      </extLst>
    </cfRule>
  </conditionalFormatting>
  <conditionalFormatting sqref="R52:R70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{91F792FE-7CE7-435B-87AF-BA285A4C8143}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3F90B9-64D3-47F6-9359-F4E73CB128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B28:D47</xm:sqref>
        </x14:conditionalFormatting>
        <x14:conditionalFormatting xmlns:xm="http://schemas.microsoft.com/office/excel/2006/main">
          <x14:cfRule type="dataBar" id="{15BED3F0-7E2C-4E91-85B7-B4ABA89E818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F28:F47</xm:sqref>
        </x14:conditionalFormatting>
        <x14:conditionalFormatting xmlns:xm="http://schemas.microsoft.com/office/excel/2006/main">
          <x14:cfRule type="dataBar" id="{FB3CD18B-C055-43E4-9C32-324CCDE26A5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J52:J70</xm:sqref>
        </x14:conditionalFormatting>
        <x14:conditionalFormatting xmlns:xm="http://schemas.microsoft.com/office/excel/2006/main">
          <x14:cfRule type="dataBar" id="{1E6B3AB8-63C0-4589-AF20-6C2E3713979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J76:J94</xm:sqref>
        </x14:conditionalFormatting>
        <x14:conditionalFormatting xmlns:xm="http://schemas.microsoft.com/office/excel/2006/main">
          <x14:cfRule type="dataBar" id="{623E6252-8134-47B2-A488-FE0231FE9BF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K52:K70</xm:sqref>
        </x14:conditionalFormatting>
        <x14:conditionalFormatting xmlns:xm="http://schemas.microsoft.com/office/excel/2006/main">
          <x14:cfRule type="dataBar" id="{8A287EF8-D50D-4A8C-BC7E-00EF494269F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K76:K94</xm:sqref>
        </x14:conditionalFormatting>
        <x14:conditionalFormatting xmlns:xm="http://schemas.microsoft.com/office/excel/2006/main">
          <x14:cfRule type="dataBar" id="{C44D0188-CB76-415F-8BBC-69BACF4D47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L52:M70</xm:sqref>
        </x14:conditionalFormatting>
        <x14:conditionalFormatting xmlns:xm="http://schemas.microsoft.com/office/excel/2006/main">
          <x14:cfRule type="dataBar" id="{629EB9DB-A330-4267-BD10-1E9AD7D728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L76:M94</xm:sqref>
        </x14:conditionalFormatting>
        <x14:conditionalFormatting xmlns:xm="http://schemas.microsoft.com/office/excel/2006/main">
          <x14:cfRule type="dataBar" id="{42299D32-1484-4187-94F2-F64AAA1FB88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N52:O70</xm:sqref>
        </x14:conditionalFormatting>
        <x14:conditionalFormatting xmlns:xm="http://schemas.microsoft.com/office/excel/2006/main">
          <x14:cfRule type="dataBar" id="{B2BD9386-9221-49BD-8271-6071569E3C8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N76:O94</xm:sqref>
        </x14:conditionalFormatting>
        <x14:conditionalFormatting xmlns:xm="http://schemas.microsoft.com/office/excel/2006/main">
          <x14:cfRule type="dataBar" id="{23160123-4A11-41F2-A2AB-C66D18C650C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N52:P70</xm:sqref>
        </x14:conditionalFormatting>
        <x14:conditionalFormatting xmlns:xm="http://schemas.microsoft.com/office/excel/2006/main">
          <x14:cfRule type="dataBar" id="{5B940A58-0D7F-4955-8F23-79EE9DCF508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N76:P94</xm:sqref>
        </x14:conditionalFormatting>
        <x14:conditionalFormatting xmlns:xm="http://schemas.microsoft.com/office/excel/2006/main">
          <x14:cfRule type="dataBar" id="{91F792FE-7CE7-435B-87AF-BA285A4C8143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R52:R70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CEB0-A6D2-435E-BD2A-D1707622B993}">
  <dimension ref="A1:K55"/>
  <sheetViews>
    <sheetView topLeftCell="A28" workbookViewId="0">
      <selection activeCell="D59" sqref="D59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109</v>
      </c>
      <c r="I1" s="1" t="s">
        <v>118</v>
      </c>
      <c r="J1" s="1" t="str">
        <f>B1</f>
        <v>KO</v>
      </c>
      <c r="K1" s="1" t="s">
        <v>109</v>
      </c>
    </row>
    <row r="2" spans="1:11" x14ac:dyDescent="0.35">
      <c r="A2" s="8" t="s">
        <v>84</v>
      </c>
      <c r="B2" s="2">
        <v>67</v>
      </c>
      <c r="I2" s="1" t="s">
        <v>119</v>
      </c>
      <c r="J2" s="1">
        <f>B2</f>
        <v>67</v>
      </c>
      <c r="K2" s="1">
        <v>67</v>
      </c>
    </row>
    <row r="3" spans="1:11" x14ac:dyDescent="0.35">
      <c r="I3" s="1" t="s">
        <v>120</v>
      </c>
      <c r="J3" s="1">
        <f>B18</f>
        <v>2.5</v>
      </c>
      <c r="K3" s="1">
        <v>2.5</v>
      </c>
    </row>
    <row r="4" spans="1:11" x14ac:dyDescent="0.35">
      <c r="A4" s="8" t="s">
        <v>67</v>
      </c>
      <c r="I4" s="1" t="s">
        <v>121</v>
      </c>
      <c r="J4" s="1">
        <f t="shared" ref="J4:J9" si="0">B19</f>
        <v>2.8</v>
      </c>
      <c r="K4" s="1">
        <v>2.8</v>
      </c>
    </row>
    <row r="5" spans="1:11" x14ac:dyDescent="0.35">
      <c r="B5" s="1" t="s">
        <v>56</v>
      </c>
      <c r="I5" s="1" t="s">
        <v>122</v>
      </c>
      <c r="J5" s="1">
        <f t="shared" si="0"/>
        <v>2.82</v>
      </c>
      <c r="K5" s="1">
        <v>2.82</v>
      </c>
    </row>
    <row r="6" spans="1:11" x14ac:dyDescent="0.35">
      <c r="A6" s="9" t="s">
        <v>41</v>
      </c>
      <c r="B6" s="11">
        <v>10714</v>
      </c>
      <c r="C6" s="1" t="s">
        <v>40</v>
      </c>
      <c r="D6" s="6"/>
      <c r="I6" s="1" t="s">
        <v>123</v>
      </c>
      <c r="J6" s="1">
        <f t="shared" si="0"/>
        <v>2.86</v>
      </c>
      <c r="K6" s="1">
        <v>2.86</v>
      </c>
    </row>
    <row r="7" spans="1:11" x14ac:dyDescent="0.35">
      <c r="A7" s="9" t="s">
        <v>37</v>
      </c>
      <c r="B7" s="11">
        <v>13083</v>
      </c>
      <c r="C7" s="1" t="s">
        <v>40</v>
      </c>
      <c r="D7" s="6"/>
      <c r="I7" s="1" t="s">
        <v>124</v>
      </c>
      <c r="J7" s="1">
        <f t="shared" si="0"/>
        <v>2.93</v>
      </c>
      <c r="K7" s="1">
        <v>2.93</v>
      </c>
    </row>
    <row r="8" spans="1:11" x14ac:dyDescent="0.35">
      <c r="A8" s="9" t="s">
        <v>42</v>
      </c>
      <c r="B8" s="11">
        <v>27234</v>
      </c>
      <c r="C8" s="1" t="s">
        <v>40</v>
      </c>
      <c r="D8" s="6"/>
      <c r="I8" s="1" t="s">
        <v>125</v>
      </c>
      <c r="J8" s="1">
        <f t="shared" si="0"/>
        <v>3</v>
      </c>
      <c r="K8" s="1">
        <v>3</v>
      </c>
    </row>
    <row r="9" spans="1:11" x14ac:dyDescent="0.35">
      <c r="A9" s="9" t="s">
        <v>43</v>
      </c>
      <c r="B9" s="11">
        <v>45754</v>
      </c>
      <c r="C9" s="1" t="s">
        <v>40</v>
      </c>
      <c r="D9" s="6"/>
      <c r="I9" s="1" t="s">
        <v>126</v>
      </c>
      <c r="J9" s="1">
        <f t="shared" si="0"/>
        <v>3.12</v>
      </c>
      <c r="K9" s="1">
        <v>3.12</v>
      </c>
    </row>
    <row r="10" spans="1:11" x14ac:dyDescent="0.35">
      <c r="A10" s="9" t="s">
        <v>44</v>
      </c>
      <c r="B10" s="12">
        <v>4339</v>
      </c>
      <c r="C10" s="1" t="s">
        <v>40</v>
      </c>
      <c r="D10" s="6"/>
      <c r="I10" s="1" t="s">
        <v>127</v>
      </c>
      <c r="J10" s="26">
        <f>B44*100</f>
        <v>7.6001372778803411</v>
      </c>
      <c r="K10" s="1">
        <v>7.6001372778803411</v>
      </c>
    </row>
    <row r="11" spans="1:11" x14ac:dyDescent="0.35">
      <c r="A11" s="9" t="s">
        <v>38</v>
      </c>
      <c r="B11" s="11">
        <v>97703</v>
      </c>
      <c r="C11" s="1" t="s">
        <v>40</v>
      </c>
      <c r="D11" s="6"/>
      <c r="I11" s="1" t="s">
        <v>128</v>
      </c>
      <c r="J11" s="26">
        <f>100+B45*100</f>
        <v>130</v>
      </c>
      <c r="K11" s="1">
        <v>130</v>
      </c>
    </row>
    <row r="12" spans="1:11" x14ac:dyDescent="0.35">
      <c r="A12" s="9" t="s">
        <v>39</v>
      </c>
      <c r="B12" s="11">
        <v>25941</v>
      </c>
      <c r="C12" s="1" t="s">
        <v>40</v>
      </c>
      <c r="D12" s="6"/>
      <c r="I12" s="1" t="s">
        <v>129</v>
      </c>
      <c r="J12" s="1">
        <f>130+IF(B39&gt;1,-20)+IF(B39&lt;-1,20)</f>
        <v>110</v>
      </c>
      <c r="K12" s="1">
        <v>110</v>
      </c>
    </row>
    <row r="13" spans="1:11" x14ac:dyDescent="0.35">
      <c r="A13" s="9" t="s">
        <v>45</v>
      </c>
      <c r="B13" s="11">
        <v>70223</v>
      </c>
      <c r="C13" s="1" t="s">
        <v>40</v>
      </c>
      <c r="D13" s="6"/>
      <c r="I13" s="1" t="s">
        <v>130</v>
      </c>
      <c r="J13" s="1">
        <f>MAX(J11:J12)*2</f>
        <v>260</v>
      </c>
      <c r="K13" s="1">
        <v>260</v>
      </c>
    </row>
    <row r="14" spans="1:11" x14ac:dyDescent="0.35">
      <c r="A14" s="8" t="s">
        <v>46</v>
      </c>
      <c r="B14" s="2">
        <v>1.94</v>
      </c>
      <c r="C14" s="1" t="s">
        <v>47</v>
      </c>
      <c r="D14" s="15"/>
      <c r="I14" s="1" t="s">
        <v>131</v>
      </c>
      <c r="J14" s="26">
        <f>B14/B2*100</f>
        <v>2.8955223880597014</v>
      </c>
      <c r="K14" s="1">
        <v>2.8955223880597014</v>
      </c>
    </row>
    <row r="15" spans="1:11" x14ac:dyDescent="0.35">
      <c r="I15" s="1" t="s">
        <v>132</v>
      </c>
      <c r="J15" s="26">
        <f>B46*100</f>
        <v>6</v>
      </c>
      <c r="K15" s="1">
        <v>6</v>
      </c>
    </row>
    <row r="16" spans="1:11" x14ac:dyDescent="0.35">
      <c r="A16" s="1" t="s">
        <v>66</v>
      </c>
      <c r="I16" s="1" t="s">
        <v>133</v>
      </c>
      <c r="J16" s="26">
        <f>B45*100</f>
        <v>30</v>
      </c>
      <c r="K16" s="1">
        <v>30</v>
      </c>
    </row>
    <row r="17" spans="1:11" x14ac:dyDescent="0.35">
      <c r="B17" s="1" t="s">
        <v>55</v>
      </c>
      <c r="D17" s="1" t="s">
        <v>43</v>
      </c>
      <c r="F17" s="44"/>
      <c r="I17" s="1" t="s">
        <v>134</v>
      </c>
      <c r="J17" s="26">
        <f>B48</f>
        <v>18.933333333333334</v>
      </c>
      <c r="K17" s="1">
        <v>18.933333333333334</v>
      </c>
    </row>
    <row r="18" spans="1:11" x14ac:dyDescent="0.35">
      <c r="A18" s="8" t="s">
        <v>48</v>
      </c>
      <c r="B18" s="7">
        <v>2.5</v>
      </c>
      <c r="C18" s="1" t="s">
        <v>47</v>
      </c>
      <c r="D18" s="14">
        <v>42.5</v>
      </c>
      <c r="E18" s="1" t="s">
        <v>91</v>
      </c>
      <c r="F18" s="3"/>
      <c r="H18" s="6"/>
      <c r="I18" s="1" t="s">
        <v>141</v>
      </c>
      <c r="J18" s="26">
        <f>B52</f>
        <v>48.980074803051387</v>
      </c>
    </row>
    <row r="19" spans="1:11" x14ac:dyDescent="0.35">
      <c r="A19" s="8" t="s">
        <v>49</v>
      </c>
      <c r="B19" s="7">
        <v>2.8</v>
      </c>
      <c r="C19" s="1" t="s">
        <v>47</v>
      </c>
      <c r="D19" s="14">
        <v>45.04</v>
      </c>
      <c r="E19" s="1" t="s">
        <v>91</v>
      </c>
      <c r="F19" s="43"/>
      <c r="H19" s="6"/>
    </row>
    <row r="20" spans="1:11" x14ac:dyDescent="0.35">
      <c r="A20" s="8" t="s">
        <v>53</v>
      </c>
      <c r="B20" s="7">
        <v>2.82</v>
      </c>
      <c r="C20" s="1" t="s">
        <v>47</v>
      </c>
      <c r="D20" s="14">
        <v>45.7</v>
      </c>
      <c r="E20" s="1" t="s">
        <v>91</v>
      </c>
      <c r="F20" s="43"/>
      <c r="H20" s="6"/>
    </row>
    <row r="21" spans="1:11" x14ac:dyDescent="0.35">
      <c r="A21" s="8" t="s">
        <v>54</v>
      </c>
      <c r="B21" s="7">
        <v>2.86</v>
      </c>
      <c r="C21" s="1" t="s">
        <v>47</v>
      </c>
      <c r="D21" s="14">
        <v>46.28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2.93</v>
      </c>
      <c r="C22" s="1" t="s">
        <v>47</v>
      </c>
      <c r="D22" s="14">
        <v>46.86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3</v>
      </c>
      <c r="C23" s="1" t="s">
        <v>47</v>
      </c>
      <c r="D23" s="14">
        <v>47.93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3.12</v>
      </c>
      <c r="C24" s="1" t="s">
        <v>47</v>
      </c>
      <c r="D24" s="14">
        <v>48.94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0.1</v>
      </c>
    </row>
    <row r="29" spans="1:11" x14ac:dyDescent="0.35">
      <c r="A29" s="8" t="s">
        <v>58</v>
      </c>
      <c r="B29" s="5">
        <v>0.06</v>
      </c>
    </row>
    <row r="30" spans="1:11" x14ac:dyDescent="0.35">
      <c r="A30" s="8" t="s">
        <v>59</v>
      </c>
      <c r="B30" s="5">
        <v>0.14000000000000001</v>
      </c>
    </row>
    <row r="31" spans="1:11" x14ac:dyDescent="0.35">
      <c r="A31" s="8" t="s">
        <v>94</v>
      </c>
      <c r="B31" s="5">
        <v>0.05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0.41301414748853166</v>
      </c>
      <c r="C35" s="1" t="s">
        <v>72</v>
      </c>
    </row>
    <row r="36" spans="1:3" x14ac:dyDescent="0.35">
      <c r="A36" s="8" t="s">
        <v>70</v>
      </c>
      <c r="B36" s="4">
        <f>B7/B11</f>
        <v>0.13390581660747367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0.11558959295006294</v>
      </c>
      <c r="C37" s="1" t="s">
        <v>83</v>
      </c>
    </row>
    <row r="38" spans="1:3" x14ac:dyDescent="0.35">
      <c r="A38" s="8" t="s">
        <v>71</v>
      </c>
      <c r="B38" s="4">
        <f>(B23-B22)/B23</f>
        <v>2.3333333333333279E-2</v>
      </c>
      <c r="C38" s="1" t="s">
        <v>74</v>
      </c>
    </row>
    <row r="39" spans="1:3" x14ac:dyDescent="0.35">
      <c r="A39" s="8" t="s">
        <v>63</v>
      </c>
      <c r="B39" s="17">
        <f>(B36-Assumptions!$B$3)/B36/B38/Assumptions!B5</f>
        <v>7.1246430894564554</v>
      </c>
      <c r="C39" s="1" t="s">
        <v>75</v>
      </c>
    </row>
    <row r="40" spans="1:3" x14ac:dyDescent="0.35">
      <c r="A40" s="8" t="s">
        <v>76</v>
      </c>
      <c r="B40" s="21">
        <f>Assumptions!D16</f>
        <v>0.06</v>
      </c>
    </row>
    <row r="41" spans="1:3" x14ac:dyDescent="0.35">
      <c r="A41" s="8" t="s">
        <v>79</v>
      </c>
      <c r="B41" s="20">
        <f>(D23/D18)^0.5-1</f>
        <v>6.1962666896700824E-2</v>
      </c>
    </row>
    <row r="42" spans="1:3" x14ac:dyDescent="0.35">
      <c r="A42" s="8" t="s">
        <v>80</v>
      </c>
      <c r="B42" s="20">
        <f>(B35-B41)/B48</f>
        <v>1.8541451439709374E-2</v>
      </c>
    </row>
    <row r="43" spans="1:3" x14ac:dyDescent="0.35">
      <c r="A43" s="8" t="s">
        <v>77</v>
      </c>
      <c r="B43" s="19">
        <f>AVERAGE(B28:B31)</f>
        <v>8.7500000000000008E-2</v>
      </c>
    </row>
    <row r="44" spans="1:3" x14ac:dyDescent="0.35">
      <c r="A44" s="8" t="s">
        <v>78</v>
      </c>
      <c r="B44" s="18">
        <f>SUM(B40:B43)/3</f>
        <v>7.6001372778803408E-2</v>
      </c>
    </row>
    <row r="45" spans="1:3" x14ac:dyDescent="0.35">
      <c r="A45" s="8" t="s">
        <v>81</v>
      </c>
      <c r="B45" s="16">
        <v>0.3</v>
      </c>
      <c r="C45" s="1" t="s">
        <v>104</v>
      </c>
    </row>
    <row r="46" spans="1:3" x14ac:dyDescent="0.35">
      <c r="A46" s="8" t="s">
        <v>61</v>
      </c>
      <c r="B46" s="4">
        <f>Assumptions!E22</f>
        <v>0.06</v>
      </c>
    </row>
    <row r="47" spans="1:3" x14ac:dyDescent="0.35">
      <c r="A47" s="8" t="s">
        <v>60</v>
      </c>
      <c r="B47" s="13">
        <f>(B45-B46)/(Assumptions!B4-B46)/B45</f>
        <v>19.999999999999996</v>
      </c>
    </row>
    <row r="48" spans="1:3" x14ac:dyDescent="0.35">
      <c r="A48" s="8" t="s">
        <v>85</v>
      </c>
      <c r="B48" s="13">
        <f>(B2/B18+10+B47)/3</f>
        <v>18.933333333333334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48.980074803051387</v>
      </c>
      <c r="C52" s="13"/>
    </row>
    <row r="53" spans="1:3" x14ac:dyDescent="0.35">
      <c r="A53" s="8" t="s">
        <v>87</v>
      </c>
      <c r="B53" s="13">
        <f>(B23*2-B$23)*(1+B$44)^8*B$48/(1+Assumptions!B$4-B$14/B$2)^10</f>
        <v>51.377700842361591</v>
      </c>
      <c r="C53" s="13"/>
    </row>
    <row r="54" spans="1:3" x14ac:dyDescent="0.35">
      <c r="A54" s="8" t="s">
        <v>102</v>
      </c>
      <c r="B54" s="13">
        <f>(B24*2-B$23)*(1+B$44)^8*B$48/(1+Assumptions!B$4-B$14/B$2)^10</f>
        <v>55.487916909750524</v>
      </c>
      <c r="C54" s="13"/>
    </row>
    <row r="55" spans="1:3" x14ac:dyDescent="0.35">
      <c r="C55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386A-5B83-4885-8F1E-06A08603066D}">
  <dimension ref="A1:K54"/>
  <sheetViews>
    <sheetView topLeftCell="A34" workbookViewId="0">
      <selection activeCell="C50" sqref="C50:C59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110</v>
      </c>
      <c r="I1" s="1" t="s">
        <v>118</v>
      </c>
      <c r="J1" s="1" t="str">
        <f>B1</f>
        <v>PEP</v>
      </c>
      <c r="K1" s="1" t="s">
        <v>110</v>
      </c>
    </row>
    <row r="2" spans="1:11" x14ac:dyDescent="0.35">
      <c r="A2" s="8" t="s">
        <v>84</v>
      </c>
      <c r="B2" s="2">
        <v>172</v>
      </c>
      <c r="I2" s="1" t="s">
        <v>119</v>
      </c>
      <c r="J2" s="1">
        <f>B2</f>
        <v>172</v>
      </c>
      <c r="K2" s="1">
        <v>172</v>
      </c>
    </row>
    <row r="3" spans="1:11" x14ac:dyDescent="0.35">
      <c r="I3" s="1" t="s">
        <v>120</v>
      </c>
      <c r="J3" s="1">
        <f>B18</f>
        <v>7.07</v>
      </c>
      <c r="K3" s="1">
        <v>7.07</v>
      </c>
    </row>
    <row r="4" spans="1:11" x14ac:dyDescent="0.35">
      <c r="A4" s="8" t="s">
        <v>67</v>
      </c>
      <c r="I4" s="1" t="s">
        <v>121</v>
      </c>
      <c r="J4" s="1">
        <f t="shared" ref="J4:J9" si="0">B19</f>
        <v>8.11</v>
      </c>
      <c r="K4" s="1">
        <v>8.11</v>
      </c>
    </row>
    <row r="5" spans="1:11" x14ac:dyDescent="0.35">
      <c r="B5" s="1" t="s">
        <v>56</v>
      </c>
      <c r="I5" s="1" t="s">
        <v>122</v>
      </c>
      <c r="J5" s="1">
        <f t="shared" si="0"/>
        <v>8.17</v>
      </c>
      <c r="K5" s="1">
        <v>8.17</v>
      </c>
    </row>
    <row r="6" spans="1:11" x14ac:dyDescent="0.35">
      <c r="A6" s="9" t="s">
        <v>41</v>
      </c>
      <c r="B6" s="11">
        <v>9074</v>
      </c>
      <c r="C6" s="1" t="s">
        <v>40</v>
      </c>
      <c r="D6" s="6"/>
      <c r="I6" s="1" t="s">
        <v>123</v>
      </c>
      <c r="J6" s="1">
        <f t="shared" si="0"/>
        <v>8.25</v>
      </c>
      <c r="K6" s="1">
        <v>8.25</v>
      </c>
    </row>
    <row r="7" spans="1:11" x14ac:dyDescent="0.35">
      <c r="A7" s="9" t="s">
        <v>37</v>
      </c>
      <c r="B7" s="11">
        <v>12913</v>
      </c>
      <c r="C7" s="1" t="s">
        <v>40</v>
      </c>
      <c r="D7" s="6"/>
      <c r="I7" s="1" t="s">
        <v>124</v>
      </c>
      <c r="J7" s="1">
        <f t="shared" si="0"/>
        <v>8.6999999999999993</v>
      </c>
      <c r="K7" s="1">
        <v>8.6999999999999993</v>
      </c>
    </row>
    <row r="8" spans="1:11" x14ac:dyDescent="0.35">
      <c r="A8" s="9" t="s">
        <v>42</v>
      </c>
      <c r="B8" s="11">
        <v>49590</v>
      </c>
      <c r="C8" s="1" t="s">
        <v>40</v>
      </c>
      <c r="D8" s="6"/>
      <c r="I8" s="1" t="s">
        <v>125</v>
      </c>
      <c r="J8" s="1">
        <f t="shared" si="0"/>
        <v>8.83</v>
      </c>
      <c r="K8" s="1">
        <v>8.83</v>
      </c>
    </row>
    <row r="9" spans="1:11" x14ac:dyDescent="0.35">
      <c r="A9" s="9" t="s">
        <v>43</v>
      </c>
      <c r="B9" s="11">
        <v>91471</v>
      </c>
      <c r="C9" s="1" t="s">
        <v>40</v>
      </c>
      <c r="D9" s="6"/>
      <c r="I9" s="1" t="s">
        <v>126</v>
      </c>
      <c r="J9" s="1">
        <f t="shared" si="0"/>
        <v>9</v>
      </c>
      <c r="K9" s="1">
        <v>9</v>
      </c>
    </row>
    <row r="10" spans="1:11" x14ac:dyDescent="0.35">
      <c r="A10" s="9" t="s">
        <v>44</v>
      </c>
      <c r="B10" s="12">
        <v>1383</v>
      </c>
      <c r="C10" s="1" t="s">
        <v>40</v>
      </c>
      <c r="D10" s="6"/>
      <c r="I10" s="1" t="s">
        <v>127</v>
      </c>
      <c r="J10" s="26">
        <f>B44*100</f>
        <v>8.4070833022810998</v>
      </c>
      <c r="K10" s="1">
        <v>8.4070833022810998</v>
      </c>
    </row>
    <row r="11" spans="1:11" x14ac:dyDescent="0.35">
      <c r="A11" s="9" t="s">
        <v>38</v>
      </c>
      <c r="B11" s="11">
        <v>100495</v>
      </c>
      <c r="C11" s="1" t="s">
        <v>40</v>
      </c>
      <c r="D11" s="6"/>
      <c r="I11" s="1" t="s">
        <v>128</v>
      </c>
      <c r="J11" s="26">
        <f>100+B45*100</f>
        <v>130</v>
      </c>
      <c r="K11" s="1">
        <v>130</v>
      </c>
    </row>
    <row r="12" spans="1:11" x14ac:dyDescent="0.35">
      <c r="A12" s="9" t="s">
        <v>39</v>
      </c>
      <c r="B12" s="11">
        <v>18503</v>
      </c>
      <c r="C12" s="1" t="s">
        <v>40</v>
      </c>
      <c r="D12" s="6"/>
      <c r="I12" s="1" t="s">
        <v>129</v>
      </c>
      <c r="J12" s="1">
        <f>130+IF(B39&gt;1,-20)+IF(B39&lt;-1,20)</f>
        <v>110</v>
      </c>
      <c r="K12" s="1">
        <v>110</v>
      </c>
    </row>
    <row r="13" spans="1:11" x14ac:dyDescent="0.35">
      <c r="A13" s="9" t="s">
        <v>45</v>
      </c>
      <c r="B13" s="11">
        <v>81858</v>
      </c>
      <c r="C13" s="1" t="s">
        <v>40</v>
      </c>
      <c r="D13" s="6"/>
      <c r="I13" s="1" t="s">
        <v>130</v>
      </c>
      <c r="J13" s="1">
        <f>MAX(J11:J12)*2</f>
        <v>260</v>
      </c>
      <c r="K13" s="1">
        <v>260</v>
      </c>
    </row>
    <row r="14" spans="1:11" x14ac:dyDescent="0.35">
      <c r="A14" s="8" t="s">
        <v>46</v>
      </c>
      <c r="B14" s="2">
        <v>5.42</v>
      </c>
      <c r="C14" s="1" t="s">
        <v>47</v>
      </c>
      <c r="D14" s="15"/>
      <c r="I14" s="1" t="s">
        <v>131</v>
      </c>
      <c r="J14" s="26">
        <f>B14/B2*100</f>
        <v>3.1511627906976742</v>
      </c>
      <c r="K14" s="1">
        <v>3.1511627906976742</v>
      </c>
    </row>
    <row r="15" spans="1:11" x14ac:dyDescent="0.35">
      <c r="I15" s="1" t="s">
        <v>132</v>
      </c>
      <c r="J15" s="26">
        <f>B46*100</f>
        <v>6</v>
      </c>
      <c r="K15" s="1">
        <v>6</v>
      </c>
    </row>
    <row r="16" spans="1:11" x14ac:dyDescent="0.35">
      <c r="A16" s="1" t="s">
        <v>66</v>
      </c>
      <c r="I16" s="1" t="s">
        <v>133</v>
      </c>
      <c r="J16" s="26">
        <f>B45*100</f>
        <v>30</v>
      </c>
      <c r="K16" s="1">
        <v>30</v>
      </c>
    </row>
    <row r="17" spans="1:11" x14ac:dyDescent="0.35">
      <c r="B17" s="1" t="s">
        <v>55</v>
      </c>
      <c r="D17" s="1" t="s">
        <v>43</v>
      </c>
      <c r="F17" s="44"/>
      <c r="I17" s="1" t="s">
        <v>134</v>
      </c>
      <c r="J17" s="26">
        <f>B48</f>
        <v>18.109382366808109</v>
      </c>
      <c r="K17" s="1">
        <v>18.109382366808109</v>
      </c>
    </row>
    <row r="18" spans="1:11" x14ac:dyDescent="0.35">
      <c r="A18" s="8" t="s">
        <v>48</v>
      </c>
      <c r="B18" s="7">
        <v>7.07</v>
      </c>
      <c r="C18" s="1" t="s">
        <v>47</v>
      </c>
      <c r="D18" s="14">
        <v>84.9</v>
      </c>
      <c r="E18" s="1" t="s">
        <v>91</v>
      </c>
      <c r="F18" s="3"/>
      <c r="H18" s="6"/>
      <c r="I18" s="1" t="s">
        <v>141</v>
      </c>
      <c r="J18" s="26">
        <f>B52</f>
        <v>152.63275268579477</v>
      </c>
    </row>
    <row r="19" spans="1:11" x14ac:dyDescent="0.35">
      <c r="A19" s="8" t="s">
        <v>49</v>
      </c>
      <c r="B19" s="7">
        <v>8.11</v>
      </c>
      <c r="C19" s="1" t="s">
        <v>47</v>
      </c>
      <c r="D19" s="14">
        <v>93.37</v>
      </c>
      <c r="E19" s="1" t="s">
        <v>91</v>
      </c>
      <c r="F19" s="43"/>
      <c r="H19" s="6"/>
    </row>
    <row r="20" spans="1:11" x14ac:dyDescent="0.35">
      <c r="A20" s="8" t="s">
        <v>53</v>
      </c>
      <c r="B20" s="7">
        <v>8.17</v>
      </c>
      <c r="C20" s="1" t="s">
        <v>47</v>
      </c>
      <c r="D20" s="14">
        <v>94.53</v>
      </c>
      <c r="E20" s="1" t="s">
        <v>91</v>
      </c>
      <c r="F20" s="43"/>
      <c r="H20" s="6"/>
    </row>
    <row r="21" spans="1:11" x14ac:dyDescent="0.35">
      <c r="A21" s="8" t="s">
        <v>54</v>
      </c>
      <c r="B21" s="7">
        <v>8.25</v>
      </c>
      <c r="C21" s="1" t="s">
        <v>47</v>
      </c>
      <c r="D21" s="14">
        <v>95.13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8.6999999999999993</v>
      </c>
      <c r="C22" s="1" t="s">
        <v>47</v>
      </c>
      <c r="D22" s="14">
        <v>96.88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8.83</v>
      </c>
      <c r="C23" s="1" t="s">
        <v>47</v>
      </c>
      <c r="D23" s="14">
        <v>98.94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9</v>
      </c>
      <c r="C24" s="1" t="s">
        <v>47</v>
      </c>
      <c r="D24" s="14">
        <v>100.09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0.09</v>
      </c>
    </row>
    <row r="29" spans="1:11" x14ac:dyDescent="0.35">
      <c r="A29" s="8" t="s">
        <v>58</v>
      </c>
      <c r="B29" s="5">
        <v>0.06</v>
      </c>
    </row>
    <row r="30" spans="1:11" x14ac:dyDescent="0.35">
      <c r="A30" s="8" t="s">
        <v>59</v>
      </c>
      <c r="B30" s="5">
        <v>0.15</v>
      </c>
    </row>
    <row r="31" spans="1:11" x14ac:dyDescent="0.35">
      <c r="A31" s="8" t="s">
        <v>94</v>
      </c>
      <c r="B31" s="5">
        <v>0.06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0.49040696103334597</v>
      </c>
      <c r="C35" s="1" t="s">
        <v>72</v>
      </c>
    </row>
    <row r="36" spans="1:3" x14ac:dyDescent="0.35">
      <c r="A36" s="8" t="s">
        <v>70</v>
      </c>
      <c r="B36" s="4">
        <f>B7/B11</f>
        <v>0.12849395492313051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9.5962983232996665E-2</v>
      </c>
      <c r="C37" s="1" t="s">
        <v>83</v>
      </c>
    </row>
    <row r="38" spans="1:3" x14ac:dyDescent="0.35">
      <c r="A38" s="8" t="s">
        <v>71</v>
      </c>
      <c r="B38" s="4">
        <f>(B23-B22)/B23</f>
        <v>1.4722536806342104E-2</v>
      </c>
      <c r="C38" s="1" t="s">
        <v>74</v>
      </c>
    </row>
    <row r="39" spans="1:3" x14ac:dyDescent="0.35">
      <c r="A39" s="8" t="s">
        <v>63</v>
      </c>
      <c r="B39" s="17">
        <f>(B36-Assumptions!$B$3)/B36/B38/Assumptions!B5</f>
        <v>11.008246317190171</v>
      </c>
      <c r="C39" s="1" t="s">
        <v>75</v>
      </c>
    </row>
    <row r="40" spans="1:3" x14ac:dyDescent="0.35">
      <c r="A40" s="8" t="s">
        <v>76</v>
      </c>
      <c r="B40" s="21">
        <f>Assumptions!D16</f>
        <v>0.06</v>
      </c>
    </row>
    <row r="41" spans="1:3" x14ac:dyDescent="0.35">
      <c r="A41" s="8" t="s">
        <v>79</v>
      </c>
      <c r="B41" s="20">
        <f>(D23/D18)^0.5-1</f>
        <v>7.9523517453409687E-2</v>
      </c>
    </row>
    <row r="42" spans="1:3" x14ac:dyDescent="0.35">
      <c r="A42" s="8" t="s">
        <v>80</v>
      </c>
      <c r="B42" s="20">
        <f>(B35-B41)/B48</f>
        <v>2.2688981615023297E-2</v>
      </c>
    </row>
    <row r="43" spans="1:3" x14ac:dyDescent="0.35">
      <c r="A43" s="8" t="s">
        <v>77</v>
      </c>
      <c r="B43" s="19">
        <f>AVERAGE(B28:B31)</f>
        <v>0.09</v>
      </c>
    </row>
    <row r="44" spans="1:3" x14ac:dyDescent="0.35">
      <c r="A44" s="8" t="s">
        <v>78</v>
      </c>
      <c r="B44" s="18">
        <f>SUM(B40:B43)/3</f>
        <v>8.4070833022811001E-2</v>
      </c>
    </row>
    <row r="45" spans="1:3" x14ac:dyDescent="0.35">
      <c r="A45" s="8" t="s">
        <v>81</v>
      </c>
      <c r="B45" s="16">
        <v>0.3</v>
      </c>
      <c r="C45" s="1" t="s">
        <v>104</v>
      </c>
    </row>
    <row r="46" spans="1:3" x14ac:dyDescent="0.35">
      <c r="A46" s="8" t="s">
        <v>61</v>
      </c>
      <c r="B46" s="4">
        <f>Assumptions!E22</f>
        <v>0.06</v>
      </c>
    </row>
    <row r="47" spans="1:3" x14ac:dyDescent="0.35">
      <c r="A47" s="8" t="s">
        <v>60</v>
      </c>
      <c r="B47" s="13">
        <f>(B45-B46)/(Assumptions!B4-B46)/B45</f>
        <v>19.999999999999996</v>
      </c>
    </row>
    <row r="48" spans="1:3" x14ac:dyDescent="0.35">
      <c r="A48" s="8" t="s">
        <v>85</v>
      </c>
      <c r="B48" s="13">
        <f>(B2/B18+10+B47)/3</f>
        <v>18.109382366808109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152.63275268579477</v>
      </c>
      <c r="C52" s="13"/>
    </row>
    <row r="53" spans="1:3" x14ac:dyDescent="0.35">
      <c r="A53" s="8" t="s">
        <v>87</v>
      </c>
      <c r="B53" s="13">
        <f>(B23*2-B$23)*(1+B$44)^8*B$48/(1+Assumptions!B$4-B$14/B$2)^10</f>
        <v>157.2633846225867</v>
      </c>
      <c r="C53" s="13"/>
    </row>
    <row r="54" spans="1:3" x14ac:dyDescent="0.35">
      <c r="A54" s="8" t="s">
        <v>102</v>
      </c>
      <c r="B54" s="13">
        <f>(B24*2-B$23)*(1+B$44)^8*B$48/(1+Assumptions!B$4-B$14/B$2)^10</f>
        <v>163.31882638608383</v>
      </c>
      <c r="C54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B877-2A5B-4D3C-B624-29316153773B}">
  <dimension ref="A1:K54"/>
  <sheetViews>
    <sheetView topLeftCell="A40" workbookViewId="0">
      <selection activeCell="C50" sqref="C50:C57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89</v>
      </c>
      <c r="I1" s="1" t="s">
        <v>118</v>
      </c>
      <c r="J1" s="1" t="str">
        <f>B1</f>
        <v>COST</v>
      </c>
      <c r="K1" s="1" t="s">
        <v>89</v>
      </c>
    </row>
    <row r="2" spans="1:11" x14ac:dyDescent="0.35">
      <c r="A2" s="8" t="s">
        <v>84</v>
      </c>
      <c r="B2" s="2">
        <v>900</v>
      </c>
      <c r="I2" s="1" t="s">
        <v>119</v>
      </c>
      <c r="J2" s="1">
        <f>B2</f>
        <v>900</v>
      </c>
      <c r="K2" s="1">
        <v>900</v>
      </c>
    </row>
    <row r="3" spans="1:11" x14ac:dyDescent="0.35">
      <c r="I3" s="1" t="s">
        <v>120</v>
      </c>
      <c r="J3" s="1">
        <f>B18</f>
        <v>14.16</v>
      </c>
      <c r="K3" s="1">
        <v>14.16</v>
      </c>
    </row>
    <row r="4" spans="1:11" x14ac:dyDescent="0.35">
      <c r="A4" s="8" t="s">
        <v>67</v>
      </c>
      <c r="I4" s="1" t="s">
        <v>121</v>
      </c>
      <c r="J4" s="1">
        <f t="shared" ref="J4:J9" si="0">B19</f>
        <v>15.56</v>
      </c>
      <c r="K4" s="1">
        <v>15.56</v>
      </c>
    </row>
    <row r="5" spans="1:11" x14ac:dyDescent="0.35">
      <c r="B5" s="1" t="s">
        <v>56</v>
      </c>
      <c r="I5" s="1" t="s">
        <v>122</v>
      </c>
      <c r="J5" s="1">
        <f t="shared" si="0"/>
        <v>16.309999999999999</v>
      </c>
      <c r="K5" s="1">
        <v>16.309999999999999</v>
      </c>
    </row>
    <row r="6" spans="1:11" x14ac:dyDescent="0.35">
      <c r="A6" s="9" t="s">
        <v>41</v>
      </c>
      <c r="B6" s="11">
        <v>6292</v>
      </c>
      <c r="C6" s="1" t="s">
        <v>40</v>
      </c>
      <c r="D6" s="6"/>
      <c r="I6" s="1" t="s">
        <v>123</v>
      </c>
      <c r="J6" s="1">
        <f t="shared" si="0"/>
        <v>16.850000000000001</v>
      </c>
      <c r="K6" s="1">
        <v>16.850000000000001</v>
      </c>
    </row>
    <row r="7" spans="1:11" x14ac:dyDescent="0.35">
      <c r="A7" s="9" t="s">
        <v>37</v>
      </c>
      <c r="B7" s="11">
        <v>8114</v>
      </c>
      <c r="C7" s="1" t="s">
        <v>40</v>
      </c>
      <c r="D7" s="6"/>
      <c r="I7" s="1" t="s">
        <v>124</v>
      </c>
      <c r="J7" s="1">
        <f t="shared" si="0"/>
        <v>16.670000000000002</v>
      </c>
      <c r="K7" s="1">
        <v>16.670000000000002</v>
      </c>
    </row>
    <row r="8" spans="1:11" x14ac:dyDescent="0.35">
      <c r="A8" s="9" t="s">
        <v>42</v>
      </c>
      <c r="B8" s="11">
        <v>29704</v>
      </c>
      <c r="C8" s="1" t="s">
        <v>40</v>
      </c>
      <c r="D8" s="6"/>
      <c r="I8" s="1" t="s">
        <v>125</v>
      </c>
      <c r="J8" s="1">
        <f t="shared" si="0"/>
        <v>17.670000000000002</v>
      </c>
      <c r="K8" s="1">
        <v>17.670000000000002</v>
      </c>
    </row>
    <row r="9" spans="1:11" x14ac:dyDescent="0.35">
      <c r="A9" s="9" t="s">
        <v>43</v>
      </c>
      <c r="B9" s="11">
        <v>242290</v>
      </c>
      <c r="C9" s="1" t="s">
        <v>40</v>
      </c>
      <c r="D9" s="6"/>
      <c r="I9" s="1" t="s">
        <v>126</v>
      </c>
      <c r="J9" s="1">
        <f t="shared" si="0"/>
        <v>20</v>
      </c>
      <c r="K9" s="1">
        <v>20</v>
      </c>
    </row>
    <row r="10" spans="1:11" x14ac:dyDescent="0.35">
      <c r="A10" s="9" t="s">
        <v>44</v>
      </c>
      <c r="B10" s="12">
        <v>445</v>
      </c>
      <c r="C10" s="1" t="s">
        <v>40</v>
      </c>
      <c r="I10" s="1" t="s">
        <v>127</v>
      </c>
      <c r="J10" s="26">
        <f>B44*100</f>
        <v>9.0093798610401006</v>
      </c>
      <c r="K10" s="1">
        <v>9.5093798610401006</v>
      </c>
    </row>
    <row r="11" spans="1:11" x14ac:dyDescent="0.35">
      <c r="A11" s="9" t="s">
        <v>38</v>
      </c>
      <c r="B11" s="11">
        <v>68994</v>
      </c>
      <c r="C11" s="1" t="s">
        <v>40</v>
      </c>
      <c r="D11" s="6"/>
      <c r="I11" s="1" t="s">
        <v>128</v>
      </c>
      <c r="J11" s="26">
        <f>100+B45*100</f>
        <v>127.5548726953468</v>
      </c>
      <c r="K11" s="1">
        <v>127.5548726953468</v>
      </c>
    </row>
    <row r="12" spans="1:11" x14ac:dyDescent="0.35">
      <c r="A12" s="9" t="s">
        <v>39</v>
      </c>
      <c r="B12" s="11">
        <v>25058</v>
      </c>
      <c r="C12" s="1" t="s">
        <v>40</v>
      </c>
      <c r="D12" s="6"/>
      <c r="I12" s="1" t="s">
        <v>129</v>
      </c>
      <c r="J12" s="1">
        <f>130+IF(B39&gt;1,-20)+IF(B39&lt;-1,20)</f>
        <v>110</v>
      </c>
      <c r="K12" s="1">
        <v>110</v>
      </c>
    </row>
    <row r="13" spans="1:11" x14ac:dyDescent="0.35">
      <c r="A13" s="9" t="s">
        <v>45</v>
      </c>
      <c r="B13" s="11">
        <v>43936</v>
      </c>
      <c r="C13" s="1" t="s">
        <v>40</v>
      </c>
      <c r="D13" s="6"/>
      <c r="I13" s="1" t="s">
        <v>130</v>
      </c>
      <c r="J13" s="1">
        <f>MAX(J11:J12)*2</f>
        <v>255.1097453906936</v>
      </c>
      <c r="K13" s="1">
        <v>255.1097453906936</v>
      </c>
    </row>
    <row r="14" spans="1:11" x14ac:dyDescent="0.35">
      <c r="A14" s="8" t="s">
        <v>46</v>
      </c>
      <c r="B14" s="2">
        <v>4.6399999999999997</v>
      </c>
      <c r="C14" s="1" t="s">
        <v>47</v>
      </c>
      <c r="D14" s="6"/>
      <c r="I14" s="1" t="s">
        <v>131</v>
      </c>
      <c r="J14" s="26">
        <f>B14/B2*100</f>
        <v>0.51555555555555554</v>
      </c>
      <c r="K14" s="1">
        <v>0.51555555555555554</v>
      </c>
    </row>
    <row r="15" spans="1:11" x14ac:dyDescent="0.35">
      <c r="I15" s="1" t="s">
        <v>132</v>
      </c>
      <c r="J15" s="26">
        <f>B46*100</f>
        <v>6</v>
      </c>
      <c r="K15" s="1">
        <v>6</v>
      </c>
    </row>
    <row r="16" spans="1:11" x14ac:dyDescent="0.35">
      <c r="A16" s="1" t="s">
        <v>66</v>
      </c>
      <c r="I16" s="1" t="s">
        <v>133</v>
      </c>
      <c r="J16" s="26">
        <f>B45*100</f>
        <v>27.554872695346795</v>
      </c>
      <c r="K16" s="1">
        <v>27.554872695346795</v>
      </c>
    </row>
    <row r="17" spans="1:11" x14ac:dyDescent="0.35">
      <c r="B17" s="1" t="s">
        <v>55</v>
      </c>
      <c r="D17" s="1" t="s">
        <v>43</v>
      </c>
      <c r="F17" s="44"/>
      <c r="I17" s="1" t="s">
        <v>134</v>
      </c>
      <c r="J17" s="26">
        <f>B48</f>
        <v>31.038546248567766</v>
      </c>
      <c r="K17" s="1">
        <v>31.038546248567766</v>
      </c>
    </row>
    <row r="18" spans="1:11" x14ac:dyDescent="0.35">
      <c r="A18" s="8" t="s">
        <v>48</v>
      </c>
      <c r="B18" s="7">
        <v>14.16</v>
      </c>
      <c r="C18" s="1" t="s">
        <v>47</v>
      </c>
      <c r="D18" s="14">
        <v>242.29</v>
      </c>
      <c r="E18" s="1" t="s">
        <v>91</v>
      </c>
      <c r="F18" s="3"/>
      <c r="H18" s="6"/>
      <c r="I18" s="1" t="s">
        <v>141</v>
      </c>
      <c r="J18" s="26">
        <f>B52</f>
        <v>391.88363773006415</v>
      </c>
    </row>
    <row r="19" spans="1:11" x14ac:dyDescent="0.35">
      <c r="A19" s="8" t="s">
        <v>49</v>
      </c>
      <c r="B19" s="7">
        <v>15.56</v>
      </c>
      <c r="C19" s="1" t="s">
        <v>47</v>
      </c>
      <c r="D19" s="14">
        <v>253.28</v>
      </c>
      <c r="E19" s="1" t="s">
        <v>91</v>
      </c>
      <c r="F19" s="43"/>
      <c r="H19" s="6"/>
    </row>
    <row r="20" spans="1:11" x14ac:dyDescent="0.35">
      <c r="A20" s="8" t="s">
        <v>53</v>
      </c>
      <c r="B20" s="7">
        <v>16.309999999999999</v>
      </c>
      <c r="C20" s="1" t="s">
        <v>47</v>
      </c>
      <c r="D20" s="14">
        <v>254.9</v>
      </c>
      <c r="E20" s="1" t="s">
        <v>91</v>
      </c>
      <c r="F20" s="43"/>
      <c r="H20" s="6"/>
    </row>
    <row r="21" spans="1:11" x14ac:dyDescent="0.35">
      <c r="A21" s="8" t="s">
        <v>54</v>
      </c>
      <c r="B21" s="7">
        <v>16.850000000000001</v>
      </c>
      <c r="C21" s="1" t="s">
        <v>47</v>
      </c>
      <c r="D21" s="14">
        <v>257.64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16.670000000000002</v>
      </c>
      <c r="C22" s="1" t="s">
        <v>47</v>
      </c>
      <c r="D22" s="14">
        <v>266.63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17.670000000000002</v>
      </c>
      <c r="C23" s="1" t="s">
        <v>47</v>
      </c>
      <c r="D23" s="14">
        <v>273.10000000000002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20</v>
      </c>
      <c r="C24" s="1" t="s">
        <v>47</v>
      </c>
      <c r="D24" s="14">
        <v>278.43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0.17</v>
      </c>
    </row>
    <row r="29" spans="1:11" x14ac:dyDescent="0.35">
      <c r="A29" s="8" t="s">
        <v>58</v>
      </c>
      <c r="B29" s="5">
        <v>0.1</v>
      </c>
    </row>
    <row r="30" spans="1:11" x14ac:dyDescent="0.35">
      <c r="A30" s="8" t="s">
        <v>59</v>
      </c>
      <c r="B30" s="5">
        <v>0.08</v>
      </c>
    </row>
    <row r="31" spans="1:11" x14ac:dyDescent="0.35">
      <c r="A31" s="8" t="s">
        <v>94</v>
      </c>
      <c r="B31" s="5">
        <v>0.1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0.25109745390693589</v>
      </c>
      <c r="C35" s="1" t="s">
        <v>72</v>
      </c>
    </row>
    <row r="36" spans="1:3" x14ac:dyDescent="0.35">
      <c r="A36" s="8" t="s">
        <v>70</v>
      </c>
      <c r="B36" s="4">
        <f>B7/B11</f>
        <v>0.11760442937066991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0.1319172681682465</v>
      </c>
      <c r="C37" s="1" t="s">
        <v>83</v>
      </c>
    </row>
    <row r="38" spans="1:3" x14ac:dyDescent="0.35">
      <c r="A38" s="8" t="s">
        <v>71</v>
      </c>
      <c r="B38" s="4">
        <f>(B23-B22)/B23</f>
        <v>5.6593095642331628E-2</v>
      </c>
      <c r="C38" s="1" t="s">
        <v>74</v>
      </c>
    </row>
    <row r="39" spans="1:3" x14ac:dyDescent="0.35">
      <c r="A39" s="8" t="s">
        <v>63</v>
      </c>
      <c r="B39" s="17">
        <f>(B36-Assumptions!$B$3)/B36/B38/Assumptions!B5</f>
        <v>2.694854328371723</v>
      </c>
      <c r="C39" s="1" t="s">
        <v>75</v>
      </c>
    </row>
    <row r="40" spans="1:3" x14ac:dyDescent="0.35">
      <c r="A40" s="8" t="s">
        <v>76</v>
      </c>
      <c r="B40" s="21">
        <f>Assumptions!D17</f>
        <v>0.09</v>
      </c>
    </row>
    <row r="41" spans="1:3" x14ac:dyDescent="0.35">
      <c r="A41" s="8" t="s">
        <v>79</v>
      </c>
      <c r="B41" s="20">
        <f>(D23/D18)^0.5-1</f>
        <v>6.1678701760764287E-2</v>
      </c>
    </row>
    <row r="42" spans="1:3" x14ac:dyDescent="0.35">
      <c r="A42" s="8" t="s">
        <v>80</v>
      </c>
      <c r="B42" s="20">
        <f>(B35-B41)/B48</f>
        <v>6.1026940704386919E-3</v>
      </c>
    </row>
    <row r="43" spans="1:3" x14ac:dyDescent="0.35">
      <c r="A43" s="8" t="s">
        <v>77</v>
      </c>
      <c r="B43" s="19">
        <f>AVERAGE(B28:B31)</f>
        <v>0.11250000000000002</v>
      </c>
    </row>
    <row r="44" spans="1:3" x14ac:dyDescent="0.35">
      <c r="A44" s="8" t="s">
        <v>78</v>
      </c>
      <c r="B44" s="18">
        <f>SUM(B40:B43)/3</f>
        <v>9.009379861040101E-2</v>
      </c>
    </row>
    <row r="45" spans="1:3" x14ac:dyDescent="0.35">
      <c r="A45" s="8" t="s">
        <v>81</v>
      </c>
      <c r="B45" s="5">
        <f>(B35+0.3)/2</f>
        <v>0.27554872695346794</v>
      </c>
      <c r="C45" s="1" t="s">
        <v>103</v>
      </c>
    </row>
    <row r="46" spans="1:3" x14ac:dyDescent="0.35">
      <c r="A46" s="8" t="s">
        <v>61</v>
      </c>
      <c r="B46" s="4">
        <f>Assumptions!E22</f>
        <v>0.06</v>
      </c>
    </row>
    <row r="47" spans="1:3" x14ac:dyDescent="0.35">
      <c r="A47" s="8" t="s">
        <v>60</v>
      </c>
      <c r="B47" s="13">
        <f>(B45-B46)/(Assumptions!B4-B46)/B45</f>
        <v>19.556316711805</v>
      </c>
    </row>
    <row r="48" spans="1:3" x14ac:dyDescent="0.35">
      <c r="A48" s="8" t="s">
        <v>85</v>
      </c>
      <c r="B48" s="13">
        <f>(B2/B18+10+B47)/3</f>
        <v>31.038546248567766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391.88363773006415</v>
      </c>
      <c r="C52" s="13"/>
    </row>
    <row r="53" spans="1:3" x14ac:dyDescent="0.35">
      <c r="A53" s="8" t="s">
        <v>87</v>
      </c>
      <c r="B53" s="13">
        <f>(B23*2-B$23)*(1+B$44)^8*B$48/(1+Assumptions!B$4-B$14/B$2)^10</f>
        <v>441.90069423677306</v>
      </c>
      <c r="C53" s="13"/>
    </row>
    <row r="54" spans="1:3" x14ac:dyDescent="0.35">
      <c r="A54" s="8" t="s">
        <v>102</v>
      </c>
      <c r="B54" s="13">
        <f>(B24*2-B$23)*(1+B$44)^8*B$48/(1+Assumptions!B$4-B$14/B$2)^10</f>
        <v>558.44043589740454</v>
      </c>
      <c r="C54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8825-B42B-47CA-9C82-19D5F21C7375}">
  <dimension ref="A1:K54"/>
  <sheetViews>
    <sheetView topLeftCell="A43" workbookViewId="0">
      <selection activeCell="C50" sqref="C50:C54"/>
    </sheetView>
  </sheetViews>
  <sheetFormatPr defaultColWidth="8.88671875" defaultRowHeight="15" x14ac:dyDescent="0.35"/>
  <cols>
    <col min="1" max="1" width="30.6640625" style="8" customWidth="1"/>
    <col min="2" max="5" width="20.6640625" style="1" customWidth="1"/>
    <col min="6" max="6" width="20.88671875" style="1" customWidth="1"/>
    <col min="7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108</v>
      </c>
      <c r="I1" s="1" t="s">
        <v>118</v>
      </c>
      <c r="J1" s="1" t="str">
        <f>B1</f>
        <v>ULTA</v>
      </c>
      <c r="K1" s="1" t="s">
        <v>108</v>
      </c>
    </row>
    <row r="2" spans="1:11" x14ac:dyDescent="0.35">
      <c r="A2" s="8" t="s">
        <v>84</v>
      </c>
      <c r="B2" s="2">
        <v>373</v>
      </c>
      <c r="I2" s="1" t="s">
        <v>119</v>
      </c>
      <c r="J2" s="1">
        <f>B2</f>
        <v>373</v>
      </c>
      <c r="K2" s="1">
        <v>373</v>
      </c>
    </row>
    <row r="3" spans="1:11" x14ac:dyDescent="0.35">
      <c r="I3" s="1" t="s">
        <v>120</v>
      </c>
      <c r="J3" s="1">
        <f>B18</f>
        <v>26.03</v>
      </c>
      <c r="K3" s="1">
        <v>26.03</v>
      </c>
    </row>
    <row r="4" spans="1:11" x14ac:dyDescent="0.35">
      <c r="A4" s="8" t="s">
        <v>67</v>
      </c>
      <c r="I4" s="1" t="s">
        <v>121</v>
      </c>
      <c r="J4" s="1">
        <f t="shared" ref="J4:J9" si="0">B19</f>
        <v>22.76</v>
      </c>
      <c r="K4" s="1">
        <v>22.76</v>
      </c>
    </row>
    <row r="5" spans="1:11" x14ac:dyDescent="0.35">
      <c r="B5" s="1" t="s">
        <v>56</v>
      </c>
      <c r="I5" s="1" t="s">
        <v>122</v>
      </c>
      <c r="J5" s="1">
        <f t="shared" si="0"/>
        <v>23.14</v>
      </c>
      <c r="K5" s="1">
        <v>23.14</v>
      </c>
    </row>
    <row r="6" spans="1:11" x14ac:dyDescent="0.35">
      <c r="A6" s="9" t="s">
        <v>41</v>
      </c>
      <c r="B6" s="11">
        <v>1291</v>
      </c>
      <c r="C6" s="1" t="s">
        <v>40</v>
      </c>
      <c r="D6" s="6"/>
      <c r="I6" s="1" t="s">
        <v>123</v>
      </c>
      <c r="J6" s="1">
        <f t="shared" si="0"/>
        <v>23.5</v>
      </c>
      <c r="K6" s="1">
        <v>23.5</v>
      </c>
    </row>
    <row r="7" spans="1:11" x14ac:dyDescent="0.35">
      <c r="A7" s="9" t="s">
        <v>37</v>
      </c>
      <c r="B7" s="11">
        <v>1687</v>
      </c>
      <c r="C7" s="1" t="s">
        <v>40</v>
      </c>
      <c r="D7" s="6"/>
      <c r="I7" s="1" t="s">
        <v>124</v>
      </c>
      <c r="J7" s="1">
        <f t="shared" si="0"/>
        <v>20.75</v>
      </c>
      <c r="K7" s="1">
        <v>20.75</v>
      </c>
    </row>
    <row r="8" spans="1:11" x14ac:dyDescent="0.35">
      <c r="A8" s="9" t="s">
        <v>42</v>
      </c>
      <c r="B8" s="11">
        <v>4381</v>
      </c>
      <c r="C8" s="1" t="s">
        <v>40</v>
      </c>
      <c r="D8" s="6"/>
      <c r="I8" s="1" t="s">
        <v>125</v>
      </c>
      <c r="J8" s="1">
        <f t="shared" si="0"/>
        <v>23</v>
      </c>
      <c r="K8" s="1">
        <v>23</v>
      </c>
    </row>
    <row r="9" spans="1:11" x14ac:dyDescent="0.35">
      <c r="A9" s="9" t="s">
        <v>43</v>
      </c>
      <c r="B9" s="11">
        <v>11207</v>
      </c>
      <c r="C9" s="1" t="s">
        <v>40</v>
      </c>
      <c r="D9" s="6"/>
      <c r="I9" s="1" t="s">
        <v>126</v>
      </c>
      <c r="J9" s="1">
        <f t="shared" si="0"/>
        <v>26.04</v>
      </c>
      <c r="K9" s="1">
        <v>26.04</v>
      </c>
    </row>
    <row r="10" spans="1:11" x14ac:dyDescent="0.35">
      <c r="A10" s="9" t="s">
        <v>44</v>
      </c>
      <c r="B10" s="12">
        <v>50</v>
      </c>
      <c r="C10" s="1" t="s">
        <v>40</v>
      </c>
      <c r="D10" s="6"/>
      <c r="I10" s="1" t="s">
        <v>127</v>
      </c>
      <c r="J10" s="26">
        <f>B44*100</f>
        <v>6.1638506742092094</v>
      </c>
      <c r="K10" s="1">
        <v>6.6638506742092094</v>
      </c>
    </row>
    <row r="11" spans="1:11" x14ac:dyDescent="0.35">
      <c r="A11" s="9" t="s">
        <v>38</v>
      </c>
      <c r="B11" s="11">
        <v>5707</v>
      </c>
      <c r="C11" s="1" t="s">
        <v>40</v>
      </c>
      <c r="D11" s="6"/>
      <c r="I11" s="1" t="s">
        <v>128</v>
      </c>
      <c r="J11" s="26">
        <f>100+B45*100</f>
        <v>130</v>
      </c>
      <c r="K11" s="1">
        <v>130</v>
      </c>
    </row>
    <row r="12" spans="1:11" x14ac:dyDescent="0.35">
      <c r="A12" s="9" t="s">
        <v>39</v>
      </c>
      <c r="B12" s="11">
        <v>2279</v>
      </c>
      <c r="C12" s="1" t="s">
        <v>40</v>
      </c>
      <c r="D12" s="6"/>
      <c r="I12" s="1" t="s">
        <v>129</v>
      </c>
      <c r="J12" s="1">
        <f>130+IF(B39&gt;1,-20)+IF(B39&lt;-1,20)</f>
        <v>110</v>
      </c>
      <c r="K12" s="1">
        <v>110</v>
      </c>
    </row>
    <row r="13" spans="1:11" x14ac:dyDescent="0.35">
      <c r="A13" s="9" t="s">
        <v>45</v>
      </c>
      <c r="B13" s="11">
        <v>1658</v>
      </c>
      <c r="C13" s="1" t="s">
        <v>40</v>
      </c>
      <c r="D13" s="6"/>
      <c r="I13" s="1" t="s">
        <v>130</v>
      </c>
      <c r="J13" s="1">
        <f>MAX(J11:J12)*2</f>
        <v>260</v>
      </c>
      <c r="K13" s="1">
        <v>260</v>
      </c>
    </row>
    <row r="14" spans="1:11" x14ac:dyDescent="0.35">
      <c r="A14" s="8" t="s">
        <v>46</v>
      </c>
      <c r="B14" s="2">
        <v>0</v>
      </c>
      <c r="C14" s="1" t="s">
        <v>47</v>
      </c>
      <c r="D14" s="15"/>
      <c r="I14" s="1" t="s">
        <v>131</v>
      </c>
      <c r="J14" s="26">
        <f>B14/B2*100</f>
        <v>0</v>
      </c>
      <c r="K14" s="1">
        <v>0</v>
      </c>
    </row>
    <row r="15" spans="1:11" x14ac:dyDescent="0.35">
      <c r="I15" s="1" t="s">
        <v>132</v>
      </c>
      <c r="J15" s="26">
        <f>B46*100</f>
        <v>6</v>
      </c>
      <c r="K15" s="1">
        <v>6</v>
      </c>
    </row>
    <row r="16" spans="1:11" x14ac:dyDescent="0.35">
      <c r="A16" s="1" t="s">
        <v>66</v>
      </c>
      <c r="I16" s="1" t="s">
        <v>133</v>
      </c>
      <c r="J16" s="26">
        <f>B45*100</f>
        <v>30</v>
      </c>
      <c r="K16" s="1">
        <v>30</v>
      </c>
    </row>
    <row r="17" spans="1:11" x14ac:dyDescent="0.35">
      <c r="B17" s="1" t="s">
        <v>55</v>
      </c>
      <c r="D17" s="1" t="s">
        <v>43</v>
      </c>
      <c r="F17" s="44"/>
      <c r="I17" s="1" t="s">
        <v>134</v>
      </c>
      <c r="J17" s="26">
        <f>B48</f>
        <v>14.776539889870662</v>
      </c>
      <c r="K17" s="1">
        <v>14.776539889870662</v>
      </c>
    </row>
    <row r="18" spans="1:11" x14ac:dyDescent="0.35">
      <c r="A18" s="8" t="s">
        <v>48</v>
      </c>
      <c r="B18" s="7">
        <v>26.03</v>
      </c>
      <c r="C18" s="1" t="s">
        <v>47</v>
      </c>
      <c r="D18" s="14">
        <v>11.21</v>
      </c>
      <c r="E18" s="1" t="s">
        <v>91</v>
      </c>
      <c r="F18" s="3"/>
      <c r="H18" s="6"/>
      <c r="I18" s="1" t="s">
        <v>141</v>
      </c>
      <c r="J18" s="26">
        <f>B52</f>
        <v>170.07125911834149</v>
      </c>
    </row>
    <row r="19" spans="1:11" x14ac:dyDescent="0.35">
      <c r="A19" s="8" t="s">
        <v>49</v>
      </c>
      <c r="B19" s="7">
        <v>22.76</v>
      </c>
      <c r="C19" s="1" t="s">
        <v>47</v>
      </c>
      <c r="D19" s="14">
        <v>11.08</v>
      </c>
      <c r="E19" s="1" t="s">
        <v>91</v>
      </c>
      <c r="F19" s="43"/>
      <c r="H19" s="6"/>
    </row>
    <row r="20" spans="1:11" x14ac:dyDescent="0.35">
      <c r="A20" s="8" t="s">
        <v>53</v>
      </c>
      <c r="B20" s="7">
        <v>23.14</v>
      </c>
      <c r="C20" s="1" t="s">
        <v>47</v>
      </c>
      <c r="D20" s="14">
        <v>11.16</v>
      </c>
      <c r="E20" s="1" t="s">
        <v>91</v>
      </c>
      <c r="F20" s="43"/>
      <c r="H20" s="6"/>
    </row>
    <row r="21" spans="1:11" x14ac:dyDescent="0.35">
      <c r="A21" s="8" t="s">
        <v>54</v>
      </c>
      <c r="B21" s="7">
        <v>23.5</v>
      </c>
      <c r="C21" s="1" t="s">
        <v>47</v>
      </c>
      <c r="D21" s="14">
        <v>11.29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20.75</v>
      </c>
      <c r="C22" s="1" t="s">
        <v>47</v>
      </c>
      <c r="D22" s="14">
        <v>11.4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23</v>
      </c>
      <c r="C23" s="1" t="s">
        <v>47</v>
      </c>
      <c r="D23" s="14">
        <v>11.6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26.04</v>
      </c>
      <c r="C24" s="1" t="s">
        <v>47</v>
      </c>
      <c r="D24" s="14">
        <v>12.38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0.3</v>
      </c>
    </row>
    <row r="29" spans="1:11" x14ac:dyDescent="0.35">
      <c r="A29" s="8" t="s">
        <v>58</v>
      </c>
      <c r="B29" s="5">
        <v>-2.8000000000000001E-2</v>
      </c>
    </row>
    <row r="30" spans="1:11" x14ac:dyDescent="0.35">
      <c r="A30" s="8" t="s">
        <v>59</v>
      </c>
      <c r="B30" s="5">
        <v>-0.11</v>
      </c>
    </row>
    <row r="31" spans="1:11" x14ac:dyDescent="0.35">
      <c r="A31" s="8" t="s">
        <v>94</v>
      </c>
      <c r="B31" s="5">
        <v>0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0.56647652479157529</v>
      </c>
      <c r="C35" s="1" t="s">
        <v>72</v>
      </c>
    </row>
    <row r="36" spans="1:3" x14ac:dyDescent="0.35">
      <c r="A36" s="8" t="s">
        <v>70</v>
      </c>
      <c r="B36" s="4">
        <f>B7/B11</f>
        <v>0.29560189241282636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0.13432626598913613</v>
      </c>
      <c r="C37" s="1" t="s">
        <v>83</v>
      </c>
    </row>
    <row r="38" spans="1:3" x14ac:dyDescent="0.35">
      <c r="A38" s="8" t="s">
        <v>71</v>
      </c>
      <c r="B38" s="4">
        <f>(B23-B22)/B23</f>
        <v>9.7826086956521743E-2</v>
      </c>
      <c r="C38" s="1" t="s">
        <v>74</v>
      </c>
    </row>
    <row r="39" spans="1:3" x14ac:dyDescent="0.35">
      <c r="A39" s="8" t="s">
        <v>63</v>
      </c>
      <c r="B39" s="17">
        <f>(B36-Assumptions!$B$3)/B36/B38/Assumptions!B5</f>
        <v>2.2532899980778716</v>
      </c>
      <c r="C39" s="1" t="s">
        <v>75</v>
      </c>
    </row>
    <row r="40" spans="1:3" x14ac:dyDescent="0.35">
      <c r="A40" s="8" t="s">
        <v>76</v>
      </c>
      <c r="B40" s="21">
        <f>Assumptions!D17</f>
        <v>0.09</v>
      </c>
    </row>
    <row r="41" spans="1:3" x14ac:dyDescent="0.35">
      <c r="A41" s="8" t="s">
        <v>79</v>
      </c>
      <c r="B41" s="20">
        <f>(D23/D18)^0.5-1</f>
        <v>1.7246462635712723E-2</v>
      </c>
    </row>
    <row r="42" spans="1:3" x14ac:dyDescent="0.35">
      <c r="A42" s="8" t="s">
        <v>80</v>
      </c>
      <c r="B42" s="20">
        <f>(B35-B41)/B48</f>
        <v>3.7169057590563576E-2</v>
      </c>
    </row>
    <row r="43" spans="1:3" x14ac:dyDescent="0.35">
      <c r="A43" s="8" t="s">
        <v>77</v>
      </c>
      <c r="B43" s="19">
        <f>AVERAGE(B28:B31)</f>
        <v>4.0499999999999994E-2</v>
      </c>
    </row>
    <row r="44" spans="1:3" x14ac:dyDescent="0.35">
      <c r="A44" s="8" t="s">
        <v>78</v>
      </c>
      <c r="B44" s="18">
        <f>SUM(B40:B43)/3</f>
        <v>6.1638506742092092E-2</v>
      </c>
    </row>
    <row r="45" spans="1:3" x14ac:dyDescent="0.35">
      <c r="A45" s="8" t="s">
        <v>81</v>
      </c>
      <c r="B45" s="16">
        <v>0.3</v>
      </c>
      <c r="C45" s="1" t="s">
        <v>104</v>
      </c>
    </row>
    <row r="46" spans="1:3" x14ac:dyDescent="0.35">
      <c r="A46" s="8" t="s">
        <v>61</v>
      </c>
      <c r="B46" s="4">
        <f>Assumptions!E22</f>
        <v>0.06</v>
      </c>
    </row>
    <row r="47" spans="1:3" x14ac:dyDescent="0.35">
      <c r="A47" s="8" t="s">
        <v>60</v>
      </c>
      <c r="B47" s="13">
        <f>(B45-B46)/(Assumptions!B4-B46)/B45</f>
        <v>19.999999999999996</v>
      </c>
    </row>
    <row r="48" spans="1:3" x14ac:dyDescent="0.35">
      <c r="A48" s="8" t="s">
        <v>85</v>
      </c>
      <c r="B48" s="13">
        <f>(B2/B18+10+B47)/3</f>
        <v>14.776539889870662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170.07125911834149</v>
      </c>
      <c r="C52" s="13"/>
    </row>
    <row r="53" spans="1:3" x14ac:dyDescent="0.35">
      <c r="A53" s="8" t="s">
        <v>87</v>
      </c>
      <c r="B53" s="13">
        <f>(B23*2-B$23)*(1+B$44)^8*B$48/(1+Assumptions!B$4-B$14/B$2)^10</f>
        <v>211.43994376874886</v>
      </c>
      <c r="C53" s="13"/>
    </row>
    <row r="54" spans="1:3" x14ac:dyDescent="0.35">
      <c r="A54" s="8" t="s">
        <v>102</v>
      </c>
      <c r="B54" s="13">
        <f>(B24*2-B$23)*(1+B$44)^8*B$48/(1+Assumptions!B$4-B$14/B$2)^10</f>
        <v>267.33363325196592</v>
      </c>
      <c r="C54" s="1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428D-18E6-49D8-A74A-9A3DDEBE50C3}">
  <dimension ref="A1:K54"/>
  <sheetViews>
    <sheetView topLeftCell="A13" workbookViewId="0">
      <selection activeCell="K4" sqref="K4:K12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111</v>
      </c>
      <c r="I1" s="1" t="s">
        <v>118</v>
      </c>
      <c r="J1" s="1" t="str">
        <f>B1</f>
        <v>BKNG</v>
      </c>
      <c r="K1" s="1" t="s">
        <v>111</v>
      </c>
    </row>
    <row r="2" spans="1:11" x14ac:dyDescent="0.35">
      <c r="A2" s="8" t="s">
        <v>84</v>
      </c>
      <c r="B2" s="2">
        <v>4300</v>
      </c>
      <c r="I2" s="1" t="s">
        <v>119</v>
      </c>
      <c r="J2" s="1">
        <f>B2</f>
        <v>4300</v>
      </c>
      <c r="K2" s="1">
        <v>4300</v>
      </c>
    </row>
    <row r="3" spans="1:11" x14ac:dyDescent="0.35">
      <c r="I3" s="1" t="s">
        <v>120</v>
      </c>
      <c r="J3" s="1">
        <f>B18</f>
        <v>152.22</v>
      </c>
      <c r="K3" s="1">
        <v>152.22</v>
      </c>
    </row>
    <row r="4" spans="1:11" x14ac:dyDescent="0.35">
      <c r="A4" s="8" t="s">
        <v>67</v>
      </c>
      <c r="I4" s="1" t="s">
        <v>121</v>
      </c>
      <c r="J4" s="1">
        <f t="shared" ref="J4:J9" si="0">B19</f>
        <v>157.09</v>
      </c>
      <c r="K4" s="1">
        <v>157.09</v>
      </c>
    </row>
    <row r="5" spans="1:11" x14ac:dyDescent="0.35">
      <c r="B5" s="1" t="s">
        <v>56</v>
      </c>
      <c r="I5" s="1" t="s">
        <v>122</v>
      </c>
      <c r="J5" s="1">
        <f t="shared" si="0"/>
        <v>178.39</v>
      </c>
      <c r="K5" s="1">
        <v>178.39</v>
      </c>
    </row>
    <row r="6" spans="1:11" x14ac:dyDescent="0.35">
      <c r="A6" s="9" t="s">
        <v>41</v>
      </c>
      <c r="B6" s="11">
        <v>5030</v>
      </c>
      <c r="C6" s="1" t="s">
        <v>40</v>
      </c>
      <c r="D6" s="6"/>
      <c r="I6" s="1" t="s">
        <v>123</v>
      </c>
      <c r="J6" s="1">
        <f t="shared" si="0"/>
        <v>188</v>
      </c>
      <c r="K6" s="1">
        <v>188</v>
      </c>
    </row>
    <row r="7" spans="1:11" x14ac:dyDescent="0.35">
      <c r="A7" s="9" t="s">
        <v>37</v>
      </c>
      <c r="B7" s="11">
        <v>6359</v>
      </c>
      <c r="C7" s="1" t="s">
        <v>40</v>
      </c>
      <c r="D7" s="6"/>
      <c r="I7" s="1" t="s">
        <v>124</v>
      </c>
      <c r="J7" s="1">
        <f t="shared" si="0"/>
        <v>176.16</v>
      </c>
      <c r="K7" s="1">
        <v>176.16</v>
      </c>
    </row>
    <row r="8" spans="1:11" x14ac:dyDescent="0.35">
      <c r="A8" s="9" t="s">
        <v>42</v>
      </c>
      <c r="B8" s="11">
        <v>6359</v>
      </c>
      <c r="C8" s="1" t="s">
        <v>40</v>
      </c>
      <c r="D8" s="6"/>
      <c r="I8" s="1" t="s">
        <v>125</v>
      </c>
      <c r="J8" s="1">
        <f t="shared" si="0"/>
        <v>205.93</v>
      </c>
      <c r="K8" s="1">
        <v>205.93</v>
      </c>
    </row>
    <row r="9" spans="1:11" x14ac:dyDescent="0.35">
      <c r="A9" s="9" t="s">
        <v>43</v>
      </c>
      <c r="B9" s="11">
        <v>22399</v>
      </c>
      <c r="C9" s="1" t="s">
        <v>40</v>
      </c>
      <c r="D9" s="6"/>
      <c r="I9" s="1" t="s">
        <v>126</v>
      </c>
      <c r="J9" s="1">
        <f t="shared" si="0"/>
        <v>217.33</v>
      </c>
      <c r="K9" s="1">
        <v>217.33</v>
      </c>
    </row>
    <row r="10" spans="1:11" x14ac:dyDescent="0.35">
      <c r="A10" s="9" t="s">
        <v>44</v>
      </c>
      <c r="B10" s="12">
        <v>33.520000000000003</v>
      </c>
      <c r="C10" s="1" t="s">
        <v>40</v>
      </c>
      <c r="D10" s="6"/>
      <c r="I10" s="1" t="s">
        <v>127</v>
      </c>
      <c r="J10" s="26">
        <f>B44*100</f>
        <v>14.584767503304308</v>
      </c>
      <c r="K10" s="1">
        <v>14.584767503304308</v>
      </c>
    </row>
    <row r="11" spans="1:11" x14ac:dyDescent="0.35">
      <c r="A11" s="9" t="s">
        <v>38</v>
      </c>
      <c r="B11" s="11">
        <v>24342</v>
      </c>
      <c r="C11" s="1" t="s">
        <v>40</v>
      </c>
      <c r="D11" s="6"/>
      <c r="I11" s="1" t="s">
        <v>128</v>
      </c>
      <c r="J11" s="26">
        <f>100+B45*100</f>
        <v>130</v>
      </c>
      <c r="K11" s="1">
        <v>130</v>
      </c>
    </row>
    <row r="12" spans="1:11" x14ac:dyDescent="0.35">
      <c r="A12" s="9" t="s">
        <v>39</v>
      </c>
      <c r="B12" s="11">
        <v>-2744</v>
      </c>
      <c r="C12" s="1" t="s">
        <v>40</v>
      </c>
      <c r="D12" s="6"/>
      <c r="I12" s="1" t="s">
        <v>129</v>
      </c>
      <c r="J12" s="1">
        <f>130+IF(B39&gt;1,-20)+IF(B39&lt;-1,20)</f>
        <v>110</v>
      </c>
      <c r="K12" s="1">
        <v>110</v>
      </c>
    </row>
    <row r="13" spans="1:11" x14ac:dyDescent="0.35">
      <c r="A13" s="9" t="s">
        <v>45</v>
      </c>
      <c r="B13" s="11">
        <v>27086</v>
      </c>
      <c r="C13" s="1" t="s">
        <v>40</v>
      </c>
      <c r="D13" s="6"/>
      <c r="I13" s="1" t="s">
        <v>130</v>
      </c>
      <c r="J13" s="1">
        <f>MAX(J11:J12)*2</f>
        <v>260</v>
      </c>
      <c r="K13" s="1">
        <v>260</v>
      </c>
    </row>
    <row r="14" spans="1:11" x14ac:dyDescent="0.35">
      <c r="A14" s="8" t="s">
        <v>46</v>
      </c>
      <c r="B14" s="2">
        <v>35</v>
      </c>
      <c r="C14" s="1" t="s">
        <v>47</v>
      </c>
      <c r="D14" s="15"/>
      <c r="I14" s="1" t="s">
        <v>131</v>
      </c>
      <c r="J14" s="26">
        <f>B14/B2*100</f>
        <v>0.81395348837209303</v>
      </c>
      <c r="K14" s="1">
        <v>0.81395348837209303</v>
      </c>
    </row>
    <row r="15" spans="1:11" x14ac:dyDescent="0.35">
      <c r="I15" s="1" t="s">
        <v>132</v>
      </c>
      <c r="J15" s="26">
        <f>B46*100</f>
        <v>6</v>
      </c>
      <c r="K15" s="1">
        <v>6</v>
      </c>
    </row>
    <row r="16" spans="1:11" x14ac:dyDescent="0.35">
      <c r="A16" s="1" t="s">
        <v>66</v>
      </c>
      <c r="I16" s="1" t="s">
        <v>133</v>
      </c>
      <c r="J16" s="26">
        <f>B45*100</f>
        <v>30</v>
      </c>
      <c r="K16" s="1">
        <v>30</v>
      </c>
    </row>
    <row r="17" spans="1:11" x14ac:dyDescent="0.35">
      <c r="B17" s="1" t="s">
        <v>55</v>
      </c>
      <c r="D17" s="1" t="s">
        <v>43</v>
      </c>
      <c r="F17" s="44"/>
      <c r="I17" s="1" t="s">
        <v>134</v>
      </c>
      <c r="J17" s="26">
        <f>B48</f>
        <v>19.416195856873824</v>
      </c>
      <c r="K17" s="1">
        <v>19.416195856873824</v>
      </c>
    </row>
    <row r="18" spans="1:11" x14ac:dyDescent="0.35">
      <c r="A18" s="8" t="s">
        <v>48</v>
      </c>
      <c r="B18" s="7">
        <v>152.22</v>
      </c>
      <c r="C18" s="1" t="s">
        <v>47</v>
      </c>
      <c r="D18" s="14">
        <v>29.78</v>
      </c>
      <c r="E18" s="1" t="s">
        <v>91</v>
      </c>
      <c r="F18" s="3"/>
      <c r="H18" s="6"/>
      <c r="I18" s="1" t="s">
        <v>141</v>
      </c>
      <c r="J18" s="26">
        <f>B52</f>
        <v>3507.6741954686954</v>
      </c>
    </row>
    <row r="19" spans="1:11" x14ac:dyDescent="0.35">
      <c r="A19" s="8" t="s">
        <v>49</v>
      </c>
      <c r="B19" s="7">
        <v>157.09</v>
      </c>
      <c r="C19" s="1" t="s">
        <v>47</v>
      </c>
      <c r="D19" s="14">
        <v>35.47</v>
      </c>
      <c r="E19" s="1" t="s">
        <v>91</v>
      </c>
      <c r="F19" s="43"/>
      <c r="H19" s="6"/>
    </row>
    <row r="20" spans="1:11" x14ac:dyDescent="0.35">
      <c r="A20" s="8" t="s">
        <v>53</v>
      </c>
      <c r="B20" s="7">
        <v>178.39</v>
      </c>
      <c r="C20" s="1" t="s">
        <v>47</v>
      </c>
      <c r="D20" s="14">
        <v>35.94</v>
      </c>
      <c r="E20" s="1" t="s">
        <v>91</v>
      </c>
      <c r="F20" s="43"/>
      <c r="H20" s="6"/>
    </row>
    <row r="21" spans="1:11" x14ac:dyDescent="0.35">
      <c r="A21" s="8" t="s">
        <v>54</v>
      </c>
      <c r="B21" s="7">
        <v>188</v>
      </c>
      <c r="C21" s="1" t="s">
        <v>47</v>
      </c>
      <c r="D21" s="14">
        <v>36.450000000000003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176.16</v>
      </c>
      <c r="C22" s="1" t="s">
        <v>47</v>
      </c>
      <c r="D22" s="14">
        <v>38.659999999999997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205.93</v>
      </c>
      <c r="C23" s="1" t="s">
        <v>47</v>
      </c>
      <c r="D23" s="14">
        <v>39.700000000000003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217.33</v>
      </c>
      <c r="C24" s="1" t="s">
        <v>47</v>
      </c>
      <c r="D24" s="14">
        <v>40.46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0.16</v>
      </c>
    </row>
    <row r="29" spans="1:11" x14ac:dyDescent="0.35">
      <c r="A29" s="8" t="s">
        <v>58</v>
      </c>
      <c r="B29" s="5">
        <v>0.22</v>
      </c>
    </row>
    <row r="30" spans="1:11" x14ac:dyDescent="0.35">
      <c r="A30" s="8" t="s">
        <v>59</v>
      </c>
      <c r="B30" s="5">
        <v>0.15</v>
      </c>
    </row>
    <row r="31" spans="1:11" x14ac:dyDescent="0.35">
      <c r="A31" s="8" t="s">
        <v>94</v>
      </c>
      <c r="B31" s="5">
        <v>0.15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24">
        <v>0.6</v>
      </c>
      <c r="C35" s="1" t="s">
        <v>72</v>
      </c>
    </row>
    <row r="36" spans="1:3" x14ac:dyDescent="0.35">
      <c r="A36" s="8" t="s">
        <v>70</v>
      </c>
      <c r="B36" s="4">
        <f>B7/B11</f>
        <v>0.2612357242625914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2.181825651137952E-2</v>
      </c>
      <c r="C37" s="1" t="s">
        <v>83</v>
      </c>
    </row>
    <row r="38" spans="1:3" x14ac:dyDescent="0.35">
      <c r="A38" s="8" t="s">
        <v>71</v>
      </c>
      <c r="B38" s="4">
        <f>(B23-B22)/B23</f>
        <v>0.14456368668965186</v>
      </c>
      <c r="C38" s="1" t="s">
        <v>74</v>
      </c>
    </row>
    <row r="39" spans="1:3" x14ac:dyDescent="0.35">
      <c r="A39" s="8" t="s">
        <v>63</v>
      </c>
      <c r="B39" s="17">
        <f>(B36-Assumptions!$B$3)/B36/B38/Assumptions!B5</f>
        <v>1.4839622675223716</v>
      </c>
      <c r="C39" s="1" t="s">
        <v>75</v>
      </c>
    </row>
    <row r="40" spans="1:3" x14ac:dyDescent="0.35">
      <c r="A40" s="8" t="s">
        <v>76</v>
      </c>
      <c r="B40" s="21">
        <f>Assumptions!D17</f>
        <v>0.09</v>
      </c>
    </row>
    <row r="41" spans="1:3" x14ac:dyDescent="0.35">
      <c r="A41" s="8" t="s">
        <v>79</v>
      </c>
      <c r="B41" s="20">
        <f>(D23/D18)^0.5-1</f>
        <v>0.15460359840188387</v>
      </c>
    </row>
    <row r="42" spans="1:3" x14ac:dyDescent="0.35">
      <c r="A42" s="8" t="s">
        <v>80</v>
      </c>
      <c r="B42" s="20">
        <f>(B35-B41)/B48</f>
        <v>2.2939426697245358E-2</v>
      </c>
    </row>
    <row r="43" spans="1:3" x14ac:dyDescent="0.35">
      <c r="A43" s="8" t="s">
        <v>77</v>
      </c>
      <c r="B43" s="19">
        <f>AVERAGE(B28:B31)</f>
        <v>0.17</v>
      </c>
    </row>
    <row r="44" spans="1:3" x14ac:dyDescent="0.35">
      <c r="A44" s="8" t="s">
        <v>78</v>
      </c>
      <c r="B44" s="18">
        <f>SUM(B40:B43)/3</f>
        <v>0.14584767503304308</v>
      </c>
    </row>
    <row r="45" spans="1:3" x14ac:dyDescent="0.35">
      <c r="A45" s="8" t="s">
        <v>81</v>
      </c>
      <c r="B45" s="16">
        <v>0.3</v>
      </c>
      <c r="C45" s="1" t="s">
        <v>104</v>
      </c>
    </row>
    <row r="46" spans="1:3" x14ac:dyDescent="0.35">
      <c r="A46" s="8" t="s">
        <v>61</v>
      </c>
      <c r="B46" s="4">
        <f>Assumptions!E22</f>
        <v>0.06</v>
      </c>
    </row>
    <row r="47" spans="1:3" x14ac:dyDescent="0.35">
      <c r="A47" s="8" t="s">
        <v>60</v>
      </c>
      <c r="B47" s="13">
        <f>(B45-B46)/(Assumptions!B4-B46)/B45</f>
        <v>19.999999999999996</v>
      </c>
    </row>
    <row r="48" spans="1:3" x14ac:dyDescent="0.35">
      <c r="A48" s="8" t="s">
        <v>85</v>
      </c>
      <c r="B48" s="13">
        <f>(B2/B18+10+B47)/3</f>
        <v>19.416195856873824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3507.6741954686954</v>
      </c>
      <c r="C52" s="13"/>
    </row>
    <row r="53" spans="1:3" x14ac:dyDescent="0.35">
      <c r="A53" s="8" t="s">
        <v>87</v>
      </c>
      <c r="B53" s="13">
        <f>(B23*2-B$23)*(1+B$44)^8*B$48/(1+Assumptions!B$4-B$14/B$2)^10</f>
        <v>4934.3216549823646</v>
      </c>
      <c r="C53" s="13"/>
    </row>
    <row r="54" spans="1:3" x14ac:dyDescent="0.35">
      <c r="A54" s="8" t="s">
        <v>102</v>
      </c>
      <c r="B54" s="13">
        <f>(B24*2-B$23)*(1+B$44)^8*B$48/(1+Assumptions!B$4-B$14/B$2)^10</f>
        <v>5480.6361003453439</v>
      </c>
      <c r="C54" s="1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F5EF-A45D-4AC2-8A98-78E10FC958DC}">
  <dimension ref="A1:K54"/>
  <sheetViews>
    <sheetView topLeftCell="A40" workbookViewId="0">
      <selection activeCell="C50" sqref="C50:C56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116</v>
      </c>
      <c r="I1" s="1" t="s">
        <v>118</v>
      </c>
      <c r="J1" s="1" t="str">
        <f>B1</f>
        <v>V</v>
      </c>
      <c r="K1" s="1" t="s">
        <v>116</v>
      </c>
    </row>
    <row r="2" spans="1:11" x14ac:dyDescent="0.35">
      <c r="A2" s="8" t="s">
        <v>84</v>
      </c>
      <c r="B2" s="2">
        <v>282</v>
      </c>
      <c r="I2" s="1" t="s">
        <v>119</v>
      </c>
      <c r="J2" s="1">
        <f>B2</f>
        <v>282</v>
      </c>
      <c r="K2" s="1">
        <v>282</v>
      </c>
    </row>
    <row r="3" spans="1:11" x14ac:dyDescent="0.35">
      <c r="I3" s="1" t="s">
        <v>120</v>
      </c>
      <c r="J3" s="1">
        <f>B18</f>
        <v>8</v>
      </c>
      <c r="K3" s="1">
        <v>8</v>
      </c>
    </row>
    <row r="4" spans="1:11" x14ac:dyDescent="0.35">
      <c r="A4" s="8" t="s">
        <v>67</v>
      </c>
      <c r="I4" s="1" t="s">
        <v>121</v>
      </c>
      <c r="J4" s="1">
        <f t="shared" ref="J4:J9" si="0">B19</f>
        <v>9.85</v>
      </c>
      <c r="K4" s="1">
        <v>9.85</v>
      </c>
    </row>
    <row r="5" spans="1:11" x14ac:dyDescent="0.35">
      <c r="B5" s="1" t="s">
        <v>56</v>
      </c>
      <c r="I5" s="1" t="s">
        <v>122</v>
      </c>
      <c r="J5" s="1">
        <f t="shared" si="0"/>
        <v>9.92</v>
      </c>
      <c r="K5" s="1">
        <v>9.92</v>
      </c>
    </row>
    <row r="6" spans="1:11" x14ac:dyDescent="0.35">
      <c r="A6" s="9" t="s">
        <v>41</v>
      </c>
      <c r="B6" s="11">
        <v>17273</v>
      </c>
      <c r="C6" s="1" t="s">
        <v>40</v>
      </c>
      <c r="D6" s="6"/>
      <c r="I6" s="1" t="s">
        <v>123</v>
      </c>
      <c r="J6" s="1">
        <f t="shared" si="0"/>
        <v>9.9600000000000009</v>
      </c>
      <c r="K6" s="1">
        <v>9.9600000000000009</v>
      </c>
    </row>
    <row r="7" spans="1:11" x14ac:dyDescent="0.35">
      <c r="A7" s="9" t="s">
        <v>37</v>
      </c>
      <c r="B7" s="11">
        <v>21927</v>
      </c>
      <c r="C7" s="1" t="s">
        <v>40</v>
      </c>
      <c r="D7" s="6"/>
      <c r="I7" s="1" t="s">
        <v>124</v>
      </c>
      <c r="J7" s="1">
        <f t="shared" si="0"/>
        <v>10.71</v>
      </c>
      <c r="K7" s="1">
        <v>10.71</v>
      </c>
    </row>
    <row r="8" spans="1:11" x14ac:dyDescent="0.35">
      <c r="A8" s="9" t="s">
        <v>42</v>
      </c>
      <c r="B8" s="11">
        <v>26086</v>
      </c>
      <c r="C8" s="1" t="s">
        <v>40</v>
      </c>
      <c r="D8" s="6"/>
      <c r="I8" s="1" t="s">
        <v>125</v>
      </c>
      <c r="J8" s="1">
        <f t="shared" si="0"/>
        <v>11.07</v>
      </c>
      <c r="K8" s="1">
        <v>11.07</v>
      </c>
    </row>
    <row r="9" spans="1:11" x14ac:dyDescent="0.35">
      <c r="A9" s="9" t="s">
        <v>43</v>
      </c>
      <c r="B9" s="11">
        <v>32653</v>
      </c>
      <c r="C9" s="1" t="s">
        <v>40</v>
      </c>
      <c r="D9" s="6"/>
      <c r="I9" s="1" t="s">
        <v>126</v>
      </c>
      <c r="J9" s="1">
        <f t="shared" si="0"/>
        <v>11.43</v>
      </c>
      <c r="K9" s="1">
        <v>11.43</v>
      </c>
    </row>
    <row r="10" spans="1:11" x14ac:dyDescent="0.35">
      <c r="A10" s="9" t="s">
        <v>44</v>
      </c>
      <c r="B10" s="12">
        <v>2085</v>
      </c>
      <c r="C10" s="1" t="s">
        <v>40</v>
      </c>
      <c r="D10" s="6"/>
      <c r="I10" s="1" t="s">
        <v>127</v>
      </c>
      <c r="J10" s="26">
        <f>B44*100</f>
        <v>14.016628579832416</v>
      </c>
      <c r="K10" s="1">
        <v>14.516628579832416</v>
      </c>
    </row>
    <row r="11" spans="1:11" x14ac:dyDescent="0.35">
      <c r="A11" s="9" t="s">
        <v>38</v>
      </c>
      <c r="B11" s="11">
        <v>90499</v>
      </c>
      <c r="C11" s="1" t="s">
        <v>40</v>
      </c>
      <c r="D11" s="6"/>
      <c r="I11" s="1" t="s">
        <v>128</v>
      </c>
      <c r="J11" s="26">
        <f>100+B45*100</f>
        <v>130</v>
      </c>
      <c r="K11" s="1">
        <v>130</v>
      </c>
    </row>
    <row r="12" spans="1:11" x14ac:dyDescent="0.35">
      <c r="A12" s="9" t="s">
        <v>39</v>
      </c>
      <c r="B12" s="11">
        <v>38733</v>
      </c>
      <c r="C12" s="1" t="s">
        <v>40</v>
      </c>
      <c r="D12" s="6"/>
      <c r="I12" s="1" t="s">
        <v>129</v>
      </c>
      <c r="J12" s="1">
        <f>130+IF(B39&gt;1,-20)+IF(B39&lt;-1,20)</f>
        <v>110</v>
      </c>
      <c r="K12" s="1">
        <v>110</v>
      </c>
    </row>
    <row r="13" spans="1:11" x14ac:dyDescent="0.35">
      <c r="A13" s="9" t="s">
        <v>45</v>
      </c>
      <c r="B13" s="11">
        <v>51766</v>
      </c>
      <c r="C13" s="1" t="s">
        <v>40</v>
      </c>
      <c r="D13" s="6"/>
      <c r="I13" s="1" t="s">
        <v>130</v>
      </c>
      <c r="J13" s="1">
        <f>MAX(J11:J12)*2</f>
        <v>260</v>
      </c>
      <c r="K13" s="1">
        <v>260</v>
      </c>
    </row>
    <row r="14" spans="1:11" x14ac:dyDescent="0.35">
      <c r="A14" s="8" t="s">
        <v>46</v>
      </c>
      <c r="B14" s="2">
        <v>2.08</v>
      </c>
      <c r="C14" s="1" t="s">
        <v>47</v>
      </c>
      <c r="D14" s="15"/>
      <c r="I14" s="1" t="s">
        <v>131</v>
      </c>
      <c r="J14" s="26">
        <f>B14/B2*100</f>
        <v>0.73758865248226957</v>
      </c>
      <c r="K14" s="1">
        <v>0.73758865248226957</v>
      </c>
    </row>
    <row r="15" spans="1:11" x14ac:dyDescent="0.35">
      <c r="I15" s="1" t="s">
        <v>132</v>
      </c>
      <c r="J15" s="26">
        <f>B46*100</f>
        <v>6</v>
      </c>
      <c r="K15" s="1">
        <v>6</v>
      </c>
    </row>
    <row r="16" spans="1:11" x14ac:dyDescent="0.35">
      <c r="A16" s="1" t="s">
        <v>66</v>
      </c>
      <c r="I16" s="1" t="s">
        <v>133</v>
      </c>
      <c r="J16" s="26">
        <f>B45*100</f>
        <v>30</v>
      </c>
      <c r="K16" s="1">
        <v>30</v>
      </c>
    </row>
    <row r="17" spans="1:11" x14ac:dyDescent="0.35">
      <c r="B17" s="1" t="s">
        <v>55</v>
      </c>
      <c r="D17" s="1" t="s">
        <v>43</v>
      </c>
      <c r="F17" s="44"/>
      <c r="I17" s="1" t="s">
        <v>134</v>
      </c>
      <c r="J17" s="26">
        <f>B48</f>
        <v>21.75</v>
      </c>
      <c r="K17" s="1">
        <v>21.75</v>
      </c>
    </row>
    <row r="18" spans="1:11" x14ac:dyDescent="0.35">
      <c r="A18" s="8" t="s">
        <v>48</v>
      </c>
      <c r="B18" s="7">
        <v>8</v>
      </c>
      <c r="C18" s="1" t="s">
        <v>47</v>
      </c>
      <c r="D18" s="14">
        <v>29.78</v>
      </c>
      <c r="E18" s="1" t="s">
        <v>91</v>
      </c>
      <c r="F18" s="3"/>
      <c r="H18" s="6"/>
      <c r="I18" s="1" t="s">
        <v>141</v>
      </c>
      <c r="J18" s="26">
        <f>B52</f>
        <v>265.11686898779658</v>
      </c>
    </row>
    <row r="19" spans="1:11" x14ac:dyDescent="0.35">
      <c r="A19" s="8" t="s">
        <v>49</v>
      </c>
      <c r="B19" s="7">
        <v>9.85</v>
      </c>
      <c r="C19" s="1" t="s">
        <v>47</v>
      </c>
      <c r="D19" s="14">
        <v>35.47</v>
      </c>
      <c r="E19" s="1" t="s">
        <v>91</v>
      </c>
      <c r="F19" s="43"/>
      <c r="H19" s="6"/>
    </row>
    <row r="20" spans="1:11" x14ac:dyDescent="0.35">
      <c r="A20" s="8" t="s">
        <v>53</v>
      </c>
      <c r="B20" s="7">
        <v>9.92</v>
      </c>
      <c r="C20" s="1" t="s">
        <v>47</v>
      </c>
      <c r="D20" s="14">
        <v>35.94</v>
      </c>
      <c r="E20" s="1" t="s">
        <v>91</v>
      </c>
      <c r="F20" s="43"/>
      <c r="H20" s="6"/>
    </row>
    <row r="21" spans="1:11" x14ac:dyDescent="0.35">
      <c r="A21" s="8" t="s">
        <v>54</v>
      </c>
      <c r="B21" s="7">
        <v>9.9600000000000009</v>
      </c>
      <c r="C21" s="1" t="s">
        <v>47</v>
      </c>
      <c r="D21" s="14">
        <v>36.450000000000003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10.71</v>
      </c>
      <c r="C22" s="1" t="s">
        <v>47</v>
      </c>
      <c r="D22" s="14">
        <v>38.659999999999997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11.07</v>
      </c>
      <c r="C23" s="1" t="s">
        <v>47</v>
      </c>
      <c r="D23" s="14">
        <v>39.700000000000003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11.43</v>
      </c>
      <c r="C24" s="1" t="s">
        <v>47</v>
      </c>
      <c r="D24" s="14">
        <v>40.46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0.16</v>
      </c>
    </row>
    <row r="29" spans="1:11" x14ac:dyDescent="0.35">
      <c r="A29" s="8" t="s">
        <v>58</v>
      </c>
      <c r="B29" s="5">
        <v>0.13</v>
      </c>
    </row>
    <row r="30" spans="1:11" x14ac:dyDescent="0.35">
      <c r="A30" s="8" t="s">
        <v>59</v>
      </c>
      <c r="B30" s="5">
        <v>0.24</v>
      </c>
    </row>
    <row r="31" spans="1:11" x14ac:dyDescent="0.35">
      <c r="A31" s="8" t="s">
        <v>94</v>
      </c>
      <c r="B31" s="5">
        <v>0.12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0.44595048150156197</v>
      </c>
      <c r="C35" s="1" t="s">
        <v>72</v>
      </c>
    </row>
    <row r="36" spans="1:3" x14ac:dyDescent="0.35">
      <c r="A36" s="8" t="s">
        <v>70</v>
      </c>
      <c r="B36" s="4">
        <f>B7/B11</f>
        <v>0.24228997005491773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0.1569984198720428</v>
      </c>
      <c r="C37" s="1" t="s">
        <v>83</v>
      </c>
    </row>
    <row r="38" spans="1:3" x14ac:dyDescent="0.35">
      <c r="A38" s="8" t="s">
        <v>71</v>
      </c>
      <c r="B38" s="4">
        <f>(B23-B22)/B23</f>
        <v>3.252032520325198E-2</v>
      </c>
      <c r="C38" s="1" t="s">
        <v>74</v>
      </c>
    </row>
    <row r="39" spans="1:3" x14ac:dyDescent="0.35">
      <c r="A39" s="8" t="s">
        <v>63</v>
      </c>
      <c r="B39" s="17">
        <f>(B36-Assumptions!$B$3)/B36/B38/Assumptions!B5</f>
        <v>6.474609616045087</v>
      </c>
      <c r="C39" s="1" t="s">
        <v>75</v>
      </c>
    </row>
    <row r="40" spans="1:3" x14ac:dyDescent="0.35">
      <c r="A40" s="8" t="s">
        <v>76</v>
      </c>
      <c r="B40" s="21">
        <f>Assumptions!D17</f>
        <v>0.09</v>
      </c>
    </row>
    <row r="41" spans="1:3" x14ac:dyDescent="0.35">
      <c r="A41" s="8" t="s">
        <v>79</v>
      </c>
      <c r="B41" s="20">
        <f>(D23/D18)^0.5-1</f>
        <v>0.15460359840188387</v>
      </c>
    </row>
    <row r="42" spans="1:3" x14ac:dyDescent="0.35">
      <c r="A42" s="8" t="s">
        <v>80</v>
      </c>
      <c r="B42" s="20">
        <f>(B35-B41)/B48</f>
        <v>1.3395258993088648E-2</v>
      </c>
    </row>
    <row r="43" spans="1:3" x14ac:dyDescent="0.35">
      <c r="A43" s="8" t="s">
        <v>77</v>
      </c>
      <c r="B43" s="19">
        <f>AVERAGE(B28:B31)</f>
        <v>0.16250000000000001</v>
      </c>
    </row>
    <row r="44" spans="1:3" x14ac:dyDescent="0.35">
      <c r="A44" s="8" t="s">
        <v>78</v>
      </c>
      <c r="B44" s="18">
        <f>SUM(B40:B43)/3</f>
        <v>0.14016628579832416</v>
      </c>
    </row>
    <row r="45" spans="1:3" x14ac:dyDescent="0.35">
      <c r="A45" s="8" t="s">
        <v>81</v>
      </c>
      <c r="B45" s="16">
        <v>0.3</v>
      </c>
      <c r="C45" s="1" t="s">
        <v>104</v>
      </c>
    </row>
    <row r="46" spans="1:3" x14ac:dyDescent="0.35">
      <c r="A46" s="8" t="s">
        <v>61</v>
      </c>
      <c r="B46" s="4">
        <f>Assumptions!E22</f>
        <v>0.06</v>
      </c>
    </row>
    <row r="47" spans="1:3" x14ac:dyDescent="0.35">
      <c r="A47" s="8" t="s">
        <v>60</v>
      </c>
      <c r="B47" s="13">
        <f>(B45-B46)/(Assumptions!B4-B46)/B45</f>
        <v>19.999999999999996</v>
      </c>
    </row>
    <row r="48" spans="1:3" x14ac:dyDescent="0.35">
      <c r="A48" s="8" t="s">
        <v>85</v>
      </c>
      <c r="B48" s="13">
        <f>(B2/B18+10+B47)/3</f>
        <v>21.75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265.11686898779658</v>
      </c>
      <c r="C52" s="13"/>
    </row>
    <row r="53" spans="1:3" x14ac:dyDescent="0.35">
      <c r="A53" s="8" t="s">
        <v>87</v>
      </c>
      <c r="B53" s="13">
        <f>(B23*2-B$23)*(1+B$44)^8*B$48/(1+Assumptions!B$4-B$14/B$2)^10</f>
        <v>283.55978161303454</v>
      </c>
      <c r="C53" s="13"/>
    </row>
    <row r="54" spans="1:3" x14ac:dyDescent="0.35">
      <c r="A54" s="8" t="s">
        <v>102</v>
      </c>
      <c r="B54" s="13">
        <f>(B24*2-B$23)*(1+B$44)^8*B$48/(1+Assumptions!B$4-B$14/B$2)^10</f>
        <v>302.00269423827257</v>
      </c>
      <c r="C54" s="1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A46C-F038-439D-BC5E-661DB3BBA22C}">
  <dimension ref="A1:K54"/>
  <sheetViews>
    <sheetView topLeftCell="A40" workbookViewId="0">
      <selection activeCell="C50" sqref="C50:C58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135</v>
      </c>
      <c r="I1" s="1" t="s">
        <v>118</v>
      </c>
      <c r="J1" s="1" t="str">
        <f>B1</f>
        <v>MA</v>
      </c>
      <c r="K1" s="1" t="s">
        <v>135</v>
      </c>
    </row>
    <row r="2" spans="1:11" x14ac:dyDescent="0.35">
      <c r="A2" s="8" t="s">
        <v>84</v>
      </c>
      <c r="B2" s="2">
        <v>508</v>
      </c>
      <c r="I2" s="1" t="s">
        <v>119</v>
      </c>
      <c r="J2" s="1">
        <f>B2</f>
        <v>508</v>
      </c>
      <c r="K2" s="1">
        <v>508</v>
      </c>
    </row>
    <row r="3" spans="1:11" x14ac:dyDescent="0.35">
      <c r="I3" s="1" t="s">
        <v>120</v>
      </c>
      <c r="J3" s="1">
        <f>B18</f>
        <v>12.26</v>
      </c>
      <c r="K3" s="1">
        <v>12.26</v>
      </c>
    </row>
    <row r="4" spans="1:11" x14ac:dyDescent="0.35">
      <c r="A4" s="8" t="s">
        <v>67</v>
      </c>
      <c r="I4" s="1" t="s">
        <v>121</v>
      </c>
      <c r="J4" s="1">
        <f t="shared" ref="J4:J9" si="0">B19</f>
        <v>13.98</v>
      </c>
      <c r="K4" s="1">
        <v>13.98</v>
      </c>
    </row>
    <row r="5" spans="1:11" x14ac:dyDescent="0.35">
      <c r="B5" s="1" t="s">
        <v>56</v>
      </c>
      <c r="I5" s="1" t="s">
        <v>122</v>
      </c>
      <c r="J5" s="1">
        <f t="shared" si="0"/>
        <v>14.31</v>
      </c>
      <c r="K5" s="1">
        <v>14.31</v>
      </c>
    </row>
    <row r="6" spans="1:11" x14ac:dyDescent="0.35">
      <c r="A6" s="9" t="s">
        <v>41</v>
      </c>
      <c r="B6" s="11">
        <v>11195</v>
      </c>
      <c r="C6" s="1" t="s">
        <v>40</v>
      </c>
      <c r="D6" s="6"/>
      <c r="I6" s="1" t="s">
        <v>123</v>
      </c>
      <c r="J6" s="1">
        <f t="shared" si="0"/>
        <v>14.65</v>
      </c>
      <c r="K6" s="1">
        <v>14.65</v>
      </c>
    </row>
    <row r="7" spans="1:11" x14ac:dyDescent="0.35">
      <c r="A7" s="9" t="s">
        <v>37</v>
      </c>
      <c r="B7" s="11">
        <v>14630</v>
      </c>
      <c r="C7" s="1" t="s">
        <v>40</v>
      </c>
      <c r="D7" s="6"/>
      <c r="I7" s="1" t="s">
        <v>124</v>
      </c>
      <c r="J7" s="1">
        <f t="shared" si="0"/>
        <v>15.94</v>
      </c>
      <c r="K7" s="1">
        <v>15.94</v>
      </c>
    </row>
    <row r="8" spans="1:11" x14ac:dyDescent="0.35">
      <c r="A8" s="9" t="s">
        <v>42</v>
      </c>
      <c r="B8" s="11">
        <v>19076</v>
      </c>
      <c r="C8" s="1" t="s">
        <v>40</v>
      </c>
      <c r="D8" s="6"/>
      <c r="I8" s="1" t="s">
        <v>125</v>
      </c>
      <c r="J8" s="1">
        <f t="shared" si="0"/>
        <v>16.64</v>
      </c>
      <c r="K8" s="1">
        <v>16.64</v>
      </c>
    </row>
    <row r="9" spans="1:11" x14ac:dyDescent="0.35">
      <c r="A9" s="9" t="s">
        <v>43</v>
      </c>
      <c r="B9" s="11">
        <v>25098</v>
      </c>
      <c r="C9" s="1" t="s">
        <v>40</v>
      </c>
      <c r="D9" s="6"/>
      <c r="I9" s="1" t="s">
        <v>126</v>
      </c>
      <c r="J9" s="1">
        <f t="shared" si="0"/>
        <v>17.25</v>
      </c>
      <c r="K9" s="1">
        <v>17.25</v>
      </c>
    </row>
    <row r="10" spans="1:11" x14ac:dyDescent="0.35">
      <c r="A10" s="9" t="s">
        <v>44</v>
      </c>
      <c r="B10" s="12">
        <v>946</v>
      </c>
      <c r="C10" s="1" t="s">
        <v>40</v>
      </c>
      <c r="D10" s="6"/>
      <c r="I10" s="1" t="s">
        <v>127</v>
      </c>
      <c r="J10" s="26">
        <f>B44*100</f>
        <v>14.427703315162562</v>
      </c>
      <c r="K10" s="1">
        <v>14.927703315162558</v>
      </c>
    </row>
    <row r="11" spans="1:11" x14ac:dyDescent="0.35">
      <c r="A11" s="9" t="s">
        <v>38</v>
      </c>
      <c r="B11" s="11">
        <v>42448</v>
      </c>
      <c r="C11" s="1" t="s">
        <v>40</v>
      </c>
      <c r="D11" s="6"/>
      <c r="I11" s="1" t="s">
        <v>128</v>
      </c>
      <c r="J11" s="26">
        <f>100+B45*100</f>
        <v>130</v>
      </c>
      <c r="K11" s="1">
        <v>130</v>
      </c>
    </row>
    <row r="12" spans="1:11" x14ac:dyDescent="0.35">
      <c r="A12" s="9" t="s">
        <v>39</v>
      </c>
      <c r="B12" s="11">
        <v>6929</v>
      </c>
      <c r="C12" s="1" t="s">
        <v>40</v>
      </c>
      <c r="D12" s="6"/>
      <c r="I12" s="1" t="s">
        <v>129</v>
      </c>
      <c r="J12" s="1">
        <f>130+IF(B39&gt;1,-20)+IF(B39&lt;-1,20)</f>
        <v>110</v>
      </c>
      <c r="K12" s="1">
        <v>110</v>
      </c>
    </row>
    <row r="13" spans="1:11" x14ac:dyDescent="0.35">
      <c r="A13" s="9" t="s">
        <v>45</v>
      </c>
      <c r="B13" s="11">
        <v>35451</v>
      </c>
      <c r="C13" s="1" t="s">
        <v>40</v>
      </c>
      <c r="D13" s="6"/>
      <c r="I13" s="1" t="s">
        <v>130</v>
      </c>
      <c r="J13" s="1">
        <f>MAX(J11:J12)*2</f>
        <v>260</v>
      </c>
      <c r="K13" s="1">
        <v>260</v>
      </c>
    </row>
    <row r="14" spans="1:11" x14ac:dyDescent="0.35">
      <c r="A14" s="8" t="s">
        <v>46</v>
      </c>
      <c r="B14" s="2">
        <v>2.64</v>
      </c>
      <c r="C14" s="1" t="s">
        <v>47</v>
      </c>
      <c r="D14" s="15"/>
      <c r="I14" s="1" t="s">
        <v>131</v>
      </c>
      <c r="J14" s="26">
        <f>B14/B2*100</f>
        <v>0.51968503937007871</v>
      </c>
      <c r="K14" s="1">
        <v>0.51968503937007871</v>
      </c>
    </row>
    <row r="15" spans="1:11" x14ac:dyDescent="0.35">
      <c r="I15" s="1" t="s">
        <v>132</v>
      </c>
      <c r="J15" s="26">
        <f>B46*100</f>
        <v>6</v>
      </c>
      <c r="K15" s="1">
        <v>6</v>
      </c>
    </row>
    <row r="16" spans="1:11" x14ac:dyDescent="0.35">
      <c r="A16" s="1" t="s">
        <v>66</v>
      </c>
      <c r="I16" s="1" t="s">
        <v>133</v>
      </c>
      <c r="J16" s="26">
        <f>B45*100</f>
        <v>30</v>
      </c>
      <c r="K16" s="1">
        <v>30</v>
      </c>
    </row>
    <row r="17" spans="1:11" x14ac:dyDescent="0.35">
      <c r="B17" s="1" t="s">
        <v>55</v>
      </c>
      <c r="D17" s="1" t="s">
        <v>43</v>
      </c>
      <c r="F17" s="44"/>
      <c r="I17" s="1" t="s">
        <v>134</v>
      </c>
      <c r="J17" s="26">
        <f>B48</f>
        <v>23.811854268624248</v>
      </c>
      <c r="K17" s="1">
        <v>23.811854268624248</v>
      </c>
    </row>
    <row r="18" spans="1:11" x14ac:dyDescent="0.35">
      <c r="A18" s="8" t="s">
        <v>48</v>
      </c>
      <c r="B18" s="7">
        <v>12.26</v>
      </c>
      <c r="C18" s="1" t="s">
        <v>47</v>
      </c>
      <c r="D18" s="14">
        <v>25.1</v>
      </c>
      <c r="E18" s="1" t="s">
        <v>91</v>
      </c>
      <c r="F18" s="3"/>
      <c r="H18" s="6"/>
      <c r="I18" s="1" t="s">
        <v>141</v>
      </c>
      <c r="J18" s="26">
        <f>B52</f>
        <v>431.18858161548388</v>
      </c>
    </row>
    <row r="19" spans="1:11" x14ac:dyDescent="0.35">
      <c r="A19" s="8" t="s">
        <v>49</v>
      </c>
      <c r="B19" s="7">
        <v>13.98</v>
      </c>
      <c r="C19" s="1" t="s">
        <v>47</v>
      </c>
      <c r="D19" s="14">
        <v>27.69</v>
      </c>
      <c r="E19" s="1" t="s">
        <v>91</v>
      </c>
      <c r="F19" s="43"/>
      <c r="H19" s="6"/>
    </row>
    <row r="20" spans="1:11" x14ac:dyDescent="0.35">
      <c r="A20" s="8" t="s">
        <v>53</v>
      </c>
      <c r="B20" s="7">
        <v>14.31</v>
      </c>
      <c r="C20" s="1" t="s">
        <v>47</v>
      </c>
      <c r="D20" s="14">
        <v>27.85</v>
      </c>
      <c r="E20" s="1" t="s">
        <v>91</v>
      </c>
      <c r="F20" s="43"/>
      <c r="H20" s="6"/>
    </row>
    <row r="21" spans="1:11" x14ac:dyDescent="0.35">
      <c r="A21" s="8" t="s">
        <v>54</v>
      </c>
      <c r="B21" s="7">
        <v>14.65</v>
      </c>
      <c r="C21" s="1" t="s">
        <v>47</v>
      </c>
      <c r="D21" s="14">
        <v>28.08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15.94</v>
      </c>
      <c r="C22" s="1" t="s">
        <v>47</v>
      </c>
      <c r="D22" s="14">
        <v>30.8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16.64</v>
      </c>
      <c r="C23" s="1" t="s">
        <v>47</v>
      </c>
      <c r="D23" s="14">
        <v>31.34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17.25</v>
      </c>
      <c r="C24" s="1" t="s">
        <v>47</v>
      </c>
      <c r="D24" s="14">
        <v>31.9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0.16</v>
      </c>
    </row>
    <row r="29" spans="1:11" x14ac:dyDescent="0.35">
      <c r="A29" s="8" t="s">
        <v>58</v>
      </c>
      <c r="B29" s="5">
        <v>0.16</v>
      </c>
    </row>
    <row r="30" spans="1:11" x14ac:dyDescent="0.35">
      <c r="A30" s="8" t="s">
        <v>59</v>
      </c>
      <c r="B30" s="5">
        <v>0.17</v>
      </c>
    </row>
    <row r="31" spans="1:11" x14ac:dyDescent="0.35">
      <c r="A31" s="8" t="s">
        <v>94</v>
      </c>
      <c r="B31" s="5">
        <v>0.16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1.6156732573242891</v>
      </c>
      <c r="C35" s="1" t="s">
        <v>72</v>
      </c>
    </row>
    <row r="36" spans="1:3" x14ac:dyDescent="0.35">
      <c r="A36" s="8" t="s">
        <v>70</v>
      </c>
      <c r="B36" s="4">
        <f>B7/B11</f>
        <v>0.34465699208443273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9.0728656238220878E-2</v>
      </c>
      <c r="C37" s="1" t="s">
        <v>83</v>
      </c>
    </row>
    <row r="38" spans="1:3" x14ac:dyDescent="0.35">
      <c r="A38" s="8" t="s">
        <v>71</v>
      </c>
      <c r="B38" s="4">
        <f>(B23-B22)/B23</f>
        <v>4.2067307692307758E-2</v>
      </c>
      <c r="C38" s="1" t="s">
        <v>74</v>
      </c>
    </row>
    <row r="39" spans="1:3" x14ac:dyDescent="0.35">
      <c r="A39" s="8" t="s">
        <v>63</v>
      </c>
      <c r="B39" s="17">
        <f>(B36-Assumptions!$B$3)/B36/B38/Assumptions!B5</f>
        <v>5.3917806017827417</v>
      </c>
      <c r="C39" s="1" t="s">
        <v>75</v>
      </c>
    </row>
    <row r="40" spans="1:3" x14ac:dyDescent="0.35">
      <c r="A40" s="8" t="s">
        <v>76</v>
      </c>
      <c r="B40" s="21">
        <f>Assumptions!D17</f>
        <v>0.09</v>
      </c>
    </row>
    <row r="41" spans="1:3" x14ac:dyDescent="0.35">
      <c r="A41" s="8" t="s">
        <v>79</v>
      </c>
      <c r="B41" s="20">
        <f>(D23/D18)^0.5-1</f>
        <v>0.1174102101239467</v>
      </c>
    </row>
    <row r="42" spans="1:3" x14ac:dyDescent="0.35">
      <c r="A42" s="8" t="s">
        <v>80</v>
      </c>
      <c r="B42" s="20">
        <f>(B35-B41)/B48</f>
        <v>6.2920889330930124E-2</v>
      </c>
    </row>
    <row r="43" spans="1:3" x14ac:dyDescent="0.35">
      <c r="A43" s="8" t="s">
        <v>77</v>
      </c>
      <c r="B43" s="19">
        <f>AVERAGE(B28:B31)</f>
        <v>0.16250000000000001</v>
      </c>
    </row>
    <row r="44" spans="1:3" x14ac:dyDescent="0.35">
      <c r="A44" s="8" t="s">
        <v>78</v>
      </c>
      <c r="B44" s="18">
        <f>SUM(B40:B43)/3</f>
        <v>0.14427703315162563</v>
      </c>
    </row>
    <row r="45" spans="1:3" x14ac:dyDescent="0.35">
      <c r="A45" s="8" t="s">
        <v>81</v>
      </c>
      <c r="B45" s="16">
        <v>0.3</v>
      </c>
      <c r="C45" s="1" t="s">
        <v>104</v>
      </c>
    </row>
    <row r="46" spans="1:3" x14ac:dyDescent="0.35">
      <c r="A46" s="8" t="s">
        <v>61</v>
      </c>
      <c r="B46" s="4">
        <f>Assumptions!E22</f>
        <v>0.06</v>
      </c>
    </row>
    <row r="47" spans="1:3" x14ac:dyDescent="0.35">
      <c r="A47" s="8" t="s">
        <v>60</v>
      </c>
      <c r="B47" s="13">
        <f>(B45-B46)/(Assumptions!B4-B46)/B45</f>
        <v>19.999999999999996</v>
      </c>
    </row>
    <row r="48" spans="1:3" x14ac:dyDescent="0.35">
      <c r="A48" s="8" t="s">
        <v>85</v>
      </c>
      <c r="B48" s="13">
        <f>(B2/B18+10+B47)/3</f>
        <v>23.811854268624248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431.18858161548388</v>
      </c>
      <c r="C52" s="13"/>
    </row>
    <row r="53" spans="1:3" x14ac:dyDescent="0.35">
      <c r="A53" s="8" t="s">
        <v>87</v>
      </c>
      <c r="B53" s="13">
        <f>(B23*2-B$23)*(1+B$44)^8*B$48/(1+Assumptions!B$4-B$14/B$2)^10</f>
        <v>470.79908123895365</v>
      </c>
      <c r="C53" s="13"/>
    </row>
    <row r="54" spans="1:3" x14ac:dyDescent="0.35">
      <c r="A54" s="8" t="s">
        <v>102</v>
      </c>
      <c r="B54" s="13">
        <f>(B24*2-B$23)*(1+B$44)^8*B$48/(1+Assumptions!B$4-B$14/B$2)^10</f>
        <v>505.31680233940574</v>
      </c>
      <c r="C54" s="1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E4B1-B1BA-4973-BF71-965D81323301}">
  <dimension ref="A1:K54"/>
  <sheetViews>
    <sheetView topLeftCell="A40" workbookViewId="0">
      <selection activeCell="C50" sqref="C50:C57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138</v>
      </c>
      <c r="I1" s="1" t="s">
        <v>118</v>
      </c>
      <c r="J1" s="1" t="str">
        <f>B1</f>
        <v>FSLR</v>
      </c>
      <c r="K1" s="1" t="s">
        <v>138</v>
      </c>
    </row>
    <row r="2" spans="1:11" x14ac:dyDescent="0.35">
      <c r="A2" s="8" t="s">
        <v>84</v>
      </c>
      <c r="B2" s="2">
        <v>210</v>
      </c>
      <c r="I2" s="1" t="s">
        <v>119</v>
      </c>
      <c r="J2" s="1">
        <f>B2</f>
        <v>210</v>
      </c>
      <c r="K2" s="1">
        <v>210</v>
      </c>
    </row>
    <row r="3" spans="1:11" x14ac:dyDescent="0.35">
      <c r="I3" s="1" t="s">
        <v>120</v>
      </c>
      <c r="J3" s="1">
        <f>B18</f>
        <v>7.74</v>
      </c>
      <c r="K3" s="1">
        <v>7.74</v>
      </c>
    </row>
    <row r="4" spans="1:11" x14ac:dyDescent="0.35">
      <c r="A4" s="8" t="s">
        <v>67</v>
      </c>
      <c r="I4" s="1" t="s">
        <v>121</v>
      </c>
      <c r="J4" s="1">
        <f t="shared" ref="J4:J9" si="0">B19</f>
        <v>12.79</v>
      </c>
      <c r="K4" s="1">
        <v>12.79</v>
      </c>
    </row>
    <row r="5" spans="1:11" x14ac:dyDescent="0.35">
      <c r="B5" s="1" t="s">
        <v>56</v>
      </c>
      <c r="I5" s="1" t="s">
        <v>122</v>
      </c>
      <c r="J5" s="1">
        <f t="shared" si="0"/>
        <v>13.44</v>
      </c>
      <c r="K5" s="1">
        <v>13.44</v>
      </c>
    </row>
    <row r="6" spans="1:11" x14ac:dyDescent="0.35">
      <c r="A6" s="9" t="s">
        <v>41</v>
      </c>
      <c r="B6" s="11">
        <v>831</v>
      </c>
      <c r="C6" s="1" t="s">
        <v>40</v>
      </c>
      <c r="D6" s="6"/>
      <c r="I6" s="1" t="s">
        <v>123</v>
      </c>
      <c r="J6" s="1">
        <f t="shared" si="0"/>
        <v>14.43</v>
      </c>
      <c r="K6" s="1">
        <v>14.43</v>
      </c>
    </row>
    <row r="7" spans="1:11" x14ac:dyDescent="0.35">
      <c r="A7" s="9" t="s">
        <v>37</v>
      </c>
      <c r="B7" s="11">
        <v>886</v>
      </c>
      <c r="C7" s="1" t="s">
        <v>40</v>
      </c>
      <c r="D7" s="6"/>
      <c r="I7" s="1" t="s">
        <v>124</v>
      </c>
      <c r="J7" s="1">
        <f t="shared" si="0"/>
        <v>15.05</v>
      </c>
      <c r="K7" s="1">
        <v>15.05</v>
      </c>
    </row>
    <row r="8" spans="1:11" x14ac:dyDescent="0.35">
      <c r="A8" s="9" t="s">
        <v>42</v>
      </c>
      <c r="B8" s="11">
        <v>1301</v>
      </c>
      <c r="C8" s="1" t="s">
        <v>40</v>
      </c>
      <c r="D8" s="6"/>
      <c r="I8" s="1" t="s">
        <v>125</v>
      </c>
      <c r="J8" s="1">
        <f t="shared" si="0"/>
        <v>21.31</v>
      </c>
      <c r="K8" s="1">
        <v>21.31</v>
      </c>
    </row>
    <row r="9" spans="1:11" x14ac:dyDescent="0.35">
      <c r="A9" s="9" t="s">
        <v>43</v>
      </c>
      <c r="B9" s="11">
        <v>3319</v>
      </c>
      <c r="C9" s="1" t="s">
        <v>40</v>
      </c>
      <c r="D9" s="6"/>
      <c r="I9" s="1" t="s">
        <v>126</v>
      </c>
      <c r="J9" s="1">
        <f t="shared" si="0"/>
        <v>23.79</v>
      </c>
      <c r="K9" s="1">
        <v>23.79</v>
      </c>
    </row>
    <row r="10" spans="1:11" x14ac:dyDescent="0.35">
      <c r="A10" s="9" t="s">
        <v>44</v>
      </c>
      <c r="B10" s="12">
        <v>107</v>
      </c>
      <c r="C10" s="1" t="s">
        <v>40</v>
      </c>
      <c r="D10" s="6"/>
      <c r="I10" s="1" t="s">
        <v>127</v>
      </c>
      <c r="J10" s="26">
        <f>B44*100</f>
        <v>15.827803336540988</v>
      </c>
      <c r="K10" s="1">
        <v>15.827803336540988</v>
      </c>
    </row>
    <row r="11" spans="1:11" x14ac:dyDescent="0.35">
      <c r="A11" s="9" t="s">
        <v>38</v>
      </c>
      <c r="B11" s="11">
        <v>10365</v>
      </c>
      <c r="C11" s="1" t="s">
        <v>40</v>
      </c>
      <c r="D11" s="6"/>
      <c r="I11" s="1" t="s">
        <v>128</v>
      </c>
      <c r="J11" s="26">
        <f>100+B45*100</f>
        <v>121.21354867653656</v>
      </c>
      <c r="K11" s="1">
        <v>121.21354867653656</v>
      </c>
    </row>
    <row r="12" spans="1:11" x14ac:dyDescent="0.35">
      <c r="A12" s="9" t="s">
        <v>39</v>
      </c>
      <c r="B12" s="11">
        <v>6687</v>
      </c>
      <c r="C12" s="1" t="s">
        <v>40</v>
      </c>
      <c r="D12" s="6"/>
      <c r="I12" s="1" t="s">
        <v>129</v>
      </c>
      <c r="J12" s="1">
        <f>130+IF(B39&gt;1,-20)+IF(B39&lt;-1,20)</f>
        <v>130</v>
      </c>
      <c r="K12" s="1">
        <v>130</v>
      </c>
    </row>
    <row r="13" spans="1:11" x14ac:dyDescent="0.35">
      <c r="A13" s="9" t="s">
        <v>45</v>
      </c>
      <c r="B13" s="11">
        <v>3678</v>
      </c>
      <c r="C13" s="1" t="s">
        <v>40</v>
      </c>
      <c r="D13" s="6"/>
      <c r="I13" s="1" t="s">
        <v>130</v>
      </c>
      <c r="J13" s="1">
        <f>MAX(J11:J12)*2</f>
        <v>260</v>
      </c>
      <c r="K13" s="1">
        <v>260</v>
      </c>
    </row>
    <row r="14" spans="1:11" x14ac:dyDescent="0.35">
      <c r="A14" s="8" t="s">
        <v>46</v>
      </c>
      <c r="B14" s="2">
        <v>0</v>
      </c>
      <c r="C14" s="1" t="s">
        <v>47</v>
      </c>
      <c r="D14" s="15"/>
      <c r="I14" s="1" t="s">
        <v>131</v>
      </c>
      <c r="J14" s="26">
        <f>B14/B2*100</f>
        <v>0</v>
      </c>
      <c r="K14" s="1">
        <v>0</v>
      </c>
    </row>
    <row r="15" spans="1:11" x14ac:dyDescent="0.35">
      <c r="I15" s="1" t="s">
        <v>132</v>
      </c>
      <c r="J15" s="26">
        <f>B46*100</f>
        <v>2.5936328924845542</v>
      </c>
      <c r="K15" s="1">
        <v>2.5936328924845542</v>
      </c>
    </row>
    <row r="16" spans="1:11" x14ac:dyDescent="0.35">
      <c r="A16" s="1" t="s">
        <v>66</v>
      </c>
      <c r="I16" s="1" t="s">
        <v>133</v>
      </c>
      <c r="J16" s="26">
        <f>B45*100</f>
        <v>21.213548676536565</v>
      </c>
      <c r="K16" s="1">
        <v>21.213548676536565</v>
      </c>
    </row>
    <row r="17" spans="1:11" x14ac:dyDescent="0.35">
      <c r="B17" s="1" t="s">
        <v>55</v>
      </c>
      <c r="D17" s="1" t="s">
        <v>43</v>
      </c>
      <c r="F17" s="44"/>
      <c r="I17" s="1" t="s">
        <v>134</v>
      </c>
      <c r="J17" s="26">
        <f>B48</f>
        <v>16.327632106231974</v>
      </c>
      <c r="K17" s="1">
        <v>16.327632106231974</v>
      </c>
    </row>
    <row r="18" spans="1:11" x14ac:dyDescent="0.35">
      <c r="A18" s="8" t="s">
        <v>48</v>
      </c>
      <c r="B18" s="7">
        <v>7.74</v>
      </c>
      <c r="C18" s="1" t="s">
        <v>47</v>
      </c>
      <c r="D18" s="14">
        <v>3.32</v>
      </c>
      <c r="E18" s="1" t="s">
        <v>91</v>
      </c>
      <c r="F18" s="3"/>
      <c r="H18" s="6"/>
    </row>
    <row r="19" spans="1:11" x14ac:dyDescent="0.35">
      <c r="A19" s="8" t="s">
        <v>49</v>
      </c>
      <c r="B19" s="7">
        <v>12.79</v>
      </c>
      <c r="C19" s="1" t="s">
        <v>47</v>
      </c>
      <c r="D19" s="14">
        <v>4.4000000000000004</v>
      </c>
      <c r="E19" s="1" t="s">
        <v>91</v>
      </c>
      <c r="F19" s="43"/>
      <c r="H19" s="6"/>
    </row>
    <row r="20" spans="1:11" x14ac:dyDescent="0.35">
      <c r="A20" s="8" t="s">
        <v>53</v>
      </c>
      <c r="B20" s="7">
        <v>13.44</v>
      </c>
      <c r="C20" s="1" t="s">
        <v>47</v>
      </c>
      <c r="D20" s="14">
        <v>4.5199999999999996</v>
      </c>
      <c r="E20" s="1" t="s">
        <v>91</v>
      </c>
      <c r="F20" s="43"/>
      <c r="H20" s="6"/>
    </row>
    <row r="21" spans="1:11" x14ac:dyDescent="0.35">
      <c r="A21" s="8" t="s">
        <v>54</v>
      </c>
      <c r="B21" s="7">
        <v>14.43</v>
      </c>
      <c r="C21" s="1" t="s">
        <v>47</v>
      </c>
      <c r="D21" s="14">
        <v>4.5999999999999996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15.05</v>
      </c>
      <c r="C22" s="1" t="s">
        <v>47</v>
      </c>
      <c r="D22" s="14">
        <v>5.35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21.31</v>
      </c>
      <c r="C23" s="1" t="s">
        <v>47</v>
      </c>
      <c r="D23" s="14">
        <v>5.65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23.79</v>
      </c>
      <c r="C24" s="1" t="s">
        <v>47</v>
      </c>
      <c r="D24" s="14">
        <v>5.98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0.32</v>
      </c>
    </row>
    <row r="29" spans="1:11" x14ac:dyDescent="0.35">
      <c r="A29" s="8" t="s">
        <v>58</v>
      </c>
      <c r="B29" s="5">
        <v>0.56000000000000005</v>
      </c>
    </row>
    <row r="30" spans="1:11" x14ac:dyDescent="0.35">
      <c r="A30" s="8" t="s">
        <v>59</v>
      </c>
      <c r="B30" s="5">
        <v>0.74</v>
      </c>
    </row>
    <row r="31" spans="1:11" x14ac:dyDescent="0.35">
      <c r="A31" s="8" t="s">
        <v>94</v>
      </c>
      <c r="B31" s="5">
        <v>0.57999999999999996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0.12427097353073127</v>
      </c>
      <c r="C35" s="1" t="s">
        <v>72</v>
      </c>
    </row>
    <row r="36" spans="1:3" x14ac:dyDescent="0.35">
      <c r="A36" s="8" t="s">
        <v>70</v>
      </c>
      <c r="B36" s="4">
        <f>B7/B11</f>
        <v>8.5479980704293301E-2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0.15460202604920406</v>
      </c>
      <c r="C37" s="1" t="s">
        <v>83</v>
      </c>
    </row>
    <row r="38" spans="1:3" x14ac:dyDescent="0.35">
      <c r="A38" s="8" t="s">
        <v>71</v>
      </c>
      <c r="B38" s="4">
        <f>(B23-B22)/B23</f>
        <v>0.29375879868606281</v>
      </c>
      <c r="C38" s="1" t="s">
        <v>74</v>
      </c>
    </row>
    <row r="39" spans="1:3" x14ac:dyDescent="0.35">
      <c r="A39" s="8" t="s">
        <v>63</v>
      </c>
      <c r="B39" s="28">
        <f>(B36-Assumptions!$B$3)/B36/B38/Assumptions!B5</f>
        <v>0.37486539250379486</v>
      </c>
      <c r="C39" s="1" t="s">
        <v>75</v>
      </c>
    </row>
    <row r="40" spans="1:3" x14ac:dyDescent="0.35">
      <c r="A40" s="8" t="s">
        <v>76</v>
      </c>
      <c r="B40" s="21">
        <f>Assumptions!D19</f>
        <v>5.8113826656066569E-2</v>
      </c>
    </row>
    <row r="41" spans="1:3" x14ac:dyDescent="0.35">
      <c r="A41" s="8" t="s">
        <v>79</v>
      </c>
      <c r="B41" s="20">
        <f>MIN((D23/D18)^0.5-1,B40*2)</f>
        <v>0.11622765331213314</v>
      </c>
    </row>
    <row r="42" spans="1:3" x14ac:dyDescent="0.35">
      <c r="A42" s="8" t="s">
        <v>80</v>
      </c>
      <c r="B42" s="20">
        <f>(B35-B41)/B48</f>
        <v>4.9262012802996319E-4</v>
      </c>
    </row>
    <row r="43" spans="1:3" x14ac:dyDescent="0.35">
      <c r="A43" s="8" t="s">
        <v>77</v>
      </c>
      <c r="B43" s="19">
        <f>MIN(AVERAGE(B28:B31),0.3)</f>
        <v>0.3</v>
      </c>
    </row>
    <row r="44" spans="1:3" x14ac:dyDescent="0.35">
      <c r="A44" s="8" t="s">
        <v>78</v>
      </c>
      <c r="B44" s="18">
        <f>SUM(B40:B43)/3</f>
        <v>0.15827803336540988</v>
      </c>
    </row>
    <row r="45" spans="1:3" x14ac:dyDescent="0.35">
      <c r="A45" s="8" t="s">
        <v>81</v>
      </c>
      <c r="B45" s="5">
        <f>(B35+0.3)/2</f>
        <v>0.21213548676536564</v>
      </c>
      <c r="C45" s="1" t="s">
        <v>103</v>
      </c>
    </row>
    <row r="46" spans="1:3" x14ac:dyDescent="0.35">
      <c r="A46" s="8" t="s">
        <v>61</v>
      </c>
      <c r="B46" s="4">
        <f>Assumptions!E19</f>
        <v>2.5936328924845542E-2</v>
      </c>
    </row>
    <row r="47" spans="1:3" x14ac:dyDescent="0.35">
      <c r="A47" s="8" t="s">
        <v>60</v>
      </c>
      <c r="B47" s="13">
        <f>(B45-B46)/(Assumptions!B4-B46)/B45</f>
        <v>11.851113372959491</v>
      </c>
    </row>
    <row r="48" spans="1:3" x14ac:dyDescent="0.35">
      <c r="A48" s="8" t="s">
        <v>85</v>
      </c>
      <c r="B48" s="13">
        <f>(B2/B18+10+B47)/3</f>
        <v>16.327632106231974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179.26181543776033</v>
      </c>
      <c r="C52" s="13"/>
    </row>
    <row r="53" spans="1:3" x14ac:dyDescent="0.35">
      <c r="A53" s="8" t="s">
        <v>87</v>
      </c>
      <c r="B53" s="13">
        <f>(B23*2-B$23)*(1+B$44)^8*B$48/(1+Assumptions!B$4-B$14/B$2)^10</f>
        <v>434.59263788153254</v>
      </c>
      <c r="C53" s="13"/>
    </row>
    <row r="54" spans="1:3" x14ac:dyDescent="0.35">
      <c r="A54" s="8" t="s">
        <v>102</v>
      </c>
      <c r="B54" s="13">
        <f>(B24*2-B$23)*(1+B$44)^8*B$48/(1+Assumptions!B$4-B$14/B$2)^10</f>
        <v>535.74606274743599</v>
      </c>
      <c r="C54" s="1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42197-ECDC-41AB-A795-F71C269A814D}">
  <dimension ref="A1:K54"/>
  <sheetViews>
    <sheetView topLeftCell="A31" workbookViewId="0">
      <selection activeCell="C49" sqref="C49:C56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137</v>
      </c>
      <c r="I1" s="1" t="s">
        <v>118</v>
      </c>
      <c r="J1" s="1" t="str">
        <f>B1</f>
        <v>TSLA</v>
      </c>
      <c r="K1" s="1" t="s">
        <v>137</v>
      </c>
    </row>
    <row r="2" spans="1:11" x14ac:dyDescent="0.35">
      <c r="A2" s="8" t="s">
        <v>84</v>
      </c>
      <c r="B2" s="2">
        <v>263</v>
      </c>
      <c r="I2" s="1" t="s">
        <v>119</v>
      </c>
      <c r="J2" s="1">
        <f>B2</f>
        <v>263</v>
      </c>
      <c r="K2" s="1">
        <v>263</v>
      </c>
    </row>
    <row r="3" spans="1:11" x14ac:dyDescent="0.35">
      <c r="I3" s="1" t="s">
        <v>120</v>
      </c>
      <c r="J3" s="1">
        <f>B18</f>
        <v>3.12</v>
      </c>
      <c r="K3" s="1">
        <v>3.12</v>
      </c>
    </row>
    <row r="4" spans="1:11" x14ac:dyDescent="0.35">
      <c r="A4" s="8" t="s">
        <v>67</v>
      </c>
      <c r="I4" s="1" t="s">
        <v>121</v>
      </c>
      <c r="J4" s="1">
        <f t="shared" ref="J4:J9" si="0">B19</f>
        <v>1.96</v>
      </c>
      <c r="K4" s="1">
        <v>1.96</v>
      </c>
    </row>
    <row r="5" spans="1:11" x14ac:dyDescent="0.35">
      <c r="B5" s="1" t="s">
        <v>56</v>
      </c>
      <c r="I5" s="1" t="s">
        <v>122</v>
      </c>
      <c r="J5" s="1">
        <f t="shared" si="0"/>
        <v>2.42</v>
      </c>
      <c r="K5" s="1">
        <v>2.42</v>
      </c>
    </row>
    <row r="6" spans="1:11" x14ac:dyDescent="0.35">
      <c r="A6" s="9" t="s">
        <v>41</v>
      </c>
      <c r="B6" s="11">
        <v>14999</v>
      </c>
      <c r="C6" s="1" t="s">
        <v>40</v>
      </c>
      <c r="D6" s="6"/>
      <c r="I6" s="1" t="s">
        <v>123</v>
      </c>
      <c r="J6" s="1">
        <f t="shared" si="0"/>
        <v>2.82</v>
      </c>
      <c r="K6" s="1">
        <v>2.82</v>
      </c>
    </row>
    <row r="7" spans="1:11" x14ac:dyDescent="0.35">
      <c r="A7" s="9" t="s">
        <v>37</v>
      </c>
      <c r="B7" s="11">
        <v>8891</v>
      </c>
      <c r="C7" s="1" t="s">
        <v>40</v>
      </c>
      <c r="D7" s="6"/>
      <c r="I7" s="1" t="s">
        <v>124</v>
      </c>
      <c r="J7" s="1">
        <f t="shared" si="0"/>
        <v>2.0499999999999998</v>
      </c>
      <c r="K7" s="1">
        <v>2.0499999999999998</v>
      </c>
    </row>
    <row r="8" spans="1:11" x14ac:dyDescent="0.35">
      <c r="A8" s="9" t="s">
        <v>42</v>
      </c>
      <c r="B8" s="11">
        <v>17660</v>
      </c>
      <c r="C8" s="1" t="s">
        <v>40</v>
      </c>
      <c r="D8" s="6"/>
      <c r="I8" s="1" t="s">
        <v>125</v>
      </c>
      <c r="J8" s="1">
        <f t="shared" si="0"/>
        <v>3.2</v>
      </c>
      <c r="K8" s="1">
        <v>3.2</v>
      </c>
    </row>
    <row r="9" spans="1:11" x14ac:dyDescent="0.35">
      <c r="A9" s="9" t="s">
        <v>43</v>
      </c>
      <c r="B9" s="11">
        <v>96773</v>
      </c>
      <c r="C9" s="1" t="s">
        <v>40</v>
      </c>
      <c r="D9" s="6"/>
      <c r="I9" s="1" t="s">
        <v>126</v>
      </c>
      <c r="J9" s="1">
        <f t="shared" si="0"/>
        <v>4.17</v>
      </c>
      <c r="K9" s="1">
        <v>4.17</v>
      </c>
    </row>
    <row r="10" spans="1:11" x14ac:dyDescent="0.35">
      <c r="A10" s="9" t="s">
        <v>44</v>
      </c>
      <c r="B10" s="12">
        <v>3483</v>
      </c>
      <c r="C10" s="1" t="s">
        <v>40</v>
      </c>
      <c r="D10" s="6"/>
      <c r="I10" s="1" t="s">
        <v>127</v>
      </c>
      <c r="J10" s="26">
        <f>B44*100</f>
        <v>11.071270864202036</v>
      </c>
      <c r="K10" s="1">
        <v>11.069658076312043</v>
      </c>
    </row>
    <row r="11" spans="1:11" x14ac:dyDescent="0.35">
      <c r="A11" s="9" t="s">
        <v>38</v>
      </c>
      <c r="B11" s="11">
        <v>106618</v>
      </c>
      <c r="C11" s="1" t="s">
        <v>40</v>
      </c>
      <c r="D11" s="6"/>
      <c r="I11" s="1" t="s">
        <v>128</v>
      </c>
      <c r="J11" s="26">
        <f>100+B45*100</f>
        <v>126.97352875435067</v>
      </c>
      <c r="K11" s="1">
        <v>130</v>
      </c>
    </row>
    <row r="12" spans="1:11" x14ac:dyDescent="0.35">
      <c r="A12" s="9" t="s">
        <v>39</v>
      </c>
      <c r="B12" s="11">
        <v>62634</v>
      </c>
      <c r="C12" s="1" t="s">
        <v>40</v>
      </c>
      <c r="D12" s="6"/>
      <c r="I12" s="1" t="s">
        <v>129</v>
      </c>
      <c r="J12" s="1">
        <f>130+IF(B39&gt;1,-20)+IF(B39&lt;-1,20)</f>
        <v>130</v>
      </c>
      <c r="K12" s="1">
        <v>130</v>
      </c>
    </row>
    <row r="13" spans="1:11" x14ac:dyDescent="0.35">
      <c r="A13" s="9" t="s">
        <v>45</v>
      </c>
      <c r="B13" s="11">
        <v>43009</v>
      </c>
      <c r="C13" s="1" t="s">
        <v>40</v>
      </c>
      <c r="D13" s="6"/>
      <c r="I13" s="1" t="s">
        <v>130</v>
      </c>
      <c r="J13" s="1">
        <f>MAX(J11:J12)*2</f>
        <v>260</v>
      </c>
      <c r="K13" s="1">
        <v>260</v>
      </c>
    </row>
    <row r="14" spans="1:11" x14ac:dyDescent="0.35">
      <c r="A14" s="8" t="s">
        <v>46</v>
      </c>
      <c r="B14" s="2">
        <v>0</v>
      </c>
      <c r="C14" s="1" t="s">
        <v>47</v>
      </c>
      <c r="D14" s="15"/>
      <c r="I14" s="1" t="s">
        <v>131</v>
      </c>
      <c r="J14" s="26">
        <f>B14/B2*100</f>
        <v>0</v>
      </c>
      <c r="K14" s="1">
        <v>0</v>
      </c>
    </row>
    <row r="15" spans="1:11" x14ac:dyDescent="0.35">
      <c r="I15" s="1" t="s">
        <v>132</v>
      </c>
      <c r="J15" s="26">
        <f>B46*100</f>
        <v>8.5113063536227571</v>
      </c>
      <c r="K15" s="1">
        <v>8.5113063536227571</v>
      </c>
    </row>
    <row r="16" spans="1:11" x14ac:dyDescent="0.35">
      <c r="A16" s="1" t="s">
        <v>66</v>
      </c>
      <c r="I16" s="1" t="s">
        <v>133</v>
      </c>
      <c r="J16" s="26">
        <f>B45*100</f>
        <v>26.973528754350674</v>
      </c>
      <c r="K16" s="1">
        <v>30</v>
      </c>
    </row>
    <row r="17" spans="1:11" x14ac:dyDescent="0.35">
      <c r="B17" s="1" t="s">
        <v>55</v>
      </c>
      <c r="D17" s="1" t="s">
        <v>43</v>
      </c>
      <c r="F17" s="44"/>
      <c r="I17" s="1" t="s">
        <v>134</v>
      </c>
      <c r="J17" s="26">
        <f>B48</f>
        <v>46.757299331978153</v>
      </c>
      <c r="K17" s="1">
        <v>47.470065643157987</v>
      </c>
    </row>
    <row r="18" spans="1:11" x14ac:dyDescent="0.35">
      <c r="A18" s="8" t="s">
        <v>48</v>
      </c>
      <c r="B18" s="7">
        <v>3.12</v>
      </c>
      <c r="C18" s="1" t="s">
        <v>47</v>
      </c>
      <c r="D18" s="14">
        <v>96.77</v>
      </c>
      <c r="E18" s="1" t="s">
        <v>91</v>
      </c>
      <c r="F18" s="3"/>
      <c r="H18" s="6"/>
    </row>
    <row r="19" spans="1:11" x14ac:dyDescent="0.35">
      <c r="A19" s="8" t="s">
        <v>49</v>
      </c>
      <c r="B19" s="7">
        <v>1.96</v>
      </c>
      <c r="C19" s="1" t="s">
        <v>47</v>
      </c>
      <c r="D19" s="14">
        <v>95.47</v>
      </c>
      <c r="E19" s="1" t="s">
        <v>91</v>
      </c>
      <c r="F19" s="43"/>
      <c r="H19" s="6"/>
    </row>
    <row r="20" spans="1:11" x14ac:dyDescent="0.35">
      <c r="A20" s="8" t="s">
        <v>53</v>
      </c>
      <c r="B20" s="7">
        <v>2.42</v>
      </c>
      <c r="C20" s="1" t="s">
        <v>47</v>
      </c>
      <c r="D20" s="14">
        <v>99.41</v>
      </c>
      <c r="E20" s="1" t="s">
        <v>91</v>
      </c>
      <c r="F20" s="43"/>
      <c r="H20" s="6"/>
    </row>
    <row r="21" spans="1:11" x14ac:dyDescent="0.35">
      <c r="A21" s="8" t="s">
        <v>54</v>
      </c>
      <c r="B21" s="7">
        <v>2.82</v>
      </c>
      <c r="C21" s="1" t="s">
        <v>47</v>
      </c>
      <c r="D21" s="14">
        <v>107.98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2.0499999999999998</v>
      </c>
      <c r="C22" s="1" t="s">
        <v>47</v>
      </c>
      <c r="D22" s="14">
        <v>95.24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3.2</v>
      </c>
      <c r="C23" s="1" t="s">
        <v>47</v>
      </c>
      <c r="D23" s="14">
        <v>114.72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4.17</v>
      </c>
      <c r="C24" s="1" t="s">
        <v>47</v>
      </c>
      <c r="D24" s="14">
        <v>143.53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0.47</v>
      </c>
    </row>
    <row r="29" spans="1:11" x14ac:dyDescent="0.35">
      <c r="A29" s="8" t="s">
        <v>58</v>
      </c>
      <c r="B29" s="5">
        <v>0.05</v>
      </c>
    </row>
    <row r="30" spans="1:11" x14ac:dyDescent="0.35">
      <c r="A30" s="8" t="s">
        <v>59</v>
      </c>
      <c r="B30" s="5">
        <v>-0.22</v>
      </c>
    </row>
    <row r="31" spans="1:11" x14ac:dyDescent="0.35">
      <c r="A31" s="8" t="s">
        <v>94</v>
      </c>
      <c r="B31" s="5">
        <v>0.32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0.23947057508701344</v>
      </c>
      <c r="C35" s="1" t="s">
        <v>72</v>
      </c>
    </row>
    <row r="36" spans="1:3" x14ac:dyDescent="0.35">
      <c r="A36" s="8" t="s">
        <v>70</v>
      </c>
      <c r="B36" s="4">
        <f>B7/B11</f>
        <v>8.3391172222326435E-2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0.17862884315969163</v>
      </c>
      <c r="C37" s="1" t="s">
        <v>83</v>
      </c>
    </row>
    <row r="38" spans="1:3" x14ac:dyDescent="0.35">
      <c r="A38" s="8" t="s">
        <v>71</v>
      </c>
      <c r="B38" s="4">
        <f>(B23-B22)/B23</f>
        <v>0.35937500000000011</v>
      </c>
      <c r="C38" s="1" t="s">
        <v>74</v>
      </c>
    </row>
    <row r="39" spans="1:3" x14ac:dyDescent="0.35">
      <c r="A39" s="8" t="s">
        <v>63</v>
      </c>
      <c r="B39" s="28">
        <f>(B36-Assumptions!$B$3)/B36/B38/Assumptions!B5</f>
        <v>0.29560447006968044</v>
      </c>
      <c r="C39" s="1" t="s">
        <v>75</v>
      </c>
    </row>
    <row r="40" spans="1:3" x14ac:dyDescent="0.35">
      <c r="A40" s="8" t="s">
        <v>76</v>
      </c>
      <c r="B40" s="21">
        <f>Assumptions!D20</f>
        <v>8.5113063536227579E-2</v>
      </c>
    </row>
    <row r="41" spans="1:3" x14ac:dyDescent="0.35">
      <c r="A41" s="8" t="s">
        <v>79</v>
      </c>
      <c r="B41" s="20">
        <f>(D23/D18)^0.5-1</f>
        <v>8.8802723771738146E-2</v>
      </c>
    </row>
    <row r="42" spans="1:3" x14ac:dyDescent="0.35">
      <c r="A42" s="8" t="s">
        <v>80</v>
      </c>
      <c r="B42" s="20">
        <f>(B35-B41)/B48</f>
        <v>3.222338618095311E-3</v>
      </c>
    </row>
    <row r="43" spans="1:3" x14ac:dyDescent="0.35">
      <c r="A43" s="8" t="s">
        <v>77</v>
      </c>
      <c r="B43" s="19">
        <f>AVERAGE(B28:B31)</f>
        <v>0.15500000000000003</v>
      </c>
    </row>
    <row r="44" spans="1:3" x14ac:dyDescent="0.35">
      <c r="A44" s="8" t="s">
        <v>78</v>
      </c>
      <c r="B44" s="18">
        <f>SUM(B40:B43)/3</f>
        <v>0.11071270864202036</v>
      </c>
    </row>
    <row r="45" spans="1:3" x14ac:dyDescent="0.35">
      <c r="A45" s="8" t="s">
        <v>81</v>
      </c>
      <c r="B45" s="5">
        <f>(B35+0.3)/2</f>
        <v>0.26973528754350673</v>
      </c>
      <c r="C45" s="1" t="s">
        <v>103</v>
      </c>
    </row>
    <row r="46" spans="1:3" x14ac:dyDescent="0.35">
      <c r="A46" s="8" t="s">
        <v>61</v>
      </c>
      <c r="B46" s="4">
        <f>Assumptions!E20</f>
        <v>8.5113063536227579E-2</v>
      </c>
    </row>
    <row r="47" spans="1:3" x14ac:dyDescent="0.35">
      <c r="A47" s="8" t="s">
        <v>60</v>
      </c>
      <c r="B47" s="13">
        <f>(B45-B46)/(Assumptions!B4-B46)/B45</f>
        <v>45.977026201062685</v>
      </c>
    </row>
    <row r="48" spans="1:3" x14ac:dyDescent="0.35">
      <c r="A48" s="8" t="s">
        <v>85</v>
      </c>
      <c r="B48" s="13">
        <f>(B2/B18+10+B47)/3</f>
        <v>46.757299331978153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37.581923558924714</v>
      </c>
      <c r="C52" s="13"/>
    </row>
    <row r="53" spans="1:3" x14ac:dyDescent="0.35">
      <c r="A53" s="8" t="s">
        <v>87</v>
      </c>
      <c r="B53" s="13">
        <f>(B23*2-B$23)*(1+B$44)^8*B$48/(1+Assumptions!B$4-B$14/B$2)^10</f>
        <v>133.62461709839906</v>
      </c>
      <c r="C53" s="13"/>
    </row>
    <row r="54" spans="1:3" x14ac:dyDescent="0.35">
      <c r="A54" s="8" t="s">
        <v>102</v>
      </c>
      <c r="B54" s="13">
        <f>(B24*2-B$23)*(1+B$44)^8*B$48/(1+Assumptions!B$4-B$14/B$2)^10</f>
        <v>214.63454121430348</v>
      </c>
      <c r="C54" s="1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834D-9BE8-4018-9433-3D5F801EE1BF}">
  <dimension ref="A1:K54"/>
  <sheetViews>
    <sheetView topLeftCell="A16" workbookViewId="0">
      <selection activeCell="C48" sqref="C48:C53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90</v>
      </c>
      <c r="I1" s="1" t="s">
        <v>118</v>
      </c>
      <c r="J1" s="1" t="str">
        <f>B1</f>
        <v>ON</v>
      </c>
      <c r="K1" s="1" t="s">
        <v>90</v>
      </c>
    </row>
    <row r="2" spans="1:11" x14ac:dyDescent="0.35">
      <c r="A2" s="8" t="s">
        <v>84</v>
      </c>
      <c r="B2" s="2">
        <v>72</v>
      </c>
      <c r="I2" s="1" t="s">
        <v>119</v>
      </c>
      <c r="J2" s="1">
        <f>B2</f>
        <v>72</v>
      </c>
      <c r="K2" s="1">
        <v>72</v>
      </c>
    </row>
    <row r="3" spans="1:11" x14ac:dyDescent="0.35">
      <c r="I3" s="1" t="s">
        <v>120</v>
      </c>
      <c r="J3" s="1" t="e">
        <f>#REF!</f>
        <v>#REF!</v>
      </c>
      <c r="K3" s="1">
        <v>3.3710901467505239</v>
      </c>
    </row>
    <row r="4" spans="1:11" x14ac:dyDescent="0.35">
      <c r="A4" s="8" t="s">
        <v>67</v>
      </c>
      <c r="I4" s="1" t="s">
        <v>121</v>
      </c>
      <c r="J4" s="1">
        <f t="shared" ref="J4:J9" si="0">B19</f>
        <v>3.91</v>
      </c>
      <c r="K4" s="1">
        <v>3.91</v>
      </c>
    </row>
    <row r="5" spans="1:11" x14ac:dyDescent="0.35">
      <c r="B5" s="1" t="s">
        <v>56</v>
      </c>
      <c r="I5" s="1" t="s">
        <v>122</v>
      </c>
      <c r="J5" s="1">
        <f t="shared" si="0"/>
        <v>4.01</v>
      </c>
      <c r="K5" s="1">
        <v>4.01</v>
      </c>
    </row>
    <row r="6" spans="1:11" x14ac:dyDescent="0.35">
      <c r="A6" s="9" t="s">
        <v>41</v>
      </c>
      <c r="B6" s="11">
        <v>2184</v>
      </c>
      <c r="C6" s="1" t="s">
        <v>40</v>
      </c>
      <c r="E6" s="6"/>
      <c r="I6" s="1" t="s">
        <v>123</v>
      </c>
      <c r="J6" s="1">
        <f t="shared" si="0"/>
        <v>4.16</v>
      </c>
      <c r="K6" s="1">
        <v>4.16</v>
      </c>
    </row>
    <row r="7" spans="1:11" x14ac:dyDescent="0.35">
      <c r="A7" s="9" t="s">
        <v>37</v>
      </c>
      <c r="B7" s="11">
        <v>2614</v>
      </c>
      <c r="C7" s="1" t="s">
        <v>40</v>
      </c>
      <c r="E7" s="6"/>
      <c r="I7" s="1" t="s">
        <v>124</v>
      </c>
      <c r="J7" s="1">
        <f t="shared" si="0"/>
        <v>3.5</v>
      </c>
      <c r="K7" s="1">
        <v>3.5</v>
      </c>
    </row>
    <row r="8" spans="1:11" x14ac:dyDescent="0.35">
      <c r="A8" s="9" t="s">
        <v>42</v>
      </c>
      <c r="B8" s="11">
        <v>3884</v>
      </c>
      <c r="C8" s="1" t="s">
        <v>40</v>
      </c>
      <c r="E8" s="6"/>
      <c r="I8" s="1" t="s">
        <v>125</v>
      </c>
      <c r="J8" s="1">
        <f t="shared" si="0"/>
        <v>4.7699999999999996</v>
      </c>
      <c r="K8" s="1">
        <v>4.7699999999999996</v>
      </c>
    </row>
    <row r="9" spans="1:11" x14ac:dyDescent="0.35">
      <c r="A9" s="9" t="s">
        <v>43</v>
      </c>
      <c r="B9" s="11">
        <v>8253</v>
      </c>
      <c r="C9" s="1" t="s">
        <v>40</v>
      </c>
      <c r="E9" s="6"/>
      <c r="I9" s="1" t="s">
        <v>126</v>
      </c>
      <c r="J9" s="1">
        <f t="shared" si="0"/>
        <v>5.45</v>
      </c>
      <c r="K9" s="1">
        <v>5.45</v>
      </c>
    </row>
    <row r="10" spans="1:11" x14ac:dyDescent="0.35">
      <c r="A10" s="9" t="s">
        <v>44</v>
      </c>
      <c r="B10" s="12">
        <v>447</v>
      </c>
      <c r="C10" s="1" t="s">
        <v>40</v>
      </c>
      <c r="I10" s="1" t="s">
        <v>127</v>
      </c>
      <c r="J10" s="26">
        <f>B43*100</f>
        <v>11.875000000000002</v>
      </c>
      <c r="K10" s="1">
        <v>11.875000000000002</v>
      </c>
    </row>
    <row r="11" spans="1:11" x14ac:dyDescent="0.35">
      <c r="A11" s="9" t="s">
        <v>38</v>
      </c>
      <c r="B11" s="11">
        <v>13215</v>
      </c>
      <c r="C11" s="1" t="s">
        <v>40</v>
      </c>
      <c r="E11" s="6"/>
      <c r="I11" s="1" t="s">
        <v>128</v>
      </c>
      <c r="J11" s="26">
        <f>100+B45*100</f>
        <v>129.03057946807144</v>
      </c>
      <c r="K11" s="1">
        <v>129.03057946807144</v>
      </c>
    </row>
    <row r="12" spans="1:11" x14ac:dyDescent="0.35">
      <c r="A12" s="9" t="s">
        <v>39</v>
      </c>
      <c r="B12" s="11">
        <v>7783</v>
      </c>
      <c r="C12" s="1" t="s">
        <v>40</v>
      </c>
      <c r="E12" s="6"/>
      <c r="I12" s="1" t="s">
        <v>129</v>
      </c>
      <c r="J12" s="1">
        <f>130+IF(B39&gt;1,-20)+IF(B39&lt;-1,20)</f>
        <v>130</v>
      </c>
      <c r="K12" s="1">
        <v>130</v>
      </c>
    </row>
    <row r="13" spans="1:11" x14ac:dyDescent="0.35">
      <c r="A13" s="9" t="s">
        <v>45</v>
      </c>
      <c r="B13" s="11">
        <v>5415</v>
      </c>
      <c r="C13" s="1" t="s">
        <v>40</v>
      </c>
      <c r="E13" s="6"/>
      <c r="I13" s="1" t="s">
        <v>130</v>
      </c>
      <c r="J13" s="1">
        <f>MAX(J11:J12)*2</f>
        <v>260</v>
      </c>
      <c r="K13" s="1">
        <v>260</v>
      </c>
    </row>
    <row r="14" spans="1:11" x14ac:dyDescent="0.35">
      <c r="A14" s="8" t="s">
        <v>46</v>
      </c>
      <c r="B14" s="2">
        <v>0</v>
      </c>
      <c r="C14" s="1" t="s">
        <v>47</v>
      </c>
      <c r="E14" s="6"/>
      <c r="I14" s="1" t="s">
        <v>131</v>
      </c>
      <c r="J14" s="26">
        <f>B14/B2*100</f>
        <v>0</v>
      </c>
      <c r="K14" s="1">
        <v>0</v>
      </c>
    </row>
    <row r="15" spans="1:11" x14ac:dyDescent="0.35">
      <c r="I15" s="1" t="s">
        <v>132</v>
      </c>
      <c r="J15" s="26">
        <f>B46*100</f>
        <v>8.5113063536227571</v>
      </c>
      <c r="K15" s="1">
        <v>8.5113063536227571</v>
      </c>
    </row>
    <row r="16" spans="1:11" x14ac:dyDescent="0.35">
      <c r="A16" s="1" t="s">
        <v>66</v>
      </c>
      <c r="I16" s="1" t="s">
        <v>133</v>
      </c>
      <c r="J16" s="26">
        <f>B45*100</f>
        <v>29.030579468071437</v>
      </c>
      <c r="K16" s="1">
        <v>29.030579468071437</v>
      </c>
    </row>
    <row r="17" spans="1:11" x14ac:dyDescent="0.35">
      <c r="B17" s="1" t="s">
        <v>55</v>
      </c>
      <c r="D17" s="1" t="s">
        <v>43</v>
      </c>
      <c r="F17" s="44"/>
      <c r="I17" s="1" t="s">
        <v>134</v>
      </c>
      <c r="J17" s="26">
        <f>B48</f>
        <v>16.5696091493956</v>
      </c>
      <c r="K17" s="1">
        <v>19.037805069153706</v>
      </c>
    </row>
    <row r="18" spans="1:11" x14ac:dyDescent="0.35">
      <c r="A18" s="8" t="s">
        <v>48</v>
      </c>
      <c r="B18" s="7">
        <v>5.16</v>
      </c>
      <c r="C18" s="1" t="s">
        <v>47</v>
      </c>
      <c r="D18" s="7">
        <v>8.25</v>
      </c>
      <c r="E18" s="1" t="s">
        <v>91</v>
      </c>
      <c r="F18" s="3"/>
    </row>
    <row r="19" spans="1:11" x14ac:dyDescent="0.35">
      <c r="A19" s="8" t="s">
        <v>49</v>
      </c>
      <c r="B19" s="7">
        <v>3.91</v>
      </c>
      <c r="C19" s="1" t="s">
        <v>47</v>
      </c>
      <c r="D19" s="7">
        <v>7.11</v>
      </c>
      <c r="E19" s="1" t="s">
        <v>91</v>
      </c>
      <c r="F19" s="43"/>
      <c r="H19" s="1" t="s">
        <v>92</v>
      </c>
    </row>
    <row r="20" spans="1:11" x14ac:dyDescent="0.35">
      <c r="A20" s="8" t="s">
        <v>53</v>
      </c>
      <c r="B20" s="7">
        <v>4.01</v>
      </c>
      <c r="C20" s="1" t="s">
        <v>47</v>
      </c>
      <c r="D20" s="7">
        <v>7.22</v>
      </c>
      <c r="E20" s="1" t="s">
        <v>91</v>
      </c>
      <c r="F20" s="43"/>
      <c r="H20" s="6"/>
    </row>
    <row r="21" spans="1:11" x14ac:dyDescent="0.35">
      <c r="A21" s="8" t="s">
        <v>54</v>
      </c>
      <c r="B21" s="7">
        <v>4.16</v>
      </c>
      <c r="C21" s="1" t="s">
        <v>47</v>
      </c>
      <c r="D21" s="7">
        <v>7.58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3.5</v>
      </c>
      <c r="C22" s="1" t="s">
        <v>47</v>
      </c>
      <c r="D22" s="7">
        <v>6.9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4.7699999999999996</v>
      </c>
      <c r="C23" s="1" t="s">
        <v>47</v>
      </c>
      <c r="D23" s="7">
        <v>7.9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5.45</v>
      </c>
      <c r="C24" s="1" t="s">
        <v>47</v>
      </c>
      <c r="D24" s="7">
        <v>8.5</v>
      </c>
      <c r="E24" s="1" t="s">
        <v>91</v>
      </c>
      <c r="F24" s="43"/>
      <c r="H24" s="6"/>
    </row>
    <row r="25" spans="1:11" x14ac:dyDescent="0.35">
      <c r="H25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0.48</v>
      </c>
    </row>
    <row r="29" spans="1:11" x14ac:dyDescent="0.35">
      <c r="A29" s="8" t="s">
        <v>58</v>
      </c>
      <c r="B29" s="5">
        <v>0.05</v>
      </c>
    </row>
    <row r="30" spans="1:11" x14ac:dyDescent="0.35">
      <c r="A30" s="8" t="s">
        <v>59</v>
      </c>
      <c r="B30" s="5">
        <v>-0.22500000000000001</v>
      </c>
    </row>
    <row r="31" spans="1:11" x14ac:dyDescent="0.35">
      <c r="A31" s="8" t="s">
        <v>94</v>
      </c>
      <c r="B31" s="5">
        <v>0.17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0.28061158936142877</v>
      </c>
      <c r="C35" s="1" t="s">
        <v>72</v>
      </c>
    </row>
    <row r="36" spans="1:3" x14ac:dyDescent="0.35">
      <c r="A36" s="8" t="s">
        <v>70</v>
      </c>
      <c r="B36" s="4">
        <f>B7/B11</f>
        <v>0.19780552402572835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0.19146424517593641</v>
      </c>
      <c r="C37" s="1" t="s">
        <v>83</v>
      </c>
    </row>
    <row r="38" spans="1:3" x14ac:dyDescent="0.35">
      <c r="A38" s="8" t="s">
        <v>71</v>
      </c>
      <c r="B38" s="4">
        <f>(B23-B22)/B23</f>
        <v>0.26624737945492655</v>
      </c>
      <c r="C38" s="1" t="s">
        <v>74</v>
      </c>
    </row>
    <row r="39" spans="1:3" x14ac:dyDescent="0.35">
      <c r="A39" s="8" t="s">
        <v>63</v>
      </c>
      <c r="B39" s="22">
        <f>(B36-Assumptions!$B$3)/B36/B38/Assumptions!B5</f>
        <v>0.74458482373002099</v>
      </c>
      <c r="C39" s="1" t="s">
        <v>75</v>
      </c>
    </row>
    <row r="40" spans="1:3" x14ac:dyDescent="0.35">
      <c r="A40" s="8" t="s">
        <v>76</v>
      </c>
      <c r="B40" s="21">
        <f>(Assumptions!D20+Assumptions!D21)/2</f>
        <v>9.2556531768113792E-2</v>
      </c>
    </row>
    <row r="41" spans="1:3" x14ac:dyDescent="0.35">
      <c r="A41" s="8" t="s">
        <v>79</v>
      </c>
      <c r="B41" s="20">
        <f>(D23/D20)-1</f>
        <v>9.4182825484764532E-2</v>
      </c>
    </row>
    <row r="42" spans="1:3" x14ac:dyDescent="0.35">
      <c r="A42" s="8" t="s">
        <v>80</v>
      </c>
      <c r="B42" s="20">
        <f>(B35-B41)/B48</f>
        <v>1.1251246918124468E-2</v>
      </c>
    </row>
    <row r="43" spans="1:3" x14ac:dyDescent="0.35">
      <c r="A43" s="8" t="s">
        <v>77</v>
      </c>
      <c r="B43" s="19">
        <f>AVERAGE(B28:B31)</f>
        <v>0.11875000000000002</v>
      </c>
    </row>
    <row r="44" spans="1:3" x14ac:dyDescent="0.35">
      <c r="A44" s="8" t="s">
        <v>78</v>
      </c>
      <c r="B44" s="18">
        <f>SUM(B40:B43)/3</f>
        <v>0.10558020139033426</v>
      </c>
    </row>
    <row r="45" spans="1:3" x14ac:dyDescent="0.35">
      <c r="A45" s="8" t="s">
        <v>81</v>
      </c>
      <c r="B45" s="5">
        <f>(B35+0.3)/2</f>
        <v>0.29030579468071438</v>
      </c>
      <c r="C45" s="1" t="s">
        <v>103</v>
      </c>
    </row>
    <row r="46" spans="1:3" x14ac:dyDescent="0.35">
      <c r="A46" s="8" t="s">
        <v>61</v>
      </c>
      <c r="B46" s="4">
        <f>Assumptions!E20</f>
        <v>8.5113063536227579E-2</v>
      </c>
    </row>
    <row r="47" spans="1:3" x14ac:dyDescent="0.35">
      <c r="A47" s="8" t="s">
        <v>60</v>
      </c>
      <c r="B47" s="13">
        <f>(B45-B46)/(Assumptions!B4*2-Assumptions!E21-B46)/B45*2</f>
        <v>25.755339076093769</v>
      </c>
    </row>
    <row r="48" spans="1:3" x14ac:dyDescent="0.35">
      <c r="A48" s="8" t="s">
        <v>85</v>
      </c>
      <c r="B48" s="13">
        <f>(B2/B18+10+B47)/3</f>
        <v>16.5696091493956</v>
      </c>
    </row>
    <row r="49" spans="1:3" x14ac:dyDescent="0.35">
      <c r="A49" s="8" t="s">
        <v>86</v>
      </c>
    </row>
    <row r="50" spans="1:3" x14ac:dyDescent="0.35">
      <c r="B50" s="2" t="s">
        <v>69</v>
      </c>
      <c r="C50" s="2"/>
    </row>
    <row r="51" spans="1:3" x14ac:dyDescent="0.35">
      <c r="A51" s="8" t="s">
        <v>88</v>
      </c>
      <c r="B51" s="13">
        <f>(B22*2-B$23)*(1+B$44)^8*B$48/(1+Assumptions!B$4-B$14/B$2)^10</f>
        <v>31.798914727849503</v>
      </c>
      <c r="C51" s="13"/>
    </row>
    <row r="52" spans="1:3" x14ac:dyDescent="0.35">
      <c r="A52" s="8" t="s">
        <v>87</v>
      </c>
      <c r="B52" s="13">
        <f>(B23*2-B$23)*(1+B$44)^8*B$48/(1+Assumptions!B$4-B$14/B$2)^10</f>
        <v>68.018306390960589</v>
      </c>
      <c r="C52" s="13"/>
    </row>
    <row r="53" spans="1:3" x14ac:dyDescent="0.35">
      <c r="A53" s="8" t="s">
        <v>102</v>
      </c>
      <c r="B53" s="13">
        <f>(B24*2-B$23)*(1+B$44)^8*B$48/(1+Assumptions!B$4-B$14/B$2)^10</f>
        <v>87.411366494043705</v>
      </c>
      <c r="C53" s="13"/>
    </row>
    <row r="54" spans="1:3" x14ac:dyDescent="0.35">
      <c r="B54" s="1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8F68-97E5-4765-B8BD-D241A60184D1}">
  <dimension ref="A1:K54"/>
  <sheetViews>
    <sheetView topLeftCell="A37" workbookViewId="0">
      <selection activeCell="C50" sqref="C50:C60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140</v>
      </c>
      <c r="I1" s="1" t="s">
        <v>118</v>
      </c>
      <c r="J1" s="1" t="str">
        <f>B1</f>
        <v>MCHP</v>
      </c>
      <c r="K1" s="1" t="s">
        <v>140</v>
      </c>
    </row>
    <row r="2" spans="1:11" x14ac:dyDescent="0.35">
      <c r="A2" s="8" t="s">
        <v>84</v>
      </c>
      <c r="B2" s="2">
        <v>78</v>
      </c>
      <c r="I2" s="1" t="s">
        <v>119</v>
      </c>
      <c r="J2" s="1">
        <f>B2</f>
        <v>78</v>
      </c>
      <c r="K2" s="1">
        <v>78</v>
      </c>
    </row>
    <row r="3" spans="1:11" x14ac:dyDescent="0.35">
      <c r="I3" s="1" t="s">
        <v>120</v>
      </c>
      <c r="J3" s="1">
        <f>B18</f>
        <v>4.92</v>
      </c>
      <c r="K3" s="1">
        <v>4.92</v>
      </c>
    </row>
    <row r="4" spans="1:11" x14ac:dyDescent="0.35">
      <c r="A4" s="8" t="s">
        <v>67</v>
      </c>
      <c r="I4" s="1" t="s">
        <v>121</v>
      </c>
      <c r="J4" s="1">
        <f t="shared" ref="J4:J9" si="0">B19</f>
        <v>1.49</v>
      </c>
      <c r="K4" s="1">
        <v>1.49</v>
      </c>
    </row>
    <row r="5" spans="1:11" x14ac:dyDescent="0.35">
      <c r="B5" s="1" t="s">
        <v>56</v>
      </c>
      <c r="I5" s="1" t="s">
        <v>122</v>
      </c>
      <c r="J5" s="1">
        <f t="shared" si="0"/>
        <v>1.95</v>
      </c>
      <c r="K5" s="1">
        <v>1.95</v>
      </c>
    </row>
    <row r="6" spans="1:11" x14ac:dyDescent="0.35">
      <c r="A6" s="9" t="s">
        <v>41</v>
      </c>
      <c r="B6" s="11">
        <v>2238</v>
      </c>
      <c r="C6" s="1" t="s">
        <v>40</v>
      </c>
      <c r="D6" s="6"/>
      <c r="I6" s="1" t="s">
        <v>123</v>
      </c>
      <c r="J6" s="1">
        <f t="shared" si="0"/>
        <v>2.15</v>
      </c>
      <c r="K6" s="1">
        <v>2.15</v>
      </c>
    </row>
    <row r="7" spans="1:11" x14ac:dyDescent="0.35">
      <c r="A7" s="9" t="s">
        <v>37</v>
      </c>
      <c r="B7" s="11">
        <v>3112</v>
      </c>
      <c r="C7" s="1" t="s">
        <v>40</v>
      </c>
      <c r="D7" s="6"/>
      <c r="I7" s="1" t="s">
        <v>124</v>
      </c>
      <c r="J7" s="1">
        <f t="shared" si="0"/>
        <v>1.78</v>
      </c>
      <c r="K7" s="1">
        <v>1.78</v>
      </c>
    </row>
    <row r="8" spans="1:11" x14ac:dyDescent="0.35">
      <c r="A8" s="9" t="s">
        <v>42</v>
      </c>
      <c r="B8" s="11">
        <v>5698</v>
      </c>
      <c r="C8" s="1" t="s">
        <v>40</v>
      </c>
      <c r="D8" s="6"/>
      <c r="I8" s="1" t="s">
        <v>125</v>
      </c>
      <c r="J8" s="1">
        <f t="shared" si="0"/>
        <v>3.27</v>
      </c>
      <c r="K8" s="1">
        <v>3.27</v>
      </c>
    </row>
    <row r="9" spans="1:11" x14ac:dyDescent="0.35">
      <c r="A9" s="9" t="s">
        <v>43</v>
      </c>
      <c r="B9" s="11">
        <v>8439</v>
      </c>
      <c r="C9" s="1" t="s">
        <v>40</v>
      </c>
      <c r="D9" s="6"/>
      <c r="I9" s="1" t="s">
        <v>126</v>
      </c>
      <c r="J9" s="1">
        <f t="shared" si="0"/>
        <v>4.7300000000000004</v>
      </c>
      <c r="K9" s="1">
        <v>4.7300000000000004</v>
      </c>
    </row>
    <row r="10" spans="1:11" x14ac:dyDescent="0.35">
      <c r="A10" s="9" t="s">
        <v>44</v>
      </c>
      <c r="B10" s="12">
        <v>557</v>
      </c>
      <c r="C10" s="1" t="s">
        <v>40</v>
      </c>
      <c r="D10" s="6"/>
      <c r="I10" s="1" t="s">
        <v>127</v>
      </c>
      <c r="J10" s="26">
        <f>B44*100</f>
        <v>10.963561140120458</v>
      </c>
      <c r="K10" s="1">
        <v>10.963561140120458</v>
      </c>
    </row>
    <row r="11" spans="1:11" x14ac:dyDescent="0.35">
      <c r="A11" s="9" t="s">
        <v>38</v>
      </c>
      <c r="B11" s="11">
        <v>15873</v>
      </c>
      <c r="C11" s="1" t="s">
        <v>40</v>
      </c>
      <c r="D11" s="6"/>
      <c r="I11" s="1" t="s">
        <v>128</v>
      </c>
      <c r="J11" s="26">
        <f>100+B45*100</f>
        <v>130</v>
      </c>
      <c r="K11" s="1">
        <v>130</v>
      </c>
    </row>
    <row r="12" spans="1:11" x14ac:dyDescent="0.35">
      <c r="A12" s="9" t="s">
        <v>39</v>
      </c>
      <c r="B12" s="11">
        <v>6658</v>
      </c>
      <c r="C12" s="1" t="s">
        <v>40</v>
      </c>
      <c r="D12" s="6"/>
      <c r="I12" s="1" t="s">
        <v>129</v>
      </c>
      <c r="J12" s="1">
        <f>130+IF(B39&gt;1,-20)+IF(B39&lt;-1,20)</f>
        <v>130</v>
      </c>
      <c r="K12" s="1">
        <v>130</v>
      </c>
    </row>
    <row r="13" spans="1:11" x14ac:dyDescent="0.35">
      <c r="A13" s="9" t="s">
        <v>45</v>
      </c>
      <c r="B13" s="11">
        <v>9215</v>
      </c>
      <c r="C13" s="1" t="s">
        <v>40</v>
      </c>
      <c r="D13" s="6"/>
      <c r="I13" s="1" t="s">
        <v>130</v>
      </c>
      <c r="J13" s="1">
        <f>MAX(J11:J12)*2</f>
        <v>260</v>
      </c>
      <c r="K13" s="1">
        <v>260</v>
      </c>
    </row>
    <row r="14" spans="1:11" x14ac:dyDescent="0.35">
      <c r="A14" s="8" t="s">
        <v>46</v>
      </c>
      <c r="B14" s="2">
        <v>1.81</v>
      </c>
      <c r="C14" s="1" t="s">
        <v>47</v>
      </c>
      <c r="D14" s="15"/>
      <c r="I14" s="1" t="s">
        <v>131</v>
      </c>
      <c r="J14" s="26">
        <f>B14/B2*100</f>
        <v>2.3205128205128203</v>
      </c>
      <c r="K14" s="1">
        <v>2.3205128205128203</v>
      </c>
    </row>
    <row r="15" spans="1:11" x14ac:dyDescent="0.35">
      <c r="I15" s="1" t="s">
        <v>132</v>
      </c>
      <c r="J15" s="26">
        <f>B46*100</f>
        <v>6</v>
      </c>
      <c r="K15" s="1">
        <v>6</v>
      </c>
    </row>
    <row r="16" spans="1:11" x14ac:dyDescent="0.35">
      <c r="A16" s="1" t="s">
        <v>66</v>
      </c>
      <c r="I16" s="1" t="s">
        <v>133</v>
      </c>
      <c r="J16" s="26">
        <f>B45*100</f>
        <v>30</v>
      </c>
      <c r="K16" s="1">
        <v>30</v>
      </c>
    </row>
    <row r="17" spans="1:11" x14ac:dyDescent="0.35">
      <c r="B17" s="1" t="s">
        <v>55</v>
      </c>
      <c r="D17" s="1" t="s">
        <v>43</v>
      </c>
      <c r="F17" s="44"/>
      <c r="I17" s="1" t="s">
        <v>134</v>
      </c>
      <c r="J17" s="26">
        <f>B48</f>
        <v>15.284552845528452</v>
      </c>
      <c r="K17" s="1">
        <v>15.284552845528452</v>
      </c>
    </row>
    <row r="18" spans="1:11" x14ac:dyDescent="0.35">
      <c r="A18" s="8" t="s">
        <v>48</v>
      </c>
      <c r="B18" s="7">
        <v>4.92</v>
      </c>
      <c r="C18" s="1" t="s">
        <v>47</v>
      </c>
      <c r="D18" s="14">
        <v>7.63</v>
      </c>
      <c r="E18" s="1" t="s">
        <v>91</v>
      </c>
      <c r="F18" s="3"/>
      <c r="H18" s="6"/>
    </row>
    <row r="19" spans="1:11" x14ac:dyDescent="0.35">
      <c r="A19" s="8" t="s">
        <v>49</v>
      </c>
      <c r="B19" s="7">
        <v>1.49</v>
      </c>
      <c r="C19" s="1" t="s">
        <v>47</v>
      </c>
      <c r="D19" s="14">
        <v>4.66</v>
      </c>
      <c r="E19" s="1" t="s">
        <v>91</v>
      </c>
      <c r="F19" s="43"/>
      <c r="H19" s="6"/>
    </row>
    <row r="20" spans="1:11" x14ac:dyDescent="0.35">
      <c r="A20" s="8" t="s">
        <v>53</v>
      </c>
      <c r="B20" s="7">
        <v>1.95</v>
      </c>
      <c r="C20" s="1" t="s">
        <v>47</v>
      </c>
      <c r="D20" s="14">
        <v>4.8600000000000003</v>
      </c>
      <c r="E20" s="1" t="s">
        <v>91</v>
      </c>
      <c r="F20" s="43"/>
      <c r="H20" s="6"/>
    </row>
    <row r="21" spans="1:11" x14ac:dyDescent="0.35">
      <c r="A21" s="8" t="s">
        <v>54</v>
      </c>
      <c r="B21" s="7">
        <v>2.15</v>
      </c>
      <c r="C21" s="1" t="s">
        <v>47</v>
      </c>
      <c r="D21" s="14">
        <v>5.33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1.78</v>
      </c>
      <c r="C22" s="1" t="s">
        <v>47</v>
      </c>
      <c r="D22" s="14">
        <v>4.88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3.27</v>
      </c>
      <c r="C23" s="1" t="s">
        <v>47</v>
      </c>
      <c r="D23" s="14">
        <v>6.05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4.7300000000000004</v>
      </c>
      <c r="C24" s="1" t="s">
        <v>47</v>
      </c>
      <c r="D24" s="14">
        <v>7.32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0.1</v>
      </c>
    </row>
    <row r="29" spans="1:11" x14ac:dyDescent="0.35">
      <c r="A29" s="8" t="s">
        <v>58</v>
      </c>
      <c r="B29" s="5">
        <v>-0.1</v>
      </c>
    </row>
    <row r="30" spans="1:11" x14ac:dyDescent="0.35">
      <c r="A30" s="8" t="s">
        <v>59</v>
      </c>
      <c r="B30" s="5">
        <v>-0.6</v>
      </c>
    </row>
    <row r="31" spans="1:11" x14ac:dyDescent="0.35">
      <c r="A31" s="8" t="s">
        <v>94</v>
      </c>
      <c r="B31" s="5">
        <v>0.68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0.33613697807149295</v>
      </c>
      <c r="C35" s="1" t="s">
        <v>72</v>
      </c>
    </row>
    <row r="36" spans="1:3" x14ac:dyDescent="0.35">
      <c r="A36" s="8" t="s">
        <v>70</v>
      </c>
      <c r="B36" s="4">
        <f>B7/B11</f>
        <v>0.19605619605619606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0.15486360486360484</v>
      </c>
      <c r="C37" s="1" t="s">
        <v>83</v>
      </c>
    </row>
    <row r="38" spans="1:3" x14ac:dyDescent="0.35">
      <c r="A38" s="8" t="s">
        <v>71</v>
      </c>
      <c r="B38" s="4">
        <f>(B23-B22)/B23</f>
        <v>0.45565749235474007</v>
      </c>
      <c r="C38" s="1" t="s">
        <v>74</v>
      </c>
    </row>
    <row r="39" spans="1:3" x14ac:dyDescent="0.35">
      <c r="A39" s="8" t="s">
        <v>63</v>
      </c>
      <c r="B39" s="28">
        <f>(B36-Assumptions!$B$3)/B36/B38/Assumptions!B5</f>
        <v>0.43375867138318558</v>
      </c>
      <c r="C39" s="1" t="s">
        <v>75</v>
      </c>
    </row>
    <row r="40" spans="1:3" x14ac:dyDescent="0.35">
      <c r="A40" s="8" t="s">
        <v>76</v>
      </c>
      <c r="B40" s="21">
        <f>Assumptions!D21</f>
        <v>0.1</v>
      </c>
    </row>
    <row r="41" spans="1:3" x14ac:dyDescent="0.35">
      <c r="A41" s="8" t="s">
        <v>79</v>
      </c>
      <c r="B41" s="20">
        <f>MIN((D23/D20)-1,B40*2)</f>
        <v>0.2</v>
      </c>
    </row>
    <row r="42" spans="1:3" x14ac:dyDescent="0.35">
      <c r="A42" s="8" t="s">
        <v>80</v>
      </c>
      <c r="B42" s="20">
        <f>(B35-B41)/B48</f>
        <v>8.9068342036136353E-3</v>
      </c>
    </row>
    <row r="43" spans="1:3" x14ac:dyDescent="0.35">
      <c r="A43" s="8" t="s">
        <v>77</v>
      </c>
      <c r="B43" s="19">
        <f>AVERAGE(B28:B31)</f>
        <v>2.0000000000000018E-2</v>
      </c>
    </row>
    <row r="44" spans="1:3" x14ac:dyDescent="0.35">
      <c r="A44" s="8" t="s">
        <v>78</v>
      </c>
      <c r="B44" s="18">
        <f>SUM(B40:B43)/3</f>
        <v>0.10963561140120458</v>
      </c>
    </row>
    <row r="45" spans="1:3" x14ac:dyDescent="0.35">
      <c r="A45" s="8" t="s">
        <v>81</v>
      </c>
      <c r="B45" s="16">
        <v>0.3</v>
      </c>
      <c r="C45" s="1" t="s">
        <v>104</v>
      </c>
    </row>
    <row r="46" spans="1:3" x14ac:dyDescent="0.35">
      <c r="A46" s="8" t="s">
        <v>61</v>
      </c>
      <c r="B46" s="4">
        <f>Assumptions!E21</f>
        <v>0.06</v>
      </c>
    </row>
    <row r="47" spans="1:3" x14ac:dyDescent="0.35">
      <c r="A47" s="8" t="s">
        <v>60</v>
      </c>
      <c r="B47" s="13">
        <f>(B45-B46)/(Assumptions!B4-B46)/B45</f>
        <v>19.999999999999996</v>
      </c>
    </row>
    <row r="48" spans="1:3" x14ac:dyDescent="0.35">
      <c r="A48" s="8" t="s">
        <v>85</v>
      </c>
      <c r="B48" s="13">
        <f>(B2/B18+10+B47)/3</f>
        <v>15.284552845528452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4.8614300192171935</v>
      </c>
      <c r="C52" s="13"/>
    </row>
    <row r="53" spans="1:3" x14ac:dyDescent="0.35">
      <c r="A53" s="8" t="s">
        <v>87</v>
      </c>
      <c r="B53" s="13">
        <f>(B23*2-B$23)*(1+B$44)^8*B$48/(1+Assumptions!B$4-B$14/B$2)^10</f>
        <v>54.816814354621449</v>
      </c>
      <c r="C53" s="13"/>
    </row>
    <row r="54" spans="1:3" x14ac:dyDescent="0.35">
      <c r="A54" s="8" t="s">
        <v>102</v>
      </c>
      <c r="B54" s="13">
        <f>(B24*2-B$23)*(1+B$44)^8*B$48/(1+Assumptions!B$4-B$14/B$2)^10</f>
        <v>103.76638558260149</v>
      </c>
      <c r="C54" s="1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5402-2B4A-4670-A73A-6EE8D6A0AFEF}">
  <dimension ref="A1:K54"/>
  <sheetViews>
    <sheetView topLeftCell="A28" workbookViewId="0">
      <selection activeCell="C50" sqref="C50:C55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93</v>
      </c>
      <c r="I1" s="1" t="s">
        <v>118</v>
      </c>
      <c r="J1" s="1" t="str">
        <f>B1</f>
        <v>CRM</v>
      </c>
      <c r="K1" s="1" t="s">
        <v>93</v>
      </c>
    </row>
    <row r="2" spans="1:11" x14ac:dyDescent="0.35">
      <c r="A2" s="8" t="s">
        <v>84</v>
      </c>
      <c r="B2" s="2">
        <v>290</v>
      </c>
      <c r="I2" s="1" t="s">
        <v>119</v>
      </c>
      <c r="J2" s="1">
        <f>B2</f>
        <v>290</v>
      </c>
      <c r="K2" s="1">
        <v>290</v>
      </c>
    </row>
    <row r="3" spans="1:11" x14ac:dyDescent="0.35">
      <c r="I3" s="1" t="s">
        <v>120</v>
      </c>
      <c r="J3" s="1">
        <f>B18</f>
        <v>8.2200000000000006</v>
      </c>
      <c r="K3" s="1">
        <v>8.2200000000000006</v>
      </c>
    </row>
    <row r="4" spans="1:11" x14ac:dyDescent="0.35">
      <c r="A4" s="8" t="s">
        <v>67</v>
      </c>
      <c r="I4" s="1" t="s">
        <v>121</v>
      </c>
      <c r="J4" s="1">
        <f t="shared" ref="J4:J9" si="0">B19</f>
        <v>10.01</v>
      </c>
      <c r="K4" s="1">
        <v>10.01</v>
      </c>
    </row>
    <row r="5" spans="1:11" x14ac:dyDescent="0.35">
      <c r="B5" s="1" t="s">
        <v>56</v>
      </c>
      <c r="I5" s="1" t="s">
        <v>122</v>
      </c>
      <c r="J5" s="1">
        <f t="shared" si="0"/>
        <v>10.039999999999999</v>
      </c>
      <c r="K5" s="1">
        <v>10.039999999999999</v>
      </c>
    </row>
    <row r="6" spans="1:11" x14ac:dyDescent="0.35">
      <c r="A6" s="9" t="s">
        <v>41</v>
      </c>
      <c r="B6" s="11">
        <v>4136</v>
      </c>
      <c r="C6" s="1" t="s">
        <v>40</v>
      </c>
      <c r="H6" s="6"/>
      <c r="I6" s="1" t="s">
        <v>123</v>
      </c>
      <c r="J6" s="1">
        <f t="shared" si="0"/>
        <v>10.26</v>
      </c>
      <c r="K6" s="1">
        <v>10.26</v>
      </c>
    </row>
    <row r="7" spans="1:11" x14ac:dyDescent="0.35">
      <c r="A7" s="9" t="s">
        <v>37</v>
      </c>
      <c r="B7" s="11">
        <v>5999</v>
      </c>
      <c r="C7" s="1" t="s">
        <v>40</v>
      </c>
      <c r="H7" s="6"/>
      <c r="I7" s="1" t="s">
        <v>124</v>
      </c>
      <c r="J7" s="1">
        <f t="shared" si="0"/>
        <v>10.53</v>
      </c>
      <c r="K7" s="1">
        <v>10.53</v>
      </c>
    </row>
    <row r="8" spans="1:11" x14ac:dyDescent="0.35">
      <c r="A8" s="9" t="s">
        <v>42</v>
      </c>
      <c r="B8" s="11">
        <v>26317</v>
      </c>
      <c r="C8" s="1" t="s">
        <v>40</v>
      </c>
      <c r="H8" s="6"/>
      <c r="I8" s="1" t="s">
        <v>125</v>
      </c>
      <c r="J8" s="1">
        <f t="shared" si="0"/>
        <v>11.13</v>
      </c>
      <c r="K8" s="1">
        <v>11.13</v>
      </c>
    </row>
    <row r="9" spans="1:11" x14ac:dyDescent="0.35">
      <c r="A9" s="9" t="s">
        <v>43</v>
      </c>
      <c r="B9" s="11">
        <v>34857</v>
      </c>
      <c r="C9" s="1" t="s">
        <v>40</v>
      </c>
      <c r="H9" s="6"/>
      <c r="I9" s="1" t="s">
        <v>126</v>
      </c>
      <c r="J9" s="1">
        <f t="shared" si="0"/>
        <v>11.96</v>
      </c>
      <c r="K9" s="1">
        <v>11.96</v>
      </c>
    </row>
    <row r="10" spans="1:11" x14ac:dyDescent="0.35">
      <c r="A10" s="9" t="s">
        <v>44</v>
      </c>
      <c r="B10" s="12">
        <v>984</v>
      </c>
      <c r="C10" s="1" t="s">
        <v>40</v>
      </c>
      <c r="H10" s="15"/>
      <c r="I10" s="1" t="s">
        <v>127</v>
      </c>
      <c r="J10" s="26">
        <f>B44*100</f>
        <v>13.428334226211025</v>
      </c>
      <c r="K10" s="1">
        <v>14.428334226211023</v>
      </c>
    </row>
    <row r="11" spans="1:11" x14ac:dyDescent="0.35">
      <c r="A11" s="9" t="s">
        <v>38</v>
      </c>
      <c r="B11" s="11">
        <v>99823</v>
      </c>
      <c r="C11" s="1" t="s">
        <v>40</v>
      </c>
      <c r="H11" s="6"/>
      <c r="I11" s="1" t="s">
        <v>128</v>
      </c>
      <c r="J11" s="26">
        <f>100+B45*100</f>
        <v>118.46712269054086</v>
      </c>
      <c r="K11" s="1">
        <v>118.46712269054086</v>
      </c>
    </row>
    <row r="12" spans="1:11" x14ac:dyDescent="0.35">
      <c r="A12" s="9" t="s">
        <v>39</v>
      </c>
      <c r="B12" s="11">
        <v>59646</v>
      </c>
      <c r="C12" s="1" t="s">
        <v>40</v>
      </c>
      <c r="H12" s="6"/>
      <c r="I12" s="1" t="s">
        <v>129</v>
      </c>
      <c r="J12" s="1">
        <f>130+IF(B39&gt;1,-20)+IF(B39&lt;-1,20)</f>
        <v>130</v>
      </c>
      <c r="K12" s="1">
        <v>130</v>
      </c>
    </row>
    <row r="13" spans="1:11" x14ac:dyDescent="0.35">
      <c r="A13" s="9" t="s">
        <v>45</v>
      </c>
      <c r="B13" s="11">
        <v>40177</v>
      </c>
      <c r="C13" s="1" t="s">
        <v>40</v>
      </c>
      <c r="H13" s="6"/>
      <c r="I13" s="1" t="s">
        <v>130</v>
      </c>
      <c r="J13" s="1">
        <f>MAX(J11:J12)*2</f>
        <v>260</v>
      </c>
      <c r="K13" s="1">
        <v>260</v>
      </c>
    </row>
    <row r="14" spans="1:11" x14ac:dyDescent="0.35">
      <c r="A14" s="8" t="s">
        <v>46</v>
      </c>
      <c r="B14" s="2">
        <v>1.6</v>
      </c>
      <c r="C14" s="1" t="s">
        <v>47</v>
      </c>
      <c r="H14" s="6"/>
      <c r="I14" s="1" t="s">
        <v>131</v>
      </c>
      <c r="J14" s="26">
        <f>B14/B2*100</f>
        <v>0.55172413793103448</v>
      </c>
      <c r="K14" s="1">
        <v>0.55172413793103448</v>
      </c>
    </row>
    <row r="15" spans="1:11" x14ac:dyDescent="0.35">
      <c r="I15" s="1" t="s">
        <v>132</v>
      </c>
      <c r="J15" s="26">
        <f>B46*100</f>
        <v>6</v>
      </c>
      <c r="K15" s="1">
        <v>6</v>
      </c>
    </row>
    <row r="16" spans="1:11" x14ac:dyDescent="0.35">
      <c r="A16" s="1" t="s">
        <v>66</v>
      </c>
      <c r="I16" s="1" t="s">
        <v>133</v>
      </c>
      <c r="J16" s="26">
        <f>B45*100</f>
        <v>18.467122690540858</v>
      </c>
      <c r="K16" s="1">
        <v>18.467122690540858</v>
      </c>
    </row>
    <row r="17" spans="1:11" x14ac:dyDescent="0.35">
      <c r="B17" s="1" t="s">
        <v>55</v>
      </c>
      <c r="D17" s="1" t="s">
        <v>43</v>
      </c>
      <c r="F17" s="44"/>
      <c r="I17" s="1" t="s">
        <v>134</v>
      </c>
      <c r="J17" s="26">
        <f>B48</f>
        <v>20.719087417363003</v>
      </c>
      <c r="K17" s="1">
        <v>20.719087417363003</v>
      </c>
    </row>
    <row r="18" spans="1:11" x14ac:dyDescent="0.35">
      <c r="A18" s="8" t="s">
        <v>48</v>
      </c>
      <c r="B18" s="7">
        <v>8.2200000000000006</v>
      </c>
      <c r="C18" s="1" t="s">
        <v>47</v>
      </c>
      <c r="D18" s="7">
        <v>34.86</v>
      </c>
      <c r="E18" s="1" t="s">
        <v>91</v>
      </c>
      <c r="F18" s="3"/>
      <c r="H18" s="6"/>
      <c r="I18" s="1" t="s">
        <v>141</v>
      </c>
      <c r="J18" s="26">
        <f>B52</f>
        <v>228.56149063873514</v>
      </c>
    </row>
    <row r="19" spans="1:11" x14ac:dyDescent="0.35">
      <c r="A19" s="8" t="s">
        <v>49</v>
      </c>
      <c r="B19" s="7">
        <v>10.01</v>
      </c>
      <c r="C19" s="1" t="s">
        <v>47</v>
      </c>
      <c r="D19" s="7">
        <v>37.229999999999997</v>
      </c>
      <c r="E19" s="1" t="s">
        <v>91</v>
      </c>
      <c r="F19" s="43"/>
      <c r="H19" s="6"/>
    </row>
    <row r="20" spans="1:11" x14ac:dyDescent="0.35">
      <c r="A20" s="8" t="s">
        <v>53</v>
      </c>
      <c r="B20" s="7">
        <v>10.039999999999999</v>
      </c>
      <c r="C20" s="1" t="s">
        <v>47</v>
      </c>
      <c r="D20" s="7">
        <v>37.82</v>
      </c>
      <c r="E20" s="1" t="s">
        <v>91</v>
      </c>
      <c r="F20" s="43"/>
      <c r="H20" s="6"/>
    </row>
    <row r="21" spans="1:11" x14ac:dyDescent="0.35">
      <c r="A21" s="8" t="s">
        <v>54</v>
      </c>
      <c r="B21" s="7">
        <v>10.26</v>
      </c>
      <c r="C21" s="1" t="s">
        <v>47</v>
      </c>
      <c r="D21" s="7">
        <v>38.07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10.53</v>
      </c>
      <c r="C22" s="1" t="s">
        <v>47</v>
      </c>
      <c r="D22" s="7">
        <v>39.090000000000003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11.13</v>
      </c>
      <c r="C23" s="1" t="s">
        <v>47</v>
      </c>
      <c r="D23" s="7">
        <v>41.28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11.96</v>
      </c>
      <c r="C24" s="1" t="s">
        <v>47</v>
      </c>
      <c r="D24" s="7">
        <v>42.64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0.27</v>
      </c>
    </row>
    <row r="29" spans="1:11" x14ac:dyDescent="0.35">
      <c r="A29" s="8" t="s">
        <v>58</v>
      </c>
      <c r="B29" s="5">
        <v>0.16</v>
      </c>
    </row>
    <row r="30" spans="1:11" x14ac:dyDescent="0.35">
      <c r="A30" s="8" t="s">
        <v>59</v>
      </c>
      <c r="B30" s="5">
        <v>0.23</v>
      </c>
    </row>
    <row r="31" spans="1:11" x14ac:dyDescent="0.35">
      <c r="A31" s="8" t="s">
        <v>94</v>
      </c>
      <c r="B31" s="5">
        <v>0.1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6.9342453810817148E-2</v>
      </c>
      <c r="C35" s="1" t="s">
        <v>72</v>
      </c>
    </row>
    <row r="36" spans="1:3" x14ac:dyDescent="0.35">
      <c r="A36" s="8" t="s">
        <v>70</v>
      </c>
      <c r="B36" s="4">
        <f>B7/B11</f>
        <v>6.0096370575919378E-2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0.1304684291195416</v>
      </c>
      <c r="C37" s="1" t="s">
        <v>83</v>
      </c>
    </row>
    <row r="38" spans="1:3" x14ac:dyDescent="0.35">
      <c r="A38" s="8" t="s">
        <v>71</v>
      </c>
      <c r="B38" s="4">
        <f>(B23-B22)/B23</f>
        <v>5.3908355795148369E-2</v>
      </c>
      <c r="C38" s="1" t="s">
        <v>74</v>
      </c>
    </row>
    <row r="39" spans="1:3" x14ac:dyDescent="0.35">
      <c r="A39" s="8" t="s">
        <v>63</v>
      </c>
      <c r="B39" s="22">
        <f>(B36-Assumptions!$B$3)/B36/B38/Assumptions!B5</f>
        <v>0.82681476674683674</v>
      </c>
      <c r="C39" s="1" t="s">
        <v>75</v>
      </c>
    </row>
    <row r="40" spans="1:3" x14ac:dyDescent="0.35">
      <c r="A40" s="8" t="s">
        <v>76</v>
      </c>
      <c r="B40" s="21">
        <f>Assumptions!D22</f>
        <v>0.12</v>
      </c>
    </row>
    <row r="41" spans="1:3" x14ac:dyDescent="0.35">
      <c r="A41" s="8" t="s">
        <v>79</v>
      </c>
      <c r="B41" s="20">
        <f>(D23/D18)^0.5-1</f>
        <v>8.8193563828606436E-2</v>
      </c>
    </row>
    <row r="42" spans="1:3" x14ac:dyDescent="0.35">
      <c r="A42" s="8" t="s">
        <v>80</v>
      </c>
      <c r="B42" s="23">
        <f>(B45-B41)/B48</f>
        <v>4.6564629577242845E-3</v>
      </c>
      <c r="C42" s="1" t="s">
        <v>106</v>
      </c>
    </row>
    <row r="43" spans="1:3" x14ac:dyDescent="0.35">
      <c r="A43" s="8" t="s">
        <v>77</v>
      </c>
      <c r="B43" s="19">
        <f>AVERAGE(B28:B31)</f>
        <v>0.19</v>
      </c>
    </row>
    <row r="44" spans="1:3" x14ac:dyDescent="0.35">
      <c r="A44" s="8" t="s">
        <v>78</v>
      </c>
      <c r="B44" s="18">
        <f>SUM(B40:B43)/3</f>
        <v>0.13428334226211025</v>
      </c>
    </row>
    <row r="45" spans="1:3" x14ac:dyDescent="0.35">
      <c r="A45" s="8" t="s">
        <v>81</v>
      </c>
      <c r="B45" s="16">
        <f>(B35+0.3)/2</f>
        <v>0.18467122690540858</v>
      </c>
      <c r="C45" s="1" t="s">
        <v>103</v>
      </c>
    </row>
    <row r="46" spans="1:3" x14ac:dyDescent="0.35">
      <c r="A46" s="8" t="s">
        <v>61</v>
      </c>
      <c r="B46" s="4">
        <f>Assumptions!E22</f>
        <v>0.06</v>
      </c>
    </row>
    <row r="47" spans="1:3" x14ac:dyDescent="0.35">
      <c r="A47" s="8" t="s">
        <v>60</v>
      </c>
      <c r="B47" s="13">
        <f>(B45-B46)/(Assumptions!B4-B46)/B45</f>
        <v>16.877456899290955</v>
      </c>
    </row>
    <row r="48" spans="1:3" x14ac:dyDescent="0.35">
      <c r="A48" s="8" t="s">
        <v>85</v>
      </c>
      <c r="B48" s="13">
        <f>(B2/B18+10+B47)/3</f>
        <v>20.719087417363003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228.56149063873514</v>
      </c>
      <c r="C52" s="13"/>
    </row>
    <row r="53" spans="1:3" x14ac:dyDescent="0.35">
      <c r="A53" s="8" t="s">
        <v>87</v>
      </c>
      <c r="B53" s="13">
        <f>(B23*2-B$23)*(1+B$44)^8*B$48/(1+Assumptions!B$4-B$14/B$2)^10</f>
        <v>256.1822145829932</v>
      </c>
      <c r="C53" s="13"/>
    </row>
    <row r="54" spans="1:3" x14ac:dyDescent="0.35">
      <c r="A54" s="8" t="s">
        <v>102</v>
      </c>
      <c r="B54" s="13">
        <f>(B24*2-B$23)*(1+B$44)^8*B$48/(1+Assumptions!B$4-B$14/B$2)^10</f>
        <v>294.39088270588348</v>
      </c>
      <c r="C54" s="1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862F-77D3-438E-A000-B043B0B89031}">
  <dimension ref="A1:K54"/>
  <sheetViews>
    <sheetView topLeftCell="A31" workbookViewId="0">
      <selection activeCell="C49" sqref="C49:D57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107</v>
      </c>
      <c r="I1" s="1" t="s">
        <v>118</v>
      </c>
      <c r="J1" s="1" t="str">
        <f>B1</f>
        <v>ADBE</v>
      </c>
      <c r="K1" s="1" t="s">
        <v>107</v>
      </c>
    </row>
    <row r="2" spans="1:11" x14ac:dyDescent="0.35">
      <c r="A2" s="8" t="s">
        <v>84</v>
      </c>
      <c r="B2" s="2">
        <v>485</v>
      </c>
      <c r="I2" s="1" t="s">
        <v>119</v>
      </c>
      <c r="J2" s="1">
        <f>B2</f>
        <v>485</v>
      </c>
      <c r="K2" s="1">
        <v>485</v>
      </c>
    </row>
    <row r="3" spans="1:11" x14ac:dyDescent="0.35">
      <c r="I3" s="1" t="s">
        <v>120</v>
      </c>
      <c r="J3" s="1">
        <f>B18</f>
        <v>14.81</v>
      </c>
      <c r="K3" s="1">
        <v>14.81</v>
      </c>
    </row>
    <row r="4" spans="1:11" x14ac:dyDescent="0.35">
      <c r="A4" s="8" t="s">
        <v>67</v>
      </c>
      <c r="I4" s="1" t="s">
        <v>121</v>
      </c>
      <c r="J4" s="1">
        <f t="shared" ref="J4:J9" si="0">B19</f>
        <v>18.239999999999998</v>
      </c>
      <c r="K4" s="1">
        <v>18.239999999999998</v>
      </c>
    </row>
    <row r="5" spans="1:11" x14ac:dyDescent="0.35">
      <c r="B5" s="1" t="s">
        <v>56</v>
      </c>
      <c r="I5" s="1" t="s">
        <v>122</v>
      </c>
      <c r="J5" s="1">
        <f t="shared" si="0"/>
        <v>18.28</v>
      </c>
      <c r="K5" s="1">
        <v>18.28</v>
      </c>
    </row>
    <row r="6" spans="1:11" x14ac:dyDescent="0.35">
      <c r="A6" s="9" t="s">
        <v>41</v>
      </c>
      <c r="B6" s="11">
        <v>4756</v>
      </c>
      <c r="C6" s="1" t="s">
        <v>40</v>
      </c>
      <c r="D6" s="6"/>
      <c r="I6" s="1" t="s">
        <v>123</v>
      </c>
      <c r="J6" s="1">
        <f t="shared" si="0"/>
        <v>18.329999999999998</v>
      </c>
      <c r="K6" s="1">
        <v>18.329999999999998</v>
      </c>
    </row>
    <row r="7" spans="1:11" x14ac:dyDescent="0.35">
      <c r="A7" s="9" t="s">
        <v>37</v>
      </c>
      <c r="B7" s="11">
        <v>6098</v>
      </c>
      <c r="C7" s="1" t="s">
        <v>40</v>
      </c>
      <c r="D7" s="6"/>
      <c r="I7" s="1" t="s">
        <v>124</v>
      </c>
      <c r="J7" s="1">
        <f t="shared" si="0"/>
        <v>19.98</v>
      </c>
      <c r="K7" s="1">
        <v>19.98</v>
      </c>
    </row>
    <row r="8" spans="1:11" x14ac:dyDescent="0.35">
      <c r="A8" s="9" t="s">
        <v>42</v>
      </c>
      <c r="B8" s="11">
        <v>15441</v>
      </c>
      <c r="C8" s="1" t="s">
        <v>40</v>
      </c>
      <c r="D8" s="6"/>
      <c r="I8" s="1" t="s">
        <v>125</v>
      </c>
      <c r="J8" s="1">
        <f t="shared" si="0"/>
        <v>20.55</v>
      </c>
      <c r="K8" s="1">
        <v>20.55</v>
      </c>
    </row>
    <row r="9" spans="1:11" x14ac:dyDescent="0.35">
      <c r="A9" s="9" t="s">
        <v>43</v>
      </c>
      <c r="B9" s="11">
        <v>17606</v>
      </c>
      <c r="C9" s="1" t="s">
        <v>40</v>
      </c>
      <c r="D9" s="6"/>
      <c r="I9" s="1" t="s">
        <v>126</v>
      </c>
      <c r="J9" s="1">
        <f t="shared" si="0"/>
        <v>21.14</v>
      </c>
      <c r="K9" s="1">
        <v>21.14</v>
      </c>
    </row>
    <row r="10" spans="1:11" x14ac:dyDescent="0.35">
      <c r="A10" s="9" t="s">
        <v>44</v>
      </c>
      <c r="B10" s="12">
        <v>459</v>
      </c>
      <c r="C10" s="1" t="s">
        <v>40</v>
      </c>
      <c r="D10" s="6"/>
      <c r="I10" s="1" t="s">
        <v>127</v>
      </c>
      <c r="J10" s="26">
        <f>B44*100</f>
        <v>14.904004323813544</v>
      </c>
      <c r="K10" s="1">
        <v>15.904004323813545</v>
      </c>
    </row>
    <row r="11" spans="1:11" x14ac:dyDescent="0.35">
      <c r="A11" s="9" t="s">
        <v>38</v>
      </c>
      <c r="B11" s="11">
        <v>29779</v>
      </c>
      <c r="C11" s="1" t="s">
        <v>40</v>
      </c>
      <c r="D11" s="6"/>
      <c r="I11" s="1" t="s">
        <v>128</v>
      </c>
      <c r="J11" s="26">
        <f>100+B45*100</f>
        <v>129.39641603099648</v>
      </c>
      <c r="K11" s="1">
        <v>129.39641603099648</v>
      </c>
    </row>
    <row r="12" spans="1:11" x14ac:dyDescent="0.35">
      <c r="A12" s="9" t="s">
        <v>39</v>
      </c>
      <c r="B12" s="11">
        <v>16518</v>
      </c>
      <c r="C12" s="1" t="s">
        <v>40</v>
      </c>
      <c r="D12" s="6"/>
      <c r="I12" s="1" t="s">
        <v>129</v>
      </c>
      <c r="J12" s="1">
        <f>130+IF(B39&gt;1,-20)+IF(B39&lt;-1,20)</f>
        <v>110</v>
      </c>
      <c r="K12" s="1">
        <v>110</v>
      </c>
    </row>
    <row r="13" spans="1:11" x14ac:dyDescent="0.35">
      <c r="A13" s="9" t="s">
        <v>45</v>
      </c>
      <c r="B13" s="11">
        <v>13261</v>
      </c>
      <c r="C13" s="1" t="s">
        <v>40</v>
      </c>
      <c r="D13" s="6"/>
      <c r="I13" s="1" t="s">
        <v>130</v>
      </c>
      <c r="J13" s="1">
        <f>MAX(J11:J12)*2</f>
        <v>258.79283206199295</v>
      </c>
      <c r="K13" s="1">
        <v>258.79283206199295</v>
      </c>
    </row>
    <row r="14" spans="1:11" x14ac:dyDescent="0.35">
      <c r="A14" s="8" t="s">
        <v>46</v>
      </c>
      <c r="B14" s="2">
        <v>0</v>
      </c>
      <c r="C14" s="1" t="s">
        <v>47</v>
      </c>
      <c r="D14" s="15"/>
      <c r="I14" s="1" t="s">
        <v>131</v>
      </c>
      <c r="J14" s="26">
        <f>B14/B2*100</f>
        <v>0</v>
      </c>
      <c r="K14" s="1">
        <v>0</v>
      </c>
    </row>
    <row r="15" spans="1:11" x14ac:dyDescent="0.35">
      <c r="I15" s="1" t="s">
        <v>132</v>
      </c>
      <c r="J15" s="26">
        <f>B46*100</f>
        <v>6</v>
      </c>
      <c r="K15" s="1">
        <v>6</v>
      </c>
    </row>
    <row r="16" spans="1:11" x14ac:dyDescent="0.35">
      <c r="A16" s="1" t="s">
        <v>66</v>
      </c>
      <c r="I16" s="1" t="s">
        <v>133</v>
      </c>
      <c r="J16" s="26">
        <f>B45*100</f>
        <v>29.396416030996487</v>
      </c>
      <c r="K16" s="1">
        <v>29.396416030996487</v>
      </c>
    </row>
    <row r="17" spans="1:11" x14ac:dyDescent="0.35">
      <c r="B17" s="1" t="s">
        <v>55</v>
      </c>
      <c r="D17" s="1" t="s">
        <v>43</v>
      </c>
      <c r="F17" s="44"/>
      <c r="I17" s="1" t="s">
        <v>134</v>
      </c>
      <c r="J17" s="26">
        <f>B48</f>
        <v>20.881826765558682</v>
      </c>
      <c r="K17" s="1">
        <v>20.881826765558682</v>
      </c>
    </row>
    <row r="18" spans="1:11" x14ac:dyDescent="0.35">
      <c r="A18" s="8" t="s">
        <v>48</v>
      </c>
      <c r="B18" s="7">
        <v>14.81</v>
      </c>
      <c r="C18" s="1" t="s">
        <v>47</v>
      </c>
      <c r="D18" s="14">
        <v>17.89</v>
      </c>
      <c r="E18" s="1" t="s">
        <v>91</v>
      </c>
      <c r="F18" s="3"/>
      <c r="H18" s="6"/>
      <c r="I18" s="1" t="s">
        <v>141</v>
      </c>
      <c r="J18" s="26">
        <f>B52</f>
        <v>474.84129730339379</v>
      </c>
    </row>
    <row r="19" spans="1:11" x14ac:dyDescent="0.35">
      <c r="A19" s="8" t="s">
        <v>49</v>
      </c>
      <c r="B19" s="7">
        <v>18.239999999999998</v>
      </c>
      <c r="C19" s="1" t="s">
        <v>47</v>
      </c>
      <c r="D19" s="14">
        <v>21.41</v>
      </c>
      <c r="E19" s="1" t="s">
        <v>91</v>
      </c>
      <c r="F19" s="43"/>
      <c r="H19" s="6"/>
    </row>
    <row r="20" spans="1:11" x14ac:dyDescent="0.35">
      <c r="A20" s="8" t="s">
        <v>53</v>
      </c>
      <c r="B20" s="7">
        <v>18.28</v>
      </c>
      <c r="C20" s="1" t="s">
        <v>47</v>
      </c>
      <c r="D20" s="14">
        <v>21.44</v>
      </c>
      <c r="E20" s="1" t="s">
        <v>91</v>
      </c>
      <c r="F20" s="43"/>
      <c r="H20" s="6"/>
    </row>
    <row r="21" spans="1:11" x14ac:dyDescent="0.35">
      <c r="A21" s="8" t="s">
        <v>54</v>
      </c>
      <c r="B21" s="7">
        <v>18.329999999999998</v>
      </c>
      <c r="C21" s="1" t="s">
        <v>47</v>
      </c>
      <c r="D21" s="14">
        <v>21.48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19.98</v>
      </c>
      <c r="C22" s="1" t="s">
        <v>47</v>
      </c>
      <c r="D22" s="14">
        <v>23.44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20.55</v>
      </c>
      <c r="C23" s="1" t="s">
        <v>47</v>
      </c>
      <c r="D23" s="14">
        <v>23.79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21.14</v>
      </c>
      <c r="C24" s="1" t="s">
        <v>47</v>
      </c>
      <c r="D24" s="14">
        <v>24.15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0.18</v>
      </c>
    </row>
    <row r="29" spans="1:11" x14ac:dyDescent="0.35">
      <c r="A29" s="8" t="s">
        <v>58</v>
      </c>
      <c r="B29" s="5">
        <v>0.14000000000000001</v>
      </c>
    </row>
    <row r="30" spans="1:11" x14ac:dyDescent="0.35">
      <c r="A30" s="8" t="s">
        <v>59</v>
      </c>
      <c r="B30" s="5">
        <v>0.23</v>
      </c>
    </row>
    <row r="31" spans="1:11" x14ac:dyDescent="0.35">
      <c r="A31" s="8" t="s">
        <v>94</v>
      </c>
      <c r="B31" s="5">
        <v>0.12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0.28792832061992979</v>
      </c>
      <c r="C35" s="1" t="s">
        <v>72</v>
      </c>
    </row>
    <row r="36" spans="1:3" x14ac:dyDescent="0.35">
      <c r="A36" s="8" t="s">
        <v>70</v>
      </c>
      <c r="B36" s="4">
        <f>B7/B11</f>
        <v>0.2047751771382518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0.18532355015279223</v>
      </c>
      <c r="C37" s="1" t="s">
        <v>83</v>
      </c>
    </row>
    <row r="38" spans="1:3" x14ac:dyDescent="0.35">
      <c r="A38" s="8" t="s">
        <v>71</v>
      </c>
      <c r="B38" s="4">
        <f>(B23-B22)/B23</f>
        <v>2.7737226277372275E-2</v>
      </c>
      <c r="C38" s="1" t="s">
        <v>74</v>
      </c>
    </row>
    <row r="39" spans="1:3" x14ac:dyDescent="0.35">
      <c r="A39" s="8" t="s">
        <v>63</v>
      </c>
      <c r="B39" s="17">
        <f>(B36-Assumptions!$B$3)/B36/B38/Assumptions!B5</f>
        <v>7.2294996704383321</v>
      </c>
      <c r="C39" s="1" t="s">
        <v>75</v>
      </c>
    </row>
    <row r="40" spans="1:3" x14ac:dyDescent="0.35">
      <c r="A40" s="8" t="s">
        <v>76</v>
      </c>
      <c r="B40" s="21">
        <f>Assumptions!D22</f>
        <v>0.12</v>
      </c>
    </row>
    <row r="41" spans="1:3" x14ac:dyDescent="0.35">
      <c r="A41" s="8" t="s">
        <v>79</v>
      </c>
      <c r="B41" s="20">
        <f>(D23/D18)^0.5-1</f>
        <v>0.1531665883764548</v>
      </c>
    </row>
    <row r="42" spans="1:3" x14ac:dyDescent="0.35">
      <c r="A42" s="8" t="s">
        <v>80</v>
      </c>
      <c r="B42" s="20">
        <f>(B35-B41)/B48</f>
        <v>6.4535413379514985E-3</v>
      </c>
    </row>
    <row r="43" spans="1:3" x14ac:dyDescent="0.35">
      <c r="A43" s="8" t="s">
        <v>77</v>
      </c>
      <c r="B43" s="19">
        <f>AVERAGE(B28:B31)</f>
        <v>0.16750000000000001</v>
      </c>
    </row>
    <row r="44" spans="1:3" x14ac:dyDescent="0.35">
      <c r="A44" s="8" t="s">
        <v>78</v>
      </c>
      <c r="B44" s="18">
        <f>SUM(B40:B43)/3</f>
        <v>0.14904004323813544</v>
      </c>
    </row>
    <row r="45" spans="1:3" x14ac:dyDescent="0.35">
      <c r="A45" s="8" t="s">
        <v>81</v>
      </c>
      <c r="B45" s="16">
        <f>(B35+0.3)/2</f>
        <v>0.29396416030996486</v>
      </c>
      <c r="C45" s="1" t="s">
        <v>103</v>
      </c>
    </row>
    <row r="46" spans="1:3" x14ac:dyDescent="0.35">
      <c r="A46" s="8" t="s">
        <v>61</v>
      </c>
      <c r="B46" s="4">
        <f>Assumptions!E22</f>
        <v>0.06</v>
      </c>
    </row>
    <row r="47" spans="1:3" x14ac:dyDescent="0.35">
      <c r="A47" s="8" t="s">
        <v>60</v>
      </c>
      <c r="B47" s="13">
        <f>(B45-B46)/(Assumptions!B4-B46)/B45</f>
        <v>19.897337150153422</v>
      </c>
    </row>
    <row r="48" spans="1:3" x14ac:dyDescent="0.35">
      <c r="A48" s="8" t="s">
        <v>85</v>
      </c>
      <c r="B48" s="13">
        <f>(B2/B18+10+B47)/3</f>
        <v>20.881826765558682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474.84129730339379</v>
      </c>
      <c r="C52" s="13"/>
    </row>
    <row r="53" spans="1:3" x14ac:dyDescent="0.35">
      <c r="A53" s="8" t="s">
        <v>87</v>
      </c>
      <c r="B53" s="13">
        <f>(B23*2-B$23)*(1+B$44)^8*B$48/(1+Assumptions!B$4-B$14/B$2)^10</f>
        <v>502.72996700591148</v>
      </c>
      <c r="C53" s="13"/>
    </row>
    <row r="54" spans="1:3" x14ac:dyDescent="0.35">
      <c r="A54" s="8" t="s">
        <v>102</v>
      </c>
      <c r="B54" s="13">
        <f>(B24*2-B$23)*(1+B$44)^8*B$48/(1+Assumptions!B$4-B$14/B$2)^10</f>
        <v>531.59718652255253</v>
      </c>
      <c r="C54" s="13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E5EB-CCE9-4553-9AB3-5327AAEA91A3}">
  <dimension ref="A1:K54"/>
  <sheetViews>
    <sheetView workbookViewId="0">
      <selection activeCell="F17" sqref="F17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101</v>
      </c>
      <c r="I1" s="1" t="s">
        <v>118</v>
      </c>
      <c r="J1" s="1" t="str">
        <f>B1</f>
        <v>MSFT</v>
      </c>
      <c r="K1" s="1" t="s">
        <v>101</v>
      </c>
    </row>
    <row r="2" spans="1:11" x14ac:dyDescent="0.35">
      <c r="A2" s="8" t="s">
        <v>84</v>
      </c>
      <c r="B2" s="2">
        <v>428</v>
      </c>
      <c r="I2" s="1" t="s">
        <v>119</v>
      </c>
      <c r="J2" s="1">
        <f>B2</f>
        <v>428</v>
      </c>
      <c r="K2" s="1">
        <v>428</v>
      </c>
    </row>
    <row r="3" spans="1:11" x14ac:dyDescent="0.35">
      <c r="I3" s="1" t="s">
        <v>120</v>
      </c>
      <c r="J3" s="1">
        <f>B18</f>
        <v>11.8</v>
      </c>
      <c r="K3" s="1">
        <v>11.8</v>
      </c>
    </row>
    <row r="4" spans="1:11" x14ac:dyDescent="0.35">
      <c r="A4" s="8" t="s">
        <v>67</v>
      </c>
      <c r="I4" s="1" t="s">
        <v>121</v>
      </c>
      <c r="J4" s="1">
        <f t="shared" ref="J4:K9" si="0">B19</f>
        <v>12.52</v>
      </c>
      <c r="K4" s="1">
        <v>12.52</v>
      </c>
    </row>
    <row r="5" spans="1:11" x14ac:dyDescent="0.35">
      <c r="B5" s="1" t="s">
        <v>56</v>
      </c>
      <c r="I5" s="1" t="s">
        <v>122</v>
      </c>
      <c r="J5" s="1">
        <f t="shared" si="0"/>
        <v>13</v>
      </c>
      <c r="K5" s="1">
        <v>13</v>
      </c>
    </row>
    <row r="6" spans="1:11" x14ac:dyDescent="0.35">
      <c r="A6" s="9" t="s">
        <v>41</v>
      </c>
      <c r="B6" s="11">
        <v>72361</v>
      </c>
      <c r="C6" s="1" t="s">
        <v>40</v>
      </c>
      <c r="E6" s="6"/>
      <c r="I6" s="1" t="s">
        <v>123</v>
      </c>
      <c r="J6" s="1">
        <f t="shared" si="0"/>
        <v>13.64</v>
      </c>
      <c r="K6" s="1">
        <v>13.64</v>
      </c>
    </row>
    <row r="7" spans="1:11" x14ac:dyDescent="0.35">
      <c r="A7" s="9" t="s">
        <v>37</v>
      </c>
      <c r="B7" s="11">
        <v>88523</v>
      </c>
      <c r="C7" s="1" t="s">
        <v>40</v>
      </c>
      <c r="E7" s="6"/>
      <c r="I7" s="1" t="s">
        <v>124</v>
      </c>
      <c r="J7" s="1">
        <f t="shared" si="0"/>
        <v>13.99</v>
      </c>
      <c r="K7" s="1">
        <v>13.99</v>
      </c>
    </row>
    <row r="8" spans="1:11" x14ac:dyDescent="0.35">
      <c r="A8" s="9" t="s">
        <v>42</v>
      </c>
      <c r="B8" s="11">
        <v>146052</v>
      </c>
      <c r="C8" s="1" t="s">
        <v>40</v>
      </c>
      <c r="E8" s="6"/>
      <c r="I8" s="1" t="s">
        <v>125</v>
      </c>
      <c r="J8" s="1">
        <f t="shared" si="0"/>
        <v>15.04</v>
      </c>
      <c r="K8" s="1">
        <v>15.04</v>
      </c>
    </row>
    <row r="9" spans="1:11" x14ac:dyDescent="0.35">
      <c r="A9" s="9" t="s">
        <v>43</v>
      </c>
      <c r="B9" s="11">
        <v>211915</v>
      </c>
      <c r="C9" s="1" t="s">
        <v>40</v>
      </c>
      <c r="E9" s="6"/>
      <c r="I9" s="1" t="s">
        <v>126</v>
      </c>
      <c r="J9" s="1">
        <f t="shared" si="0"/>
        <v>16.260000000000002</v>
      </c>
      <c r="K9" s="1">
        <v>16.260000000000002</v>
      </c>
    </row>
    <row r="10" spans="1:11" x14ac:dyDescent="0.35">
      <c r="A10" s="9" t="s">
        <v>44</v>
      </c>
      <c r="B10" s="12">
        <v>7472</v>
      </c>
      <c r="C10" s="1" t="s">
        <v>40</v>
      </c>
      <c r="E10" s="15"/>
      <c r="I10" s="1" t="s">
        <v>127</v>
      </c>
      <c r="J10" s="26">
        <f>B44*100</f>
        <v>14.102271540965413</v>
      </c>
      <c r="K10" s="1">
        <v>14.102271540965413</v>
      </c>
    </row>
    <row r="11" spans="1:11" x14ac:dyDescent="0.35">
      <c r="A11" s="9" t="s">
        <v>38</v>
      </c>
      <c r="B11" s="11">
        <v>411976</v>
      </c>
      <c r="C11" s="1" t="s">
        <v>40</v>
      </c>
      <c r="E11" s="6"/>
      <c r="I11" s="1" t="s">
        <v>128</v>
      </c>
      <c r="J11" s="26">
        <f>100+B45*100</f>
        <v>130</v>
      </c>
      <c r="K11" s="1">
        <v>130</v>
      </c>
    </row>
    <row r="12" spans="1:11" x14ac:dyDescent="0.35">
      <c r="A12" s="9" t="s">
        <v>39</v>
      </c>
      <c r="B12" s="11">
        <v>206223</v>
      </c>
      <c r="C12" s="1" t="s">
        <v>40</v>
      </c>
      <c r="E12" s="6"/>
      <c r="I12" s="1" t="s">
        <v>129</v>
      </c>
      <c r="J12" s="1">
        <f>130+IF(B39&gt;1,-20)+IF(B39&lt;-1,20)</f>
        <v>110</v>
      </c>
      <c r="K12" s="1">
        <v>110</v>
      </c>
    </row>
    <row r="13" spans="1:11" x14ac:dyDescent="0.35">
      <c r="A13" s="9" t="s">
        <v>45</v>
      </c>
      <c r="B13" s="11">
        <v>205753</v>
      </c>
      <c r="C13" s="1" t="s">
        <v>40</v>
      </c>
      <c r="E13" s="6"/>
      <c r="I13" s="1" t="s">
        <v>130</v>
      </c>
      <c r="J13" s="1">
        <f>MAX(J11:J12)*2</f>
        <v>260</v>
      </c>
      <c r="K13" s="1">
        <v>260</v>
      </c>
    </row>
    <row r="14" spans="1:11" x14ac:dyDescent="0.35">
      <c r="A14" s="8" t="s">
        <v>46</v>
      </c>
      <c r="B14" s="2">
        <v>3</v>
      </c>
      <c r="C14" s="1" t="s">
        <v>47</v>
      </c>
      <c r="E14" s="6"/>
      <c r="I14" s="1" t="s">
        <v>131</v>
      </c>
      <c r="J14" s="26">
        <f>B14/B2*100</f>
        <v>0.7009345794392523</v>
      </c>
      <c r="K14" s="1">
        <v>0.7009345794392523</v>
      </c>
    </row>
    <row r="15" spans="1:11" x14ac:dyDescent="0.35">
      <c r="I15" s="1" t="s">
        <v>132</v>
      </c>
      <c r="J15" s="26">
        <f>B46*100</f>
        <v>6</v>
      </c>
      <c r="K15" s="1">
        <v>6</v>
      </c>
    </row>
    <row r="16" spans="1:11" x14ac:dyDescent="0.35">
      <c r="A16" s="1" t="s">
        <v>66</v>
      </c>
      <c r="I16" s="1" t="s">
        <v>133</v>
      </c>
      <c r="J16" s="26">
        <f>B45*100</f>
        <v>30</v>
      </c>
      <c r="K16" s="1">
        <v>30</v>
      </c>
    </row>
    <row r="17" spans="1:11" x14ac:dyDescent="0.35">
      <c r="B17" s="1" t="s">
        <v>55</v>
      </c>
      <c r="D17" s="1" t="s">
        <v>43</v>
      </c>
      <c r="F17" s="44"/>
      <c r="I17" s="1" t="s">
        <v>134</v>
      </c>
      <c r="J17" s="26">
        <f>B48</f>
        <v>22.09039548022599</v>
      </c>
      <c r="K17" s="1">
        <v>22.09039548022599</v>
      </c>
    </row>
    <row r="18" spans="1:11" x14ac:dyDescent="0.35">
      <c r="A18" s="8" t="s">
        <v>48</v>
      </c>
      <c r="B18" s="7">
        <v>11.8</v>
      </c>
      <c r="C18" s="1" t="s">
        <v>47</v>
      </c>
      <c r="D18" s="7">
        <v>245</v>
      </c>
      <c r="E18" s="1" t="s">
        <v>91</v>
      </c>
      <c r="F18" s="3"/>
      <c r="I18" s="1" t="s">
        <v>141</v>
      </c>
      <c r="J18" s="26">
        <f>B52</f>
        <v>337.54183423692672</v>
      </c>
    </row>
    <row r="19" spans="1:11" x14ac:dyDescent="0.35">
      <c r="A19" s="8" t="s">
        <v>49</v>
      </c>
      <c r="B19" s="7">
        <v>12.52</v>
      </c>
      <c r="C19" s="1" t="s">
        <v>47</v>
      </c>
      <c r="D19" s="7">
        <v>273</v>
      </c>
      <c r="E19" s="1" t="s">
        <v>91</v>
      </c>
      <c r="F19" s="43"/>
    </row>
    <row r="20" spans="1:11" x14ac:dyDescent="0.35">
      <c r="A20" s="8" t="s">
        <v>53</v>
      </c>
      <c r="B20" s="7">
        <v>13</v>
      </c>
      <c r="C20" s="1" t="s">
        <v>47</v>
      </c>
      <c r="D20" s="7">
        <v>279</v>
      </c>
      <c r="E20" s="1" t="s">
        <v>91</v>
      </c>
      <c r="F20" s="43"/>
    </row>
    <row r="21" spans="1:11" x14ac:dyDescent="0.35">
      <c r="A21" s="8" t="s">
        <v>54</v>
      </c>
      <c r="B21" s="7">
        <v>13.64</v>
      </c>
      <c r="C21" s="1" t="s">
        <v>47</v>
      </c>
      <c r="D21" s="7">
        <v>288</v>
      </c>
      <c r="E21" s="1" t="s">
        <v>91</v>
      </c>
      <c r="F21" s="43"/>
    </row>
    <row r="22" spans="1:11" x14ac:dyDescent="0.35">
      <c r="A22" s="8" t="s">
        <v>52</v>
      </c>
      <c r="B22" s="7">
        <v>13.99</v>
      </c>
      <c r="C22" s="1" t="s">
        <v>47</v>
      </c>
      <c r="D22" s="7">
        <v>299</v>
      </c>
      <c r="E22" s="1" t="s">
        <v>91</v>
      </c>
      <c r="F22" s="43"/>
    </row>
    <row r="23" spans="1:11" x14ac:dyDescent="0.35">
      <c r="A23" s="8" t="s">
        <v>51</v>
      </c>
      <c r="B23" s="7">
        <v>15.04</v>
      </c>
      <c r="C23" s="1" t="s">
        <v>47</v>
      </c>
      <c r="D23" s="7">
        <v>319</v>
      </c>
      <c r="E23" s="1" t="s">
        <v>91</v>
      </c>
      <c r="F23" s="43"/>
    </row>
    <row r="24" spans="1:11" x14ac:dyDescent="0.35">
      <c r="A24" s="8" t="s">
        <v>50</v>
      </c>
      <c r="B24" s="7">
        <v>16.260000000000002</v>
      </c>
      <c r="C24" s="1" t="s">
        <v>47</v>
      </c>
      <c r="D24" s="7">
        <v>329</v>
      </c>
      <c r="E24" s="1" t="s">
        <v>91</v>
      </c>
      <c r="F24" s="43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0.19</v>
      </c>
    </row>
    <row r="29" spans="1:11" x14ac:dyDescent="0.35">
      <c r="A29" s="8" t="s">
        <v>58</v>
      </c>
      <c r="B29" s="5">
        <v>0.15</v>
      </c>
    </row>
    <row r="30" spans="1:11" x14ac:dyDescent="0.35">
      <c r="A30" s="8" t="s">
        <v>59</v>
      </c>
      <c r="B30" s="5">
        <v>0.11</v>
      </c>
    </row>
    <row r="31" spans="1:11" x14ac:dyDescent="0.35">
      <c r="A31" s="8" t="s">
        <v>94</v>
      </c>
      <c r="B31" s="5">
        <v>0.16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0.35088714643856406</v>
      </c>
      <c r="C35" s="1" t="s">
        <v>72</v>
      </c>
    </row>
    <row r="36" spans="1:3" x14ac:dyDescent="0.35">
      <c r="A36" s="8" t="s">
        <v>70</v>
      </c>
      <c r="B36" s="4">
        <f>B7/B11</f>
        <v>0.21487416742722876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0.17514260539448898</v>
      </c>
      <c r="C37" s="1" t="s">
        <v>83</v>
      </c>
    </row>
    <row r="38" spans="1:3" x14ac:dyDescent="0.35">
      <c r="A38" s="8" t="s">
        <v>71</v>
      </c>
      <c r="B38" s="4">
        <f>(B23-B22)/B23</f>
        <v>6.981382978723398E-2</v>
      </c>
      <c r="C38" s="1" t="s">
        <v>74</v>
      </c>
    </row>
    <row r="39" spans="1:3" x14ac:dyDescent="0.35">
      <c r="A39" s="8" t="s">
        <v>63</v>
      </c>
      <c r="B39" s="17">
        <f>(B36-Assumptions!$B$3)/B36/B38/Assumptions!B5</f>
        <v>2.9159106896796034</v>
      </c>
      <c r="C39" s="1" t="s">
        <v>75</v>
      </c>
    </row>
    <row r="40" spans="1:3" x14ac:dyDescent="0.35">
      <c r="A40" s="8" t="s">
        <v>76</v>
      </c>
      <c r="B40" s="21">
        <f>Assumptions!D22</f>
        <v>0.12</v>
      </c>
    </row>
    <row r="41" spans="1:3" x14ac:dyDescent="0.35">
      <c r="A41" s="8" t="s">
        <v>79</v>
      </c>
      <c r="B41" s="20">
        <f>(D23/D18)^0.5-1</f>
        <v>0.14107003129804907</v>
      </c>
    </row>
    <row r="42" spans="1:3" x14ac:dyDescent="0.35">
      <c r="A42" s="8" t="s">
        <v>80</v>
      </c>
      <c r="B42" s="20">
        <f>(B35-B41)/B48</f>
        <v>9.4981149309133379E-3</v>
      </c>
    </row>
    <row r="43" spans="1:3" x14ac:dyDescent="0.35">
      <c r="A43" s="8" t="s">
        <v>77</v>
      </c>
      <c r="B43" s="19">
        <f>AVERAGE(B28:B31)</f>
        <v>0.1525</v>
      </c>
    </row>
    <row r="44" spans="1:3" x14ac:dyDescent="0.35">
      <c r="A44" s="8" t="s">
        <v>78</v>
      </c>
      <c r="B44" s="18">
        <f>SUM(B40:B43)/3</f>
        <v>0.14102271540965414</v>
      </c>
    </row>
    <row r="45" spans="1:3" x14ac:dyDescent="0.35">
      <c r="A45" s="8" t="s">
        <v>81</v>
      </c>
      <c r="B45" s="16">
        <v>0.3</v>
      </c>
      <c r="C45" s="1" t="s">
        <v>104</v>
      </c>
    </row>
    <row r="46" spans="1:3" x14ac:dyDescent="0.35">
      <c r="A46" s="8" t="s">
        <v>61</v>
      </c>
      <c r="B46" s="4">
        <f>Assumptions!E22</f>
        <v>0.06</v>
      </c>
    </row>
    <row r="47" spans="1:3" x14ac:dyDescent="0.35">
      <c r="A47" s="8" t="s">
        <v>60</v>
      </c>
      <c r="B47" s="13">
        <f>(B45-B46)/(Assumptions!B4-B46)/B45</f>
        <v>19.999999999999996</v>
      </c>
    </row>
    <row r="48" spans="1:3" x14ac:dyDescent="0.35">
      <c r="A48" s="8" t="s">
        <v>85</v>
      </c>
      <c r="B48" s="13">
        <f>(B2/B18+10+B47)/3</f>
        <v>22.09039548022599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337.54183423692672</v>
      </c>
      <c r="C52" s="13"/>
    </row>
    <row r="53" spans="1:3" x14ac:dyDescent="0.35">
      <c r="A53" s="8" t="s">
        <v>87</v>
      </c>
      <c r="B53" s="13">
        <f>(B23*2-B$23)*(1+B$44)^8*B$48/(1+Assumptions!B$4-B$14/B$2)^10</f>
        <v>392.32064813936449</v>
      </c>
      <c r="C53" s="13"/>
    </row>
    <row r="54" spans="1:3" x14ac:dyDescent="0.35">
      <c r="A54" s="8" t="s">
        <v>102</v>
      </c>
      <c r="B54" s="13">
        <f>(B24*2-B$23)*(1+B$44)^8*B$48/(1+Assumptions!B$4-B$14/B$2)^10</f>
        <v>455.96841286410199</v>
      </c>
      <c r="C54" s="13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45C2-0BBB-4EF3-8E3A-E0EAB2D19CB8}">
  <dimension ref="A1:K54"/>
  <sheetViews>
    <sheetView topLeftCell="A31" workbookViewId="0">
      <selection activeCell="C50" sqref="C50:C55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31</v>
      </c>
      <c r="I1" s="1" t="s">
        <v>118</v>
      </c>
      <c r="J1" s="1" t="str">
        <f>B1</f>
        <v>GOOG</v>
      </c>
      <c r="K1" s="1" t="s">
        <v>31</v>
      </c>
    </row>
    <row r="2" spans="1:11" x14ac:dyDescent="0.35">
      <c r="A2" s="8" t="s">
        <v>84</v>
      </c>
      <c r="B2" s="2">
        <v>168</v>
      </c>
      <c r="I2" s="1" t="s">
        <v>119</v>
      </c>
      <c r="J2" s="1">
        <f>B2</f>
        <v>168</v>
      </c>
      <c r="K2" s="1">
        <v>168</v>
      </c>
    </row>
    <row r="3" spans="1:11" x14ac:dyDescent="0.35">
      <c r="I3" s="1" t="s">
        <v>120</v>
      </c>
      <c r="J3" s="1">
        <f>B18</f>
        <v>5.8</v>
      </c>
      <c r="K3" s="1">
        <v>5.8</v>
      </c>
    </row>
    <row r="4" spans="1:11" x14ac:dyDescent="0.35">
      <c r="A4" s="8" t="s">
        <v>67</v>
      </c>
      <c r="I4" s="1" t="s">
        <v>121</v>
      </c>
      <c r="J4" s="1">
        <f t="shared" ref="J4:J9" si="0">B19</f>
        <v>7.24</v>
      </c>
      <c r="K4" s="1">
        <v>7.24</v>
      </c>
    </row>
    <row r="5" spans="1:11" x14ac:dyDescent="0.35">
      <c r="B5" s="1" t="s">
        <v>56</v>
      </c>
      <c r="I5" s="1" t="s">
        <v>122</v>
      </c>
      <c r="J5" s="1">
        <f t="shared" si="0"/>
        <v>7.66</v>
      </c>
      <c r="K5" s="1">
        <v>7.66</v>
      </c>
    </row>
    <row r="6" spans="1:11" x14ac:dyDescent="0.35">
      <c r="A6" s="9" t="s">
        <v>41</v>
      </c>
      <c r="B6" s="11">
        <v>73795</v>
      </c>
      <c r="C6" s="1" t="s">
        <v>40</v>
      </c>
      <c r="I6" s="1" t="s">
        <v>123</v>
      </c>
      <c r="J6" s="1">
        <f t="shared" si="0"/>
        <v>7.98</v>
      </c>
      <c r="K6" s="1">
        <v>7.98</v>
      </c>
    </row>
    <row r="7" spans="1:11" x14ac:dyDescent="0.35">
      <c r="A7" s="9" t="s">
        <v>37</v>
      </c>
      <c r="B7" s="11">
        <v>84293</v>
      </c>
      <c r="C7" s="1" t="s">
        <v>40</v>
      </c>
      <c r="I7" s="1" t="s">
        <v>124</v>
      </c>
      <c r="J7" s="1">
        <f t="shared" si="0"/>
        <v>8.02</v>
      </c>
      <c r="K7" s="1">
        <v>8.02</v>
      </c>
    </row>
    <row r="8" spans="1:11" x14ac:dyDescent="0.35">
      <c r="A8" s="9" t="s">
        <v>42</v>
      </c>
      <c r="B8" s="11">
        <v>174062</v>
      </c>
      <c r="C8" s="1" t="s">
        <v>40</v>
      </c>
      <c r="I8" s="1" t="s">
        <v>125</v>
      </c>
      <c r="J8" s="1">
        <f t="shared" si="0"/>
        <v>8.69</v>
      </c>
      <c r="K8" s="1">
        <v>8.69</v>
      </c>
    </row>
    <row r="9" spans="1:11" x14ac:dyDescent="0.35">
      <c r="A9" s="9" t="s">
        <v>43</v>
      </c>
      <c r="B9" s="11">
        <v>307394</v>
      </c>
      <c r="C9" s="1" t="s">
        <v>40</v>
      </c>
      <c r="I9" s="1" t="s">
        <v>126</v>
      </c>
      <c r="J9" s="1">
        <f t="shared" si="0"/>
        <v>9.8000000000000007</v>
      </c>
      <c r="K9" s="1">
        <v>9.8000000000000007</v>
      </c>
    </row>
    <row r="10" spans="1:11" x14ac:dyDescent="0.35">
      <c r="A10" s="9" t="s">
        <v>44</v>
      </c>
      <c r="B10" s="12">
        <v>12722</v>
      </c>
      <c r="C10" s="1" t="s">
        <v>40</v>
      </c>
      <c r="I10" s="1" t="s">
        <v>127</v>
      </c>
      <c r="J10" s="26">
        <f>B44*100</f>
        <v>15.697556680103061</v>
      </c>
      <c r="K10" s="1">
        <v>16.697556680103062</v>
      </c>
    </row>
    <row r="11" spans="1:11" x14ac:dyDescent="0.35">
      <c r="A11" s="9" t="s">
        <v>38</v>
      </c>
      <c r="B11" s="11">
        <v>402392</v>
      </c>
      <c r="C11" s="1" t="s">
        <v>40</v>
      </c>
      <c r="I11" s="1" t="s">
        <v>128</v>
      </c>
      <c r="J11" s="26">
        <f>100+B45*100</f>
        <v>128.0205484527788</v>
      </c>
      <c r="K11" s="1">
        <v>128.0205484527788</v>
      </c>
    </row>
    <row r="12" spans="1:11" x14ac:dyDescent="0.35">
      <c r="A12" s="9" t="s">
        <v>39</v>
      </c>
      <c r="B12" s="11">
        <v>283379</v>
      </c>
      <c r="C12" s="1" t="s">
        <v>40</v>
      </c>
      <c r="I12" s="1" t="s">
        <v>129</v>
      </c>
      <c r="J12" s="1">
        <f>130+IF(B39&gt;1,-20)+IF(B39&lt;-1,20)</f>
        <v>110</v>
      </c>
      <c r="K12" s="1">
        <v>110</v>
      </c>
    </row>
    <row r="13" spans="1:11" x14ac:dyDescent="0.35">
      <c r="A13" s="9" t="s">
        <v>45</v>
      </c>
      <c r="B13" s="11">
        <v>119013</v>
      </c>
      <c r="C13" s="1" t="s">
        <v>40</v>
      </c>
      <c r="I13" s="1" t="s">
        <v>130</v>
      </c>
      <c r="J13" s="1">
        <f>MAX(J11:J12)*2</f>
        <v>256.04109690555759</v>
      </c>
      <c r="K13" s="1">
        <v>256.04109690555759</v>
      </c>
    </row>
    <row r="14" spans="1:11" x14ac:dyDescent="0.35">
      <c r="A14" s="8" t="s">
        <v>46</v>
      </c>
      <c r="B14" s="2">
        <v>0.8</v>
      </c>
      <c r="C14" s="1" t="s">
        <v>47</v>
      </c>
      <c r="I14" s="1" t="s">
        <v>131</v>
      </c>
      <c r="J14" s="26">
        <f>B14/B2*100</f>
        <v>0.47619047619047622</v>
      </c>
      <c r="K14" s="1">
        <v>0.47619047619047622</v>
      </c>
    </row>
    <row r="15" spans="1:11" x14ac:dyDescent="0.35">
      <c r="I15" s="1" t="s">
        <v>132</v>
      </c>
      <c r="J15" s="26">
        <f>B46*100</f>
        <v>6</v>
      </c>
      <c r="K15" s="1">
        <v>6</v>
      </c>
    </row>
    <row r="16" spans="1:11" x14ac:dyDescent="0.35">
      <c r="A16" s="1" t="s">
        <v>66</v>
      </c>
      <c r="I16" s="1" t="s">
        <v>133</v>
      </c>
      <c r="J16" s="26">
        <f>B45*100</f>
        <v>28.020548452778787</v>
      </c>
      <c r="K16" s="1">
        <v>28.020548452778787</v>
      </c>
    </row>
    <row r="17" spans="1:11" x14ac:dyDescent="0.35">
      <c r="B17" s="1" t="s">
        <v>55</v>
      </c>
      <c r="D17" s="1" t="s">
        <v>43</v>
      </c>
      <c r="F17" s="44"/>
      <c r="I17" s="1" t="s">
        <v>134</v>
      </c>
      <c r="J17" s="26">
        <f>B48</f>
        <v>19.537434321778409</v>
      </c>
      <c r="K17" s="1">
        <v>19.537434321778409</v>
      </c>
    </row>
    <row r="18" spans="1:11" x14ac:dyDescent="0.35">
      <c r="A18" s="8" t="s">
        <v>48</v>
      </c>
      <c r="B18" s="7">
        <v>5.8</v>
      </c>
      <c r="C18" s="1" t="s">
        <v>47</v>
      </c>
      <c r="D18" s="7">
        <v>307</v>
      </c>
      <c r="E18" s="1" t="s">
        <v>91</v>
      </c>
      <c r="F18" s="3"/>
      <c r="I18" s="1" t="s">
        <v>141</v>
      </c>
      <c r="J18" s="26">
        <f>B52</f>
        <v>185.6363230755012</v>
      </c>
      <c r="K18" s="1">
        <v>198.86738506370779</v>
      </c>
    </row>
    <row r="19" spans="1:11" x14ac:dyDescent="0.35">
      <c r="A19" s="8" t="s">
        <v>49</v>
      </c>
      <c r="B19" s="7">
        <v>7.24</v>
      </c>
      <c r="C19" s="1" t="s">
        <v>47</v>
      </c>
      <c r="D19" s="7">
        <v>336</v>
      </c>
      <c r="E19" s="1" t="s">
        <v>91</v>
      </c>
      <c r="F19" s="43"/>
    </row>
    <row r="20" spans="1:11" x14ac:dyDescent="0.35">
      <c r="A20" s="8" t="s">
        <v>53</v>
      </c>
      <c r="B20" s="7">
        <v>7.66</v>
      </c>
      <c r="C20" s="1" t="s">
        <v>47</v>
      </c>
      <c r="D20" s="7">
        <v>347</v>
      </c>
      <c r="E20" s="1" t="s">
        <v>91</v>
      </c>
      <c r="F20" s="43"/>
    </row>
    <row r="21" spans="1:11" x14ac:dyDescent="0.35">
      <c r="A21" s="8" t="s">
        <v>54</v>
      </c>
      <c r="B21" s="7">
        <v>7.98</v>
      </c>
      <c r="C21" s="1" t="s">
        <v>47</v>
      </c>
      <c r="D21" s="7">
        <v>350</v>
      </c>
      <c r="E21" s="1" t="s">
        <v>91</v>
      </c>
      <c r="F21" s="43"/>
    </row>
    <row r="22" spans="1:11" x14ac:dyDescent="0.35">
      <c r="A22" s="8" t="s">
        <v>52</v>
      </c>
      <c r="B22" s="7">
        <v>8.02</v>
      </c>
      <c r="C22" s="1" t="s">
        <v>47</v>
      </c>
      <c r="D22" s="7">
        <v>368</v>
      </c>
      <c r="E22" s="1" t="s">
        <v>91</v>
      </c>
      <c r="F22" s="43"/>
    </row>
    <row r="23" spans="1:11" x14ac:dyDescent="0.35">
      <c r="A23" s="8" t="s">
        <v>51</v>
      </c>
      <c r="B23" s="7">
        <v>8.69</v>
      </c>
      <c r="C23" s="1" t="s">
        <v>47</v>
      </c>
      <c r="D23" s="7">
        <v>386</v>
      </c>
      <c r="E23" s="1" t="s">
        <v>91</v>
      </c>
      <c r="F23" s="43"/>
    </row>
    <row r="24" spans="1:11" x14ac:dyDescent="0.35">
      <c r="A24" s="8" t="s">
        <v>50</v>
      </c>
      <c r="B24" s="7">
        <v>9.8000000000000007</v>
      </c>
      <c r="C24" s="1" t="s">
        <v>47</v>
      </c>
      <c r="D24" s="7">
        <v>400</v>
      </c>
      <c r="E24" s="1" t="s">
        <v>91</v>
      </c>
      <c r="F24" s="43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0.24</v>
      </c>
    </row>
    <row r="29" spans="1:11" x14ac:dyDescent="0.35">
      <c r="A29" s="8" t="s">
        <v>58</v>
      </c>
      <c r="B29" s="5">
        <v>0.2</v>
      </c>
    </row>
    <row r="30" spans="1:11" x14ac:dyDescent="0.35">
      <c r="A30" s="8" t="s">
        <v>59</v>
      </c>
      <c r="B30" s="5">
        <v>0.32</v>
      </c>
    </row>
    <row r="31" spans="1:11" x14ac:dyDescent="0.35">
      <c r="A31" s="8" t="s">
        <v>94</v>
      </c>
      <c r="B31" s="5">
        <v>0.13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0.26041096905557576</v>
      </c>
      <c r="C35" s="1" t="s">
        <v>72</v>
      </c>
    </row>
    <row r="36" spans="1:3" x14ac:dyDescent="0.35">
      <c r="A36" s="8" t="s">
        <v>70</v>
      </c>
      <c r="B36" s="4">
        <f>B7/B11</f>
        <v>0.2094798107318237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0.21211902821129644</v>
      </c>
      <c r="C37" s="1" t="s">
        <v>83</v>
      </c>
    </row>
    <row r="38" spans="1:3" x14ac:dyDescent="0.35">
      <c r="A38" s="8" t="s">
        <v>71</v>
      </c>
      <c r="B38" s="4">
        <f>(B23-B22)/B23</f>
        <v>7.7100115074798609E-2</v>
      </c>
      <c r="C38" s="1" t="s">
        <v>74</v>
      </c>
    </row>
    <row r="39" spans="1:3" x14ac:dyDescent="0.35">
      <c r="A39" s="8" t="s">
        <v>63</v>
      </c>
      <c r="B39" s="17">
        <f>(B36-Assumptions!$B$3)/B36/B38/Assumptions!B5</f>
        <v>2.619725483669388</v>
      </c>
      <c r="C39" s="1" t="s">
        <v>75</v>
      </c>
    </row>
    <row r="40" spans="1:3" x14ac:dyDescent="0.35">
      <c r="A40" s="8" t="s">
        <v>76</v>
      </c>
      <c r="B40" s="21">
        <f>Assumptions!D22</f>
        <v>0.12</v>
      </c>
    </row>
    <row r="41" spans="1:3" x14ac:dyDescent="0.35">
      <c r="A41" s="8" t="s">
        <v>79</v>
      </c>
      <c r="B41" s="20">
        <f>(D23/D18)^0.5-1</f>
        <v>0.12130682251915914</v>
      </c>
    </row>
    <row r="42" spans="1:3" x14ac:dyDescent="0.35">
      <c r="A42" s="8" t="s">
        <v>80</v>
      </c>
      <c r="B42" s="20">
        <f>(B35-B41)/B48</f>
        <v>7.1198778839326408E-3</v>
      </c>
    </row>
    <row r="43" spans="1:3" x14ac:dyDescent="0.35">
      <c r="A43" s="8" t="s">
        <v>77</v>
      </c>
      <c r="B43" s="19">
        <f>AVERAGE(B28:B31)</f>
        <v>0.2225</v>
      </c>
    </row>
    <row r="44" spans="1:3" x14ac:dyDescent="0.35">
      <c r="A44" s="8" t="s">
        <v>78</v>
      </c>
      <c r="B44" s="18">
        <f>SUM(B40:B43)/3</f>
        <v>0.15697556680103061</v>
      </c>
    </row>
    <row r="45" spans="1:3" x14ac:dyDescent="0.35">
      <c r="A45" s="8" t="s">
        <v>81</v>
      </c>
      <c r="B45" s="16">
        <f>(B35+0.3)/2</f>
        <v>0.28020548452778787</v>
      </c>
      <c r="C45" s="1" t="s">
        <v>103</v>
      </c>
    </row>
    <row r="46" spans="1:3" x14ac:dyDescent="0.35">
      <c r="A46" s="8" t="s">
        <v>61</v>
      </c>
      <c r="B46" s="4">
        <f>Assumptions!E22</f>
        <v>0.06</v>
      </c>
    </row>
    <row r="47" spans="1:3" x14ac:dyDescent="0.35">
      <c r="A47" s="8" t="s">
        <v>60</v>
      </c>
      <c r="B47" s="13">
        <f>(B45-B46)/(Assumptions!B4-B46)/B45</f>
        <v>19.646785723955926</v>
      </c>
    </row>
    <row r="48" spans="1:3" x14ac:dyDescent="0.35">
      <c r="A48" s="8" t="s">
        <v>85</v>
      </c>
      <c r="B48" s="13">
        <f>(B2/B18+10+B47)/3</f>
        <v>19.537434321778409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185.6363230755012</v>
      </c>
      <c r="C52" s="13"/>
    </row>
    <row r="53" spans="1:3" x14ac:dyDescent="0.35">
      <c r="A53" s="8" t="s">
        <v>87</v>
      </c>
      <c r="B53" s="13">
        <f>(B23*2-B$23)*(1+B$44)^8*B$48/(1+Assumptions!B$4-B$14/B$2)^10</f>
        <v>219.48022415321159</v>
      </c>
      <c r="C53" s="13"/>
    </row>
    <row r="54" spans="1:3" x14ac:dyDescent="0.35">
      <c r="A54" s="8" t="s">
        <v>102</v>
      </c>
      <c r="B54" s="13">
        <f>(B24*2-B$23)*(1+B$44)^8*B$48/(1+Assumptions!B$4-B$14/B$2)^10</f>
        <v>275.54997071479164</v>
      </c>
      <c r="C54" s="13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8474-3774-4D97-A8F6-4B346D999F29}">
  <dimension ref="A1:K54"/>
  <sheetViews>
    <sheetView topLeftCell="A37" workbookViewId="0">
      <selection activeCell="C49" sqref="C49:C57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105</v>
      </c>
      <c r="I1" s="1" t="s">
        <v>118</v>
      </c>
      <c r="J1" s="1" t="str">
        <f>B1</f>
        <v>AAPL</v>
      </c>
      <c r="K1" s="1" t="s">
        <v>105</v>
      </c>
    </row>
    <row r="2" spans="1:11" x14ac:dyDescent="0.35">
      <c r="A2" s="8" t="s">
        <v>84</v>
      </c>
      <c r="B2" s="2">
        <v>230</v>
      </c>
      <c r="I2" s="1" t="s">
        <v>119</v>
      </c>
      <c r="J2" s="1">
        <f>B2</f>
        <v>230</v>
      </c>
      <c r="K2" s="1">
        <v>230</v>
      </c>
    </row>
    <row r="3" spans="1:11" x14ac:dyDescent="0.35">
      <c r="I3" s="1" t="s">
        <v>120</v>
      </c>
      <c r="J3" s="1">
        <f>B18</f>
        <v>5.73</v>
      </c>
      <c r="K3" s="1">
        <v>5.73</v>
      </c>
    </row>
    <row r="4" spans="1:11" x14ac:dyDescent="0.35">
      <c r="A4" s="8" t="s">
        <v>67</v>
      </c>
      <c r="I4" s="1" t="s">
        <v>121</v>
      </c>
      <c r="J4" s="1">
        <f t="shared" ref="J4:J9" si="0">B19</f>
        <v>6.46</v>
      </c>
      <c r="K4" s="1">
        <v>6.46</v>
      </c>
    </row>
    <row r="5" spans="1:11" x14ac:dyDescent="0.35">
      <c r="B5" s="1" t="s">
        <v>56</v>
      </c>
      <c r="I5" s="1" t="s">
        <v>122</v>
      </c>
      <c r="J5" s="1">
        <f t="shared" si="0"/>
        <v>6.59</v>
      </c>
      <c r="K5" s="1">
        <v>6.59</v>
      </c>
    </row>
    <row r="6" spans="1:11" x14ac:dyDescent="0.35">
      <c r="A6" s="9" t="s">
        <v>41</v>
      </c>
      <c r="B6" s="11">
        <v>96995</v>
      </c>
      <c r="C6" s="1" t="s">
        <v>40</v>
      </c>
      <c r="D6" s="6"/>
      <c r="I6" s="1" t="s">
        <v>123</v>
      </c>
      <c r="J6" s="1">
        <f t="shared" si="0"/>
        <v>6.92</v>
      </c>
      <c r="K6" s="1">
        <v>6.92</v>
      </c>
    </row>
    <row r="7" spans="1:11" x14ac:dyDescent="0.35">
      <c r="A7" s="9" t="s">
        <v>37</v>
      </c>
      <c r="B7" s="11">
        <v>114301</v>
      </c>
      <c r="C7" s="1" t="s">
        <v>40</v>
      </c>
      <c r="D7" s="6"/>
      <c r="I7" s="1" t="s">
        <v>124</v>
      </c>
      <c r="J7" s="1">
        <f t="shared" si="0"/>
        <v>6.4</v>
      </c>
      <c r="K7" s="1">
        <v>6.4</v>
      </c>
    </row>
    <row r="8" spans="1:11" x14ac:dyDescent="0.35">
      <c r="A8" s="9" t="s">
        <v>42</v>
      </c>
      <c r="B8" s="11">
        <v>169148</v>
      </c>
      <c r="C8" s="1" t="s">
        <v>40</v>
      </c>
      <c r="D8" s="6"/>
      <c r="I8" s="1" t="s">
        <v>125</v>
      </c>
      <c r="J8" s="1">
        <f t="shared" si="0"/>
        <v>7.29</v>
      </c>
      <c r="K8" s="1">
        <v>7.29</v>
      </c>
    </row>
    <row r="9" spans="1:11" x14ac:dyDescent="0.35">
      <c r="A9" s="9" t="s">
        <v>43</v>
      </c>
      <c r="B9" s="11">
        <v>383285</v>
      </c>
      <c r="C9" s="1" t="s">
        <v>40</v>
      </c>
      <c r="D9" s="6"/>
      <c r="I9" s="1" t="s">
        <v>126</v>
      </c>
      <c r="J9" s="1">
        <f t="shared" si="0"/>
        <v>8.1</v>
      </c>
      <c r="K9" s="1">
        <v>8.1</v>
      </c>
    </row>
    <row r="10" spans="1:11" x14ac:dyDescent="0.35">
      <c r="A10" s="9" t="s">
        <v>44</v>
      </c>
      <c r="B10" s="12">
        <v>15813</v>
      </c>
      <c r="C10" s="1" t="s">
        <v>40</v>
      </c>
      <c r="D10" s="15"/>
      <c r="I10" s="1" t="s">
        <v>127</v>
      </c>
      <c r="J10" s="26">
        <f>B44*100</f>
        <v>13.473236187294471</v>
      </c>
      <c r="K10" s="1">
        <v>14.473236187294471</v>
      </c>
    </row>
    <row r="11" spans="1:11" x14ac:dyDescent="0.35">
      <c r="A11" s="9" t="s">
        <v>38</v>
      </c>
      <c r="B11" s="11">
        <v>352583</v>
      </c>
      <c r="C11" s="1" t="s">
        <v>40</v>
      </c>
      <c r="D11" s="6"/>
      <c r="I11" s="1" t="s">
        <v>128</v>
      </c>
      <c r="J11" s="26">
        <f>100+B45*100</f>
        <v>130</v>
      </c>
      <c r="K11" s="1">
        <v>130</v>
      </c>
    </row>
    <row r="12" spans="1:11" x14ac:dyDescent="0.35">
      <c r="A12" s="9" t="s">
        <v>39</v>
      </c>
      <c r="B12" s="11">
        <v>62146</v>
      </c>
      <c r="C12" s="1" t="s">
        <v>40</v>
      </c>
      <c r="D12" s="6"/>
      <c r="I12" s="1" t="s">
        <v>129</v>
      </c>
      <c r="J12" s="1">
        <f>130+IF(B39&gt;1,-20)+IF(B39&lt;-1,20)</f>
        <v>110</v>
      </c>
      <c r="K12" s="1">
        <v>110</v>
      </c>
    </row>
    <row r="13" spans="1:11" x14ac:dyDescent="0.35">
      <c r="A13" s="9" t="s">
        <v>45</v>
      </c>
      <c r="B13" s="11">
        <v>290437</v>
      </c>
      <c r="C13" s="1" t="s">
        <v>40</v>
      </c>
      <c r="D13" s="6"/>
      <c r="I13" s="1" t="s">
        <v>130</v>
      </c>
      <c r="J13" s="1">
        <f>MAX(J11:J12)*2</f>
        <v>260</v>
      </c>
      <c r="K13" s="1">
        <v>260</v>
      </c>
    </row>
    <row r="14" spans="1:11" x14ac:dyDescent="0.35">
      <c r="A14" s="8" t="s">
        <v>46</v>
      </c>
      <c r="B14" s="2">
        <v>1</v>
      </c>
      <c r="C14" s="1" t="s">
        <v>47</v>
      </c>
      <c r="D14" s="6"/>
      <c r="I14" s="1" t="s">
        <v>131</v>
      </c>
      <c r="J14" s="26">
        <f>B14/B2*100</f>
        <v>0.43478260869565216</v>
      </c>
      <c r="K14" s="1">
        <v>0.43478260869565216</v>
      </c>
    </row>
    <row r="15" spans="1:11" x14ac:dyDescent="0.35">
      <c r="I15" s="1" t="s">
        <v>132</v>
      </c>
      <c r="J15" s="26">
        <f>B46*100</f>
        <v>6</v>
      </c>
      <c r="K15" s="1">
        <v>6</v>
      </c>
    </row>
    <row r="16" spans="1:11" x14ac:dyDescent="0.35">
      <c r="A16" s="1" t="s">
        <v>66</v>
      </c>
      <c r="I16" s="1" t="s">
        <v>133</v>
      </c>
      <c r="J16" s="26">
        <f>B45*100</f>
        <v>30</v>
      </c>
      <c r="K16" s="1">
        <v>30</v>
      </c>
    </row>
    <row r="17" spans="1:11" x14ac:dyDescent="0.35">
      <c r="B17" s="1" t="s">
        <v>55</v>
      </c>
      <c r="D17" s="1" t="s">
        <v>43</v>
      </c>
      <c r="F17" s="44"/>
      <c r="I17" s="1" t="s">
        <v>134</v>
      </c>
      <c r="J17" s="26">
        <f>B48</f>
        <v>23.379872018615472</v>
      </c>
      <c r="K17" s="1">
        <v>23.379872018615472</v>
      </c>
    </row>
    <row r="18" spans="1:11" x14ac:dyDescent="0.35">
      <c r="A18" s="8" t="s">
        <v>48</v>
      </c>
      <c r="B18" s="7">
        <v>5.73</v>
      </c>
      <c r="C18" s="1" t="s">
        <v>47</v>
      </c>
      <c r="D18" s="14">
        <v>358.03</v>
      </c>
      <c r="E18" s="1" t="s">
        <v>91</v>
      </c>
      <c r="F18" s="3"/>
      <c r="H18" s="6"/>
      <c r="I18" s="1" t="s">
        <v>141</v>
      </c>
      <c r="J18" s="26">
        <f>B52</f>
        <v>142.04115907202251</v>
      </c>
    </row>
    <row r="19" spans="1:11" x14ac:dyDescent="0.35">
      <c r="A19" s="8" t="s">
        <v>49</v>
      </c>
      <c r="B19" s="7">
        <v>6.46</v>
      </c>
      <c r="C19" s="1" t="s">
        <v>47</v>
      </c>
      <c r="D19" s="14">
        <v>382.01</v>
      </c>
      <c r="E19" s="1" t="s">
        <v>91</v>
      </c>
      <c r="F19" s="43"/>
      <c r="H19" s="6"/>
    </row>
    <row r="20" spans="1:11" x14ac:dyDescent="0.35">
      <c r="A20" s="8" t="s">
        <v>53</v>
      </c>
      <c r="B20" s="7">
        <v>6.59</v>
      </c>
      <c r="C20" s="1" t="s">
        <v>47</v>
      </c>
      <c r="D20" s="14">
        <v>386.98</v>
      </c>
      <c r="E20" s="1" t="s">
        <v>91</v>
      </c>
      <c r="F20" s="43"/>
      <c r="H20" s="6"/>
    </row>
    <row r="21" spans="1:11" x14ac:dyDescent="0.35">
      <c r="A21" s="8" t="s">
        <v>54</v>
      </c>
      <c r="B21" s="7">
        <v>6.92</v>
      </c>
      <c r="C21" s="1" t="s">
        <v>47</v>
      </c>
      <c r="D21" s="14">
        <v>393.73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6.4</v>
      </c>
      <c r="C22" s="1" t="s">
        <v>47</v>
      </c>
      <c r="D22" s="14">
        <v>382.08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7.29</v>
      </c>
      <c r="C23" s="1" t="s">
        <v>47</v>
      </c>
      <c r="D23" s="14">
        <v>414.27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8.1</v>
      </c>
      <c r="C24" s="1" t="s">
        <v>47</v>
      </c>
      <c r="D24" s="14">
        <v>442.97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0.2</v>
      </c>
    </row>
    <row r="29" spans="1:11" x14ac:dyDescent="0.35">
      <c r="A29" s="8" t="s">
        <v>58</v>
      </c>
      <c r="B29" s="5">
        <v>0.1</v>
      </c>
    </row>
    <row r="30" spans="1:11" x14ac:dyDescent="0.35">
      <c r="A30" s="8" t="s">
        <v>59</v>
      </c>
      <c r="B30" s="5">
        <v>0.16</v>
      </c>
    </row>
    <row r="31" spans="1:11" x14ac:dyDescent="0.35">
      <c r="A31" s="8" t="s">
        <v>94</v>
      </c>
      <c r="B31" s="5">
        <v>0.12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1.5607601454639075</v>
      </c>
      <c r="C35" s="1" t="s">
        <v>72</v>
      </c>
    </row>
    <row r="36" spans="1:3" x14ac:dyDescent="0.35">
      <c r="A36" s="8" t="s">
        <v>70</v>
      </c>
      <c r="B36" s="4">
        <f>B7/B11</f>
        <v>0.32418182385424144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9.4064801762989148E-2</v>
      </c>
      <c r="C37" s="1" t="s">
        <v>83</v>
      </c>
    </row>
    <row r="38" spans="1:3" x14ac:dyDescent="0.35">
      <c r="A38" s="8" t="s">
        <v>71</v>
      </c>
      <c r="B38" s="4">
        <f>(B23-B22)/B23</f>
        <v>0.12208504801097389</v>
      </c>
      <c r="C38" s="1" t="s">
        <v>74</v>
      </c>
    </row>
    <row r="39" spans="1:3" x14ac:dyDescent="0.35">
      <c r="A39" s="8" t="s">
        <v>63</v>
      </c>
      <c r="B39" s="17">
        <f>(B36-Assumptions!$B$3)/B36/B38/Assumptions!B5</f>
        <v>1.8379546600208843</v>
      </c>
      <c r="C39" s="1" t="s">
        <v>75</v>
      </c>
    </row>
    <row r="40" spans="1:3" x14ac:dyDescent="0.35">
      <c r="A40" s="8" t="s">
        <v>76</v>
      </c>
      <c r="B40" s="21">
        <f>Assumptions!D22</f>
        <v>0.12</v>
      </c>
    </row>
    <row r="41" spans="1:3" x14ac:dyDescent="0.35">
      <c r="A41" s="8" t="s">
        <v>79</v>
      </c>
      <c r="B41" s="20">
        <f>(D23/D18)^0.5-1</f>
        <v>7.5677372071651039E-2</v>
      </c>
    </row>
    <row r="42" spans="1:3" x14ac:dyDescent="0.35">
      <c r="A42" s="8" t="s">
        <v>80</v>
      </c>
      <c r="B42" s="20">
        <f>(B35-B41)/B48</f>
        <v>6.351971354718311E-2</v>
      </c>
    </row>
    <row r="43" spans="1:3" x14ac:dyDescent="0.35">
      <c r="A43" s="8" t="s">
        <v>77</v>
      </c>
      <c r="B43" s="19">
        <f>AVERAGE(B28:B31)</f>
        <v>0.14500000000000002</v>
      </c>
    </row>
    <row r="44" spans="1:3" x14ac:dyDescent="0.35">
      <c r="A44" s="8" t="s">
        <v>78</v>
      </c>
      <c r="B44" s="18">
        <f>SUM(B40:B43)/3</f>
        <v>0.13473236187294471</v>
      </c>
    </row>
    <row r="45" spans="1:3" x14ac:dyDescent="0.35">
      <c r="A45" s="8" t="s">
        <v>81</v>
      </c>
      <c r="B45" s="16">
        <v>0.3</v>
      </c>
      <c r="C45" s="1" t="s">
        <v>103</v>
      </c>
    </row>
    <row r="46" spans="1:3" x14ac:dyDescent="0.35">
      <c r="A46" s="8" t="s">
        <v>61</v>
      </c>
      <c r="B46" s="4">
        <f>Assumptions!E22</f>
        <v>0.06</v>
      </c>
    </row>
    <row r="47" spans="1:3" x14ac:dyDescent="0.35">
      <c r="A47" s="8" t="s">
        <v>60</v>
      </c>
      <c r="B47" s="13">
        <f>(B45-B46)/(Assumptions!B4-B46)/B45</f>
        <v>19.999999999999996</v>
      </c>
    </row>
    <row r="48" spans="1:3" x14ac:dyDescent="0.35">
      <c r="A48" s="8" t="s">
        <v>85</v>
      </c>
      <c r="B48" s="13">
        <f>(B2/B18+10+B47)/3</f>
        <v>23.379872018615472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142.04115907202251</v>
      </c>
      <c r="C52" s="13"/>
    </row>
    <row r="53" spans="1:3" x14ac:dyDescent="0.35">
      <c r="A53" s="8" t="s">
        <v>87</v>
      </c>
      <c r="B53" s="13">
        <f>(B23*2-B$23)*(1+B$44)^8*B$48/(1+Assumptions!B$4-B$14/B$2)^10</f>
        <v>187.92741372686822</v>
      </c>
      <c r="C53" s="13"/>
    </row>
    <row r="54" spans="1:3" x14ac:dyDescent="0.35">
      <c r="A54" s="8" t="s">
        <v>102</v>
      </c>
      <c r="B54" s="13">
        <f>(B24*2-B$23)*(1+B$44)^8*B$48/(1+Assumptions!B$4-B$14/B$2)^10</f>
        <v>229.6890612217278</v>
      </c>
      <c r="C54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CE81-E915-4B4F-BBEE-E4E0C256CB2E}">
  <dimension ref="A1:K54"/>
  <sheetViews>
    <sheetView topLeftCell="A37" workbookViewId="0">
      <selection activeCell="C50" sqref="C50:C57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139</v>
      </c>
      <c r="I1" s="1" t="s">
        <v>118</v>
      </c>
      <c r="J1" s="1" t="str">
        <f>B1</f>
        <v>ENPH</v>
      </c>
      <c r="K1" s="1" t="s">
        <v>139</v>
      </c>
    </row>
    <row r="2" spans="1:11" x14ac:dyDescent="0.35">
      <c r="A2" s="8" t="s">
        <v>84</v>
      </c>
      <c r="B2" s="2">
        <v>85</v>
      </c>
      <c r="I2" s="1" t="s">
        <v>119</v>
      </c>
      <c r="J2" s="1">
        <f>B2</f>
        <v>85</v>
      </c>
      <c r="K2" s="1">
        <v>85</v>
      </c>
    </row>
    <row r="3" spans="1:11" x14ac:dyDescent="0.35">
      <c r="I3" s="1" t="s">
        <v>120</v>
      </c>
      <c r="J3" s="1">
        <f>B18</f>
        <v>4.41</v>
      </c>
      <c r="K3" s="1">
        <v>4.41</v>
      </c>
    </row>
    <row r="4" spans="1:11" x14ac:dyDescent="0.35">
      <c r="A4" s="8" t="s">
        <v>67</v>
      </c>
      <c r="I4" s="1" t="s">
        <v>121</v>
      </c>
      <c r="J4" s="1">
        <f t="shared" ref="J4:J9" si="0">B19</f>
        <v>0.69</v>
      </c>
      <c r="K4" s="1">
        <v>0.69</v>
      </c>
    </row>
    <row r="5" spans="1:11" x14ac:dyDescent="0.35">
      <c r="B5" s="1" t="s">
        <v>56</v>
      </c>
      <c r="I5" s="1" t="s">
        <v>122</v>
      </c>
      <c r="J5" s="1">
        <f t="shared" si="0"/>
        <v>2.15</v>
      </c>
      <c r="K5" s="1">
        <v>2.15</v>
      </c>
    </row>
    <row r="6" spans="1:11" x14ac:dyDescent="0.35">
      <c r="A6" s="9" t="s">
        <v>41</v>
      </c>
      <c r="B6" s="11">
        <v>439</v>
      </c>
      <c r="C6" s="1" t="s">
        <v>40</v>
      </c>
      <c r="D6" s="6"/>
      <c r="I6" s="1" t="s">
        <v>123</v>
      </c>
      <c r="J6" s="1">
        <f t="shared" si="0"/>
        <v>2.87</v>
      </c>
      <c r="K6" s="1">
        <v>2.87</v>
      </c>
    </row>
    <row r="7" spans="1:11" x14ac:dyDescent="0.35">
      <c r="A7" s="9" t="s">
        <v>37</v>
      </c>
      <c r="B7" s="11">
        <v>461</v>
      </c>
      <c r="C7" s="1" t="s">
        <v>40</v>
      </c>
      <c r="D7" s="6"/>
      <c r="I7" s="1" t="s">
        <v>124</v>
      </c>
      <c r="J7" s="1">
        <f t="shared" si="0"/>
        <v>2.5</v>
      </c>
      <c r="K7" s="1">
        <v>2.5</v>
      </c>
    </row>
    <row r="8" spans="1:11" x14ac:dyDescent="0.35">
      <c r="A8" s="9" t="s">
        <v>42</v>
      </c>
      <c r="B8" s="11">
        <v>1058</v>
      </c>
      <c r="C8" s="1" t="s">
        <v>40</v>
      </c>
      <c r="D8" s="6"/>
      <c r="I8" s="1" t="s">
        <v>125</v>
      </c>
      <c r="J8" s="1">
        <f t="shared" si="0"/>
        <v>3.76</v>
      </c>
      <c r="K8" s="1">
        <v>3.76</v>
      </c>
    </row>
    <row r="9" spans="1:11" x14ac:dyDescent="0.35">
      <c r="A9" s="9" t="s">
        <v>43</v>
      </c>
      <c r="B9" s="11">
        <v>2291</v>
      </c>
      <c r="C9" s="1" t="s">
        <v>40</v>
      </c>
      <c r="D9" s="6"/>
      <c r="I9" s="1" t="s">
        <v>126</v>
      </c>
      <c r="J9" s="1">
        <f t="shared" si="0"/>
        <v>4.97</v>
      </c>
      <c r="K9" s="1">
        <v>4.97</v>
      </c>
    </row>
    <row r="10" spans="1:11" x14ac:dyDescent="0.35">
      <c r="A10" s="9" t="s">
        <v>44</v>
      </c>
      <c r="B10" s="12">
        <v>143</v>
      </c>
      <c r="C10" s="1" t="s">
        <v>40</v>
      </c>
      <c r="D10" s="6"/>
      <c r="I10" s="1" t="s">
        <v>127</v>
      </c>
      <c r="J10" s="26">
        <f>B44*100</f>
        <v>11.187599185443338</v>
      </c>
      <c r="K10" s="1">
        <v>11.187599185443338</v>
      </c>
    </row>
    <row r="11" spans="1:11" x14ac:dyDescent="0.35">
      <c r="A11" s="9" t="s">
        <v>38</v>
      </c>
      <c r="B11" s="11">
        <v>3383</v>
      </c>
      <c r="C11" s="1" t="s">
        <v>40</v>
      </c>
      <c r="D11" s="6"/>
      <c r="I11" s="1" t="s">
        <v>128</v>
      </c>
      <c r="J11" s="26">
        <f>100+B45*100</f>
        <v>130</v>
      </c>
      <c r="K11" s="1">
        <v>130</v>
      </c>
    </row>
    <row r="12" spans="1:11" x14ac:dyDescent="0.35">
      <c r="A12" s="9" t="s">
        <v>39</v>
      </c>
      <c r="B12" s="11">
        <v>984</v>
      </c>
      <c r="C12" s="1" t="s">
        <v>40</v>
      </c>
      <c r="D12" s="6"/>
      <c r="I12" s="1" t="s">
        <v>129</v>
      </c>
      <c r="J12" s="1">
        <f>130+IF(B39&gt;1,-20)+IF(B39&lt;-1,20)</f>
        <v>130</v>
      </c>
      <c r="K12" s="1">
        <v>130</v>
      </c>
    </row>
    <row r="13" spans="1:11" x14ac:dyDescent="0.35">
      <c r="A13" s="9" t="s">
        <v>45</v>
      </c>
      <c r="B13" s="11">
        <v>2399</v>
      </c>
      <c r="C13" s="1" t="s">
        <v>40</v>
      </c>
      <c r="D13" s="6"/>
      <c r="I13" s="1" t="s">
        <v>130</v>
      </c>
      <c r="J13" s="1">
        <f>MAX(J11:J12)*2</f>
        <v>260</v>
      </c>
      <c r="K13" s="1">
        <v>260</v>
      </c>
    </row>
    <row r="14" spans="1:11" x14ac:dyDescent="0.35">
      <c r="A14" s="8" t="s">
        <v>46</v>
      </c>
      <c r="B14" s="2">
        <v>0</v>
      </c>
      <c r="C14" s="1" t="s">
        <v>47</v>
      </c>
      <c r="D14" s="15"/>
      <c r="I14" s="1" t="s">
        <v>131</v>
      </c>
      <c r="J14" s="26">
        <f>B14/B2*100</f>
        <v>0</v>
      </c>
      <c r="K14" s="1">
        <v>0</v>
      </c>
    </row>
    <row r="15" spans="1:11" x14ac:dyDescent="0.35">
      <c r="I15" s="1" t="s">
        <v>132</v>
      </c>
      <c r="J15" s="26">
        <f>B46*100</f>
        <v>2.5936328924845542</v>
      </c>
      <c r="K15" s="1">
        <v>2.5936328924845542</v>
      </c>
    </row>
    <row r="16" spans="1:11" x14ac:dyDescent="0.35">
      <c r="A16" s="1" t="s">
        <v>66</v>
      </c>
      <c r="I16" s="1" t="s">
        <v>133</v>
      </c>
      <c r="J16" s="26">
        <f>B45*100</f>
        <v>30</v>
      </c>
      <c r="K16" s="1">
        <v>30</v>
      </c>
    </row>
    <row r="17" spans="1:11" x14ac:dyDescent="0.35">
      <c r="B17" s="1" t="s">
        <v>55</v>
      </c>
      <c r="D17" s="1" t="s">
        <v>43</v>
      </c>
      <c r="F17" s="44"/>
      <c r="I17" s="1" t="s">
        <v>134</v>
      </c>
      <c r="J17" s="26">
        <f>B48</f>
        <v>13.869657964157442</v>
      </c>
      <c r="K17" s="1">
        <v>13.869657964157442</v>
      </c>
    </row>
    <row r="18" spans="1:11" x14ac:dyDescent="0.35">
      <c r="A18" s="8" t="s">
        <v>48</v>
      </c>
      <c r="B18" s="7">
        <v>4.41</v>
      </c>
      <c r="C18" s="1" t="s">
        <v>47</v>
      </c>
      <c r="D18" s="14">
        <v>2.2999999999999998</v>
      </c>
      <c r="E18" s="1" t="s">
        <v>91</v>
      </c>
      <c r="F18" s="3"/>
      <c r="H18" s="6"/>
    </row>
    <row r="19" spans="1:11" x14ac:dyDescent="0.35">
      <c r="A19" s="8" t="s">
        <v>49</v>
      </c>
      <c r="B19" s="7">
        <v>0.69</v>
      </c>
      <c r="C19" s="1" t="s">
        <v>47</v>
      </c>
      <c r="D19" s="14">
        <v>1.3</v>
      </c>
      <c r="E19" s="1" t="s">
        <v>91</v>
      </c>
      <c r="F19" s="43"/>
      <c r="H19" s="6"/>
    </row>
    <row r="20" spans="1:11" x14ac:dyDescent="0.35">
      <c r="A20" s="8" t="s">
        <v>53</v>
      </c>
      <c r="B20" s="7">
        <v>2.15</v>
      </c>
      <c r="C20" s="1" t="s">
        <v>47</v>
      </c>
      <c r="D20" s="14">
        <v>1.3</v>
      </c>
      <c r="E20" s="1" t="s">
        <v>91</v>
      </c>
      <c r="F20" s="43"/>
      <c r="H20" s="6"/>
    </row>
    <row r="21" spans="1:11" x14ac:dyDescent="0.35">
      <c r="A21" s="8" t="s">
        <v>54</v>
      </c>
      <c r="B21" s="7">
        <v>2.87</v>
      </c>
      <c r="C21" s="1" t="s">
        <v>47</v>
      </c>
      <c r="D21" s="14">
        <v>1.44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2.5</v>
      </c>
      <c r="C22" s="1" t="s">
        <v>47</v>
      </c>
      <c r="D22" s="14">
        <v>1.48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3.76</v>
      </c>
      <c r="C23" s="1" t="s">
        <v>47</v>
      </c>
      <c r="D23" s="14">
        <v>1.79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4.97</v>
      </c>
      <c r="C24" s="1" t="s">
        <v>47</v>
      </c>
      <c r="D24" s="14">
        <v>2.33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0.21</v>
      </c>
    </row>
    <row r="29" spans="1:11" x14ac:dyDescent="0.35">
      <c r="A29" s="8" t="s">
        <v>58</v>
      </c>
      <c r="B29" s="5">
        <v>0.1</v>
      </c>
    </row>
    <row r="30" spans="1:11" x14ac:dyDescent="0.35">
      <c r="A30" s="8" t="s">
        <v>59</v>
      </c>
      <c r="B30" s="5">
        <v>-0.51</v>
      </c>
    </row>
    <row r="31" spans="1:11" x14ac:dyDescent="0.35">
      <c r="A31" s="8" t="s">
        <v>94</v>
      </c>
      <c r="B31" s="5">
        <v>0.75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0.44613821138211385</v>
      </c>
      <c r="C35" s="1" t="s">
        <v>72</v>
      </c>
    </row>
    <row r="36" spans="1:3" x14ac:dyDescent="0.35">
      <c r="A36" s="8" t="s">
        <v>70</v>
      </c>
      <c r="B36" s="4">
        <f>B7/B11</f>
        <v>0.13626958321016849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0.12271652379544783</v>
      </c>
      <c r="C37" s="1" t="s">
        <v>83</v>
      </c>
    </row>
    <row r="38" spans="1:3" x14ac:dyDescent="0.35">
      <c r="A38" s="8" t="s">
        <v>71</v>
      </c>
      <c r="B38" s="4">
        <f>(B23-B22)/B23</f>
        <v>0.33510638297872336</v>
      </c>
      <c r="C38" s="1" t="s">
        <v>74</v>
      </c>
    </row>
    <row r="39" spans="1:3" x14ac:dyDescent="0.35">
      <c r="A39" s="8" t="s">
        <v>63</v>
      </c>
      <c r="B39" s="28">
        <f>(B36-Assumptions!$B$3)/B36/B38/Assumptions!B5</f>
        <v>0.50121417433826132</v>
      </c>
      <c r="C39" s="1" t="s">
        <v>75</v>
      </c>
    </row>
    <row r="40" spans="1:3" x14ac:dyDescent="0.35">
      <c r="A40" s="8" t="s">
        <v>76</v>
      </c>
      <c r="B40" s="21">
        <f>Assumptions!D19</f>
        <v>5.8113826656066569E-2</v>
      </c>
    </row>
    <row r="41" spans="1:3" x14ac:dyDescent="0.35">
      <c r="A41" s="8" t="s">
        <v>79</v>
      </c>
      <c r="B41" s="20">
        <f>MIN((D23/D20)-1,B40*2)</f>
        <v>0.11622765331213314</v>
      </c>
    </row>
    <row r="42" spans="1:3" x14ac:dyDescent="0.35">
      <c r="A42" s="8" t="s">
        <v>80</v>
      </c>
      <c r="B42" s="20">
        <f>(B35-B41)/B48</f>
        <v>2.3786495595100439E-2</v>
      </c>
    </row>
    <row r="43" spans="1:3" x14ac:dyDescent="0.35">
      <c r="A43" s="8" t="s">
        <v>77</v>
      </c>
      <c r="B43" s="19">
        <f>MIN(AVERAGE(B28:B31),0.3)</f>
        <v>0.13750000000000001</v>
      </c>
    </row>
    <row r="44" spans="1:3" x14ac:dyDescent="0.35">
      <c r="A44" s="8" t="s">
        <v>78</v>
      </c>
      <c r="B44" s="18">
        <f>SUM(B40:B43)/3</f>
        <v>0.11187599185443338</v>
      </c>
    </row>
    <row r="45" spans="1:3" x14ac:dyDescent="0.35">
      <c r="A45" s="8" t="s">
        <v>81</v>
      </c>
      <c r="B45" s="5">
        <f>0.3</f>
        <v>0.3</v>
      </c>
      <c r="C45" s="1" t="s">
        <v>104</v>
      </c>
    </row>
    <row r="46" spans="1:3" x14ac:dyDescent="0.35">
      <c r="A46" s="8" t="s">
        <v>61</v>
      </c>
      <c r="B46" s="4">
        <f>Assumptions!E19</f>
        <v>2.5936328924845542E-2</v>
      </c>
    </row>
    <row r="47" spans="1:3" x14ac:dyDescent="0.35">
      <c r="A47" s="8" t="s">
        <v>60</v>
      </c>
      <c r="B47" s="13">
        <f>(B45-B46)/(Assumptions!B4-B46)/B45</f>
        <v>12.33459747523877</v>
      </c>
    </row>
    <row r="48" spans="1:3" x14ac:dyDescent="0.35">
      <c r="A48" s="8" t="s">
        <v>85</v>
      </c>
      <c r="B48" s="13">
        <f>(B2/B18+10+B47)/3</f>
        <v>13.869657964157442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15.488573018429982</v>
      </c>
      <c r="C52" s="13"/>
    </row>
    <row r="53" spans="1:3" x14ac:dyDescent="0.35">
      <c r="A53" s="8" t="s">
        <v>87</v>
      </c>
      <c r="B53" s="13">
        <f>(B23*2-B$23)*(1+B$44)^8*B$48/(1+Assumptions!B$4-B$14/B$2)^10</f>
        <v>46.965350442981219</v>
      </c>
      <c r="C53" s="13"/>
    </row>
    <row r="54" spans="1:3" x14ac:dyDescent="0.35">
      <c r="A54" s="8" t="s">
        <v>102</v>
      </c>
      <c r="B54" s="13">
        <f>(B24*2-B$23)*(1+B$44)^8*B$48/(1+Assumptions!B$4-B$14/B$2)^10</f>
        <v>77.19304939830424</v>
      </c>
      <c r="C54" s="13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46FD-F428-4B8B-BBC3-8F591C00D2B5}">
  <dimension ref="A1:K61"/>
  <sheetViews>
    <sheetView topLeftCell="A34" zoomScale="90" zoomScaleNormal="90" workbookViewId="0">
      <selection activeCell="C50" sqref="C50:C57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117</v>
      </c>
      <c r="I1" s="1" t="s">
        <v>118</v>
      </c>
      <c r="J1" s="1" t="str">
        <f>B1</f>
        <v>PFE</v>
      </c>
      <c r="K1" s="1" t="s">
        <v>117</v>
      </c>
    </row>
    <row r="2" spans="1:11" x14ac:dyDescent="0.35">
      <c r="A2" s="8" t="s">
        <v>84</v>
      </c>
      <c r="B2" s="2">
        <v>29</v>
      </c>
      <c r="I2" s="1" t="s">
        <v>119</v>
      </c>
      <c r="J2" s="1">
        <f>B2</f>
        <v>29</v>
      </c>
      <c r="K2" s="1">
        <v>29</v>
      </c>
    </row>
    <row r="3" spans="1:11" x14ac:dyDescent="0.35">
      <c r="I3" s="1" t="s">
        <v>120</v>
      </c>
      <c r="J3" s="1">
        <f>B18</f>
        <v>1.84</v>
      </c>
      <c r="K3" s="1">
        <v>1.84</v>
      </c>
    </row>
    <row r="4" spans="1:11" x14ac:dyDescent="0.35">
      <c r="A4" s="8" t="s">
        <v>67</v>
      </c>
      <c r="I4" s="1" t="s">
        <v>121</v>
      </c>
      <c r="J4" s="1">
        <f t="shared" ref="J4:J9" si="0">B19</f>
        <v>2.15</v>
      </c>
      <c r="K4" s="1">
        <v>2.15</v>
      </c>
    </row>
    <row r="5" spans="1:11" x14ac:dyDescent="0.35">
      <c r="B5" s="1" t="s">
        <v>56</v>
      </c>
      <c r="I5" s="1" t="s">
        <v>122</v>
      </c>
      <c r="J5" s="1">
        <f t="shared" si="0"/>
        <v>2.35</v>
      </c>
      <c r="K5" s="1">
        <v>2.35</v>
      </c>
    </row>
    <row r="6" spans="1:11" x14ac:dyDescent="0.35">
      <c r="A6" s="9" t="s">
        <v>41</v>
      </c>
      <c r="B6" s="11">
        <v>2119</v>
      </c>
      <c r="C6" s="1" t="s">
        <v>40</v>
      </c>
      <c r="D6" s="6"/>
      <c r="I6" s="1" t="s">
        <v>123</v>
      </c>
      <c r="J6" s="1">
        <f t="shared" si="0"/>
        <v>2.63</v>
      </c>
      <c r="K6" s="1">
        <v>2.63</v>
      </c>
    </row>
    <row r="7" spans="1:11" x14ac:dyDescent="0.35">
      <c r="A7" s="9" t="s">
        <v>37</v>
      </c>
      <c r="B7" s="11">
        <v>3359</v>
      </c>
      <c r="C7" s="1" t="s">
        <v>40</v>
      </c>
      <c r="D7" s="6"/>
      <c r="I7" s="1" t="s">
        <v>124</v>
      </c>
      <c r="J7" s="1">
        <f t="shared" si="0"/>
        <v>2.38</v>
      </c>
      <c r="K7" s="1">
        <v>2.38</v>
      </c>
    </row>
    <row r="8" spans="1:11" x14ac:dyDescent="0.35">
      <c r="A8" s="9" t="s">
        <v>42</v>
      </c>
      <c r="B8" s="11">
        <v>33542</v>
      </c>
      <c r="C8" s="1" t="s">
        <v>40</v>
      </c>
      <c r="D8" s="6"/>
      <c r="I8" s="1" t="s">
        <v>125</v>
      </c>
      <c r="J8" s="1">
        <f t="shared" si="0"/>
        <v>2.73</v>
      </c>
      <c r="K8" s="1">
        <v>2.73</v>
      </c>
    </row>
    <row r="9" spans="1:11" x14ac:dyDescent="0.35">
      <c r="A9" s="9" t="s">
        <v>43</v>
      </c>
      <c r="B9" s="11">
        <v>58496</v>
      </c>
      <c r="C9" s="1" t="s">
        <v>40</v>
      </c>
      <c r="D9" s="6"/>
      <c r="I9" s="1" t="s">
        <v>126</v>
      </c>
      <c r="J9" s="1">
        <f t="shared" si="0"/>
        <v>3.13</v>
      </c>
      <c r="K9" s="1">
        <v>3.13</v>
      </c>
    </row>
    <row r="10" spans="1:11" x14ac:dyDescent="0.35">
      <c r="A10" s="9" t="s">
        <v>44</v>
      </c>
      <c r="B10" s="12">
        <v>5643</v>
      </c>
      <c r="C10" s="1" t="s">
        <v>40</v>
      </c>
      <c r="D10" s="6"/>
      <c r="I10" s="1" t="s">
        <v>127</v>
      </c>
      <c r="J10" s="26">
        <f>B44*100</f>
        <v>8.7494000563137888</v>
      </c>
      <c r="K10" s="1">
        <v>8.7494000563137888</v>
      </c>
    </row>
    <row r="11" spans="1:11" x14ac:dyDescent="0.35">
      <c r="A11" s="9" t="s">
        <v>38</v>
      </c>
      <c r="B11" s="11">
        <v>226501</v>
      </c>
      <c r="C11" s="1" t="s">
        <v>40</v>
      </c>
      <c r="D11" s="6"/>
      <c r="I11" s="1" t="s">
        <v>128</v>
      </c>
      <c r="J11" s="26">
        <f>100+B45*100</f>
        <v>116.19026220594513</v>
      </c>
      <c r="K11" s="1">
        <v>116.19026220594513</v>
      </c>
    </row>
    <row r="12" spans="1:11" x14ac:dyDescent="0.35">
      <c r="A12" s="9" t="s">
        <v>39</v>
      </c>
      <c r="B12" s="11">
        <v>89014</v>
      </c>
      <c r="C12" s="1" t="s">
        <v>40</v>
      </c>
      <c r="D12" s="6"/>
      <c r="I12" s="1" t="s">
        <v>129</v>
      </c>
      <c r="J12" s="1">
        <f>130+IF(B39&gt;1,-20)+IF(B39&lt;-1,20)</f>
        <v>150</v>
      </c>
      <c r="K12" s="1">
        <v>150</v>
      </c>
    </row>
    <row r="13" spans="1:11" x14ac:dyDescent="0.35">
      <c r="A13" s="9" t="s">
        <v>45</v>
      </c>
      <c r="B13" s="11">
        <v>137213</v>
      </c>
      <c r="C13" s="1" t="s">
        <v>40</v>
      </c>
      <c r="D13" s="6"/>
      <c r="I13" s="1" t="s">
        <v>130</v>
      </c>
      <c r="J13" s="1">
        <f>MAX(J11:J12)*2</f>
        <v>300</v>
      </c>
      <c r="K13" s="1">
        <v>300</v>
      </c>
    </row>
    <row r="14" spans="1:11" x14ac:dyDescent="0.35">
      <c r="A14" s="8" t="s">
        <v>46</v>
      </c>
      <c r="B14" s="2">
        <v>1.68</v>
      </c>
      <c r="C14" s="1" t="s">
        <v>47</v>
      </c>
      <c r="D14" s="15"/>
      <c r="I14" s="1" t="s">
        <v>131</v>
      </c>
      <c r="J14" s="26">
        <f>B14/B2*100</f>
        <v>5.7931034482758621</v>
      </c>
      <c r="K14" s="1">
        <v>5.7931034482758621</v>
      </c>
    </row>
    <row r="15" spans="1:11" x14ac:dyDescent="0.35">
      <c r="I15" s="1" t="s">
        <v>132</v>
      </c>
      <c r="J15" s="26">
        <f>B46*100</f>
        <v>6</v>
      </c>
      <c r="K15" s="1">
        <v>6</v>
      </c>
    </row>
    <row r="16" spans="1:11" x14ac:dyDescent="0.35">
      <c r="A16" s="1" t="s">
        <v>66</v>
      </c>
      <c r="I16" s="1" t="s">
        <v>133</v>
      </c>
      <c r="J16" s="26">
        <f>B45*100</f>
        <v>16.190262205945132</v>
      </c>
      <c r="K16" s="1">
        <v>16.190262205945132</v>
      </c>
    </row>
    <row r="17" spans="1:11" x14ac:dyDescent="0.35">
      <c r="B17" s="1" t="s">
        <v>55</v>
      </c>
      <c r="D17" s="1" t="s">
        <v>43</v>
      </c>
      <c r="F17" s="44"/>
      <c r="I17" s="1" t="s">
        <v>134</v>
      </c>
      <c r="J17" s="26">
        <f>B48</f>
        <v>13.832013744161808</v>
      </c>
      <c r="K17" s="1">
        <v>13.832013744161808</v>
      </c>
    </row>
    <row r="18" spans="1:11" x14ac:dyDescent="0.35">
      <c r="A18" s="8" t="s">
        <v>48</v>
      </c>
      <c r="B18" s="7">
        <v>1.84</v>
      </c>
      <c r="C18" s="1" t="s">
        <v>47</v>
      </c>
      <c r="D18" s="14">
        <v>58.5</v>
      </c>
      <c r="E18" s="1" t="s">
        <v>91</v>
      </c>
      <c r="F18" s="3"/>
      <c r="H18" s="6"/>
    </row>
    <row r="19" spans="1:11" x14ac:dyDescent="0.35">
      <c r="A19" s="8" t="s">
        <v>49</v>
      </c>
      <c r="B19" s="7">
        <v>2.15</v>
      </c>
      <c r="C19" s="1" t="s">
        <v>47</v>
      </c>
      <c r="D19" s="14">
        <v>58.21</v>
      </c>
      <c r="E19" s="1" t="s">
        <v>91</v>
      </c>
      <c r="F19" s="43"/>
      <c r="H19" s="6"/>
    </row>
    <row r="20" spans="1:11" x14ac:dyDescent="0.35">
      <c r="A20" s="8" t="s">
        <v>53</v>
      </c>
      <c r="B20" s="7">
        <v>2.35</v>
      </c>
      <c r="C20" s="1" t="s">
        <v>47</v>
      </c>
      <c r="D20" s="14">
        <v>60.59</v>
      </c>
      <c r="E20" s="1" t="s">
        <v>91</v>
      </c>
      <c r="F20" s="43"/>
      <c r="H20" s="6"/>
    </row>
    <row r="21" spans="1:11" x14ac:dyDescent="0.35">
      <c r="A21" s="8" t="s">
        <v>54</v>
      </c>
      <c r="B21" s="7">
        <v>2.63</v>
      </c>
      <c r="C21" s="1" t="s">
        <v>47</v>
      </c>
      <c r="D21" s="14">
        <v>62.26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2.38</v>
      </c>
      <c r="C22" s="1" t="s">
        <v>47</v>
      </c>
      <c r="D22" s="14">
        <v>58.77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2.73</v>
      </c>
      <c r="C23" s="1" t="s">
        <v>47</v>
      </c>
      <c r="D23" s="14">
        <v>62.77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3.13</v>
      </c>
      <c r="C24" s="1" t="s">
        <v>47</v>
      </c>
      <c r="D24" s="14">
        <v>64.5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-0.03</v>
      </c>
    </row>
    <row r="29" spans="1:11" x14ac:dyDescent="0.35">
      <c r="A29" s="8" t="s">
        <v>58</v>
      </c>
      <c r="B29" s="5">
        <v>0.18</v>
      </c>
    </row>
    <row r="30" spans="1:11" x14ac:dyDescent="0.35">
      <c r="A30" s="8" t="s">
        <v>59</v>
      </c>
      <c r="B30" s="5">
        <v>0.44</v>
      </c>
    </row>
    <row r="31" spans="1:11" x14ac:dyDescent="0.35">
      <c r="A31" s="8" t="s">
        <v>94</v>
      </c>
      <c r="B31" s="5">
        <v>0.08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2.3805244118902644E-2</v>
      </c>
      <c r="C35" s="1" t="s">
        <v>72</v>
      </c>
    </row>
    <row r="36" spans="1:3" x14ac:dyDescent="0.35">
      <c r="A36" s="8" t="s">
        <v>70</v>
      </c>
      <c r="B36" s="4">
        <f>B7/B11</f>
        <v>1.4829956600633109E-2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9.3916803899320528E-2</v>
      </c>
      <c r="C37" s="1" t="s">
        <v>83</v>
      </c>
    </row>
    <row r="38" spans="1:3" x14ac:dyDescent="0.35">
      <c r="A38" s="8" t="s">
        <v>71</v>
      </c>
      <c r="B38" s="4">
        <f>(B23-B22)/B23</f>
        <v>0.12820512820512825</v>
      </c>
      <c r="C38" s="1" t="s">
        <v>74</v>
      </c>
    </row>
    <row r="39" spans="1:3" x14ac:dyDescent="0.35">
      <c r="A39" s="8" t="s">
        <v>63</v>
      </c>
      <c r="B39" s="25">
        <f>(B36-Assumptions!$B$3)/B36/B38/Assumptions!B5</f>
        <v>-4.9076648783955372</v>
      </c>
      <c r="C39" s="1" t="s">
        <v>75</v>
      </c>
    </row>
    <row r="40" spans="1:3" x14ac:dyDescent="0.35">
      <c r="A40" s="8" t="s">
        <v>76</v>
      </c>
      <c r="B40" s="21">
        <f>Assumptions!D23</f>
        <v>0.06</v>
      </c>
    </row>
    <row r="41" spans="1:3" x14ac:dyDescent="0.35">
      <c r="A41" s="8" t="s">
        <v>79</v>
      </c>
      <c r="B41" s="20">
        <f>(D23/D18)^0.5-1</f>
        <v>3.5853007425017402E-2</v>
      </c>
    </row>
    <row r="42" spans="1:3" x14ac:dyDescent="0.35">
      <c r="A42" s="8" t="s">
        <v>80</v>
      </c>
      <c r="B42" s="20">
        <f>(B35-B41)/B48</f>
        <v>-8.7100573560374437E-4</v>
      </c>
    </row>
    <row r="43" spans="1:3" x14ac:dyDescent="0.35">
      <c r="A43" s="8" t="s">
        <v>77</v>
      </c>
      <c r="B43" s="19">
        <f>AVERAGE(B28:B31)</f>
        <v>0.16749999999999998</v>
      </c>
    </row>
    <row r="44" spans="1:3" x14ac:dyDescent="0.35">
      <c r="A44" s="8" t="s">
        <v>78</v>
      </c>
      <c r="B44" s="18">
        <f>SUM(B40:B43)/3</f>
        <v>8.7494000563137886E-2</v>
      </c>
    </row>
    <row r="45" spans="1:3" x14ac:dyDescent="0.35">
      <c r="A45" s="8" t="s">
        <v>81</v>
      </c>
      <c r="B45" s="16">
        <f>(B35+0.3)/2</f>
        <v>0.16190262205945133</v>
      </c>
      <c r="C45" s="1" t="s">
        <v>103</v>
      </c>
    </row>
    <row r="46" spans="1:3" x14ac:dyDescent="0.35">
      <c r="A46" s="8" t="s">
        <v>61</v>
      </c>
      <c r="B46" s="4">
        <f>Assumptions!E22</f>
        <v>0.06</v>
      </c>
    </row>
    <row r="47" spans="1:3" x14ac:dyDescent="0.35">
      <c r="A47" s="8" t="s">
        <v>60</v>
      </c>
      <c r="B47" s="13">
        <f>(B45-B46)/(Assumptions!B4-B46)/B45</f>
        <v>15.735171667268032</v>
      </c>
    </row>
    <row r="48" spans="1:3" x14ac:dyDescent="0.35">
      <c r="A48" s="8" t="s">
        <v>85</v>
      </c>
      <c r="B48" s="13">
        <f>(B2/B18+10+B47)/3</f>
        <v>13.832013744161808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36.377410976574637</v>
      </c>
      <c r="C52" s="13"/>
    </row>
    <row r="53" spans="1:3" x14ac:dyDescent="0.35">
      <c r="A53" s="8" t="s">
        <v>87</v>
      </c>
      <c r="B53" s="13">
        <f>(B23*2-B$23)*(1+B$44)^8*B$48/(1+Assumptions!B$4-B$14/B$2)^10</f>
        <v>48.921345796083138</v>
      </c>
      <c r="C53" s="13"/>
    </row>
    <row r="54" spans="1:3" x14ac:dyDescent="0.35">
      <c r="A54" s="8" t="s">
        <v>102</v>
      </c>
      <c r="B54" s="13">
        <f>(B24*2-B$23)*(1+B$44)^8*B$48/(1+Assumptions!B$4-B$14/B$2)^10</f>
        <v>63.257271304092853</v>
      </c>
      <c r="C54" s="13"/>
    </row>
    <row r="61" spans="1:3" x14ac:dyDescent="0.35">
      <c r="A61" s="1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4D0D-0B06-451A-962B-880736D70CE0}">
  <dimension ref="A1:K61"/>
  <sheetViews>
    <sheetView topLeftCell="A31" workbookViewId="0">
      <selection activeCell="C49" sqref="C49:C57"/>
    </sheetView>
  </sheetViews>
  <sheetFormatPr defaultColWidth="8.88671875" defaultRowHeight="15" x14ac:dyDescent="0.35"/>
  <cols>
    <col min="1" max="1" width="30.6640625" style="8" customWidth="1"/>
    <col min="2" max="18" width="20.6640625" style="1" customWidth="1"/>
    <col min="19" max="16384" width="8.88671875" style="1"/>
  </cols>
  <sheetData>
    <row r="1" spans="1:11" x14ac:dyDescent="0.35">
      <c r="A1" s="8" t="s">
        <v>68</v>
      </c>
      <c r="B1" s="2" t="s">
        <v>136</v>
      </c>
      <c r="I1" s="1" t="s">
        <v>118</v>
      </c>
      <c r="J1" s="1" t="str">
        <f>B1</f>
        <v>JNJ</v>
      </c>
      <c r="K1" s="1" t="s">
        <v>136</v>
      </c>
    </row>
    <row r="2" spans="1:11" x14ac:dyDescent="0.35">
      <c r="A2" s="8" t="s">
        <v>84</v>
      </c>
      <c r="B2" s="2">
        <v>162</v>
      </c>
      <c r="I2" s="1" t="s">
        <v>119</v>
      </c>
      <c r="J2" s="1">
        <f>B2</f>
        <v>162</v>
      </c>
      <c r="K2" s="1">
        <v>162</v>
      </c>
    </row>
    <row r="3" spans="1:11" x14ac:dyDescent="0.35">
      <c r="I3" s="1" t="s">
        <v>120</v>
      </c>
      <c r="J3" s="1">
        <f>B18</f>
        <v>9.92</v>
      </c>
      <c r="K3" s="1">
        <v>9.92</v>
      </c>
    </row>
    <row r="4" spans="1:11" x14ac:dyDescent="0.35">
      <c r="A4" s="8" t="s">
        <v>67</v>
      </c>
      <c r="I4" s="1" t="s">
        <v>121</v>
      </c>
      <c r="J4" s="1">
        <f t="shared" ref="J4:J9" si="0">B19</f>
        <v>10.47</v>
      </c>
      <c r="K4" s="1">
        <v>10.47</v>
      </c>
    </row>
    <row r="5" spans="1:11" x14ac:dyDescent="0.35">
      <c r="B5" s="1" t="s">
        <v>168</v>
      </c>
      <c r="I5" s="1" t="s">
        <v>122</v>
      </c>
      <c r="J5" s="1">
        <f t="shared" si="0"/>
        <v>10.62</v>
      </c>
      <c r="K5" s="1">
        <v>10.62</v>
      </c>
    </row>
    <row r="6" spans="1:11" x14ac:dyDescent="0.35">
      <c r="A6" s="9" t="s">
        <v>41</v>
      </c>
      <c r="B6" s="11">
        <v>14684</v>
      </c>
      <c r="C6" s="1" t="s">
        <v>40</v>
      </c>
      <c r="D6" s="6"/>
      <c r="I6" s="1" t="s">
        <v>123</v>
      </c>
      <c r="J6" s="1">
        <f t="shared" si="0"/>
        <v>10.85</v>
      </c>
      <c r="K6" s="1">
        <v>10.85</v>
      </c>
    </row>
    <row r="7" spans="1:11" x14ac:dyDescent="0.35">
      <c r="A7" s="9" t="s">
        <v>37</v>
      </c>
      <c r="B7" s="11">
        <v>22915</v>
      </c>
      <c r="C7" s="1" t="s">
        <v>40</v>
      </c>
      <c r="D7" s="6"/>
      <c r="I7" s="1" t="s">
        <v>124</v>
      </c>
      <c r="J7" s="1">
        <f t="shared" si="0"/>
        <v>10.220000000000001</v>
      </c>
      <c r="K7" s="1">
        <v>10.220000000000001</v>
      </c>
    </row>
    <row r="8" spans="1:11" x14ac:dyDescent="0.35">
      <c r="A8" s="9" t="s">
        <v>42</v>
      </c>
      <c r="B8" s="11">
        <v>60555</v>
      </c>
      <c r="C8" s="1" t="s">
        <v>40</v>
      </c>
      <c r="D8" s="6"/>
      <c r="I8" s="1" t="s">
        <v>125</v>
      </c>
      <c r="J8" s="1">
        <f t="shared" si="0"/>
        <v>10.91</v>
      </c>
      <c r="K8" s="1">
        <v>10.91</v>
      </c>
    </row>
    <row r="9" spans="1:11" x14ac:dyDescent="0.35">
      <c r="A9" s="9" t="s">
        <v>43</v>
      </c>
      <c r="B9" s="11">
        <v>87696</v>
      </c>
      <c r="C9" s="1" t="s">
        <v>40</v>
      </c>
      <c r="D9" s="6"/>
      <c r="I9" s="1" t="s">
        <v>126</v>
      </c>
      <c r="J9" s="1">
        <f t="shared" si="0"/>
        <v>11.53</v>
      </c>
      <c r="K9" s="1">
        <v>11.53</v>
      </c>
    </row>
    <row r="10" spans="1:11" x14ac:dyDescent="0.35">
      <c r="A10" s="9" t="s">
        <v>44</v>
      </c>
      <c r="B10" s="12">
        <v>2615</v>
      </c>
      <c r="C10" s="1" t="s">
        <v>40</v>
      </c>
      <c r="D10" s="6"/>
      <c r="I10" s="1" t="s">
        <v>127</v>
      </c>
      <c r="J10" s="26">
        <f>B44*100</f>
        <v>4.8489312990848497</v>
      </c>
      <c r="K10" s="1">
        <v>5.4913290234662409</v>
      </c>
    </row>
    <row r="11" spans="1:11" x14ac:dyDescent="0.35">
      <c r="A11" s="9" t="s">
        <v>38</v>
      </c>
      <c r="B11" s="11">
        <v>167558</v>
      </c>
      <c r="C11" s="1" t="s">
        <v>40</v>
      </c>
      <c r="D11" s="6"/>
      <c r="I11" s="1" t="s">
        <v>128</v>
      </c>
      <c r="J11" s="26">
        <f>100+B45*100</f>
        <v>130</v>
      </c>
      <c r="K11" s="1">
        <v>130</v>
      </c>
    </row>
    <row r="12" spans="1:11" x14ac:dyDescent="0.35">
      <c r="A12" s="9" t="s">
        <v>39</v>
      </c>
      <c r="B12" s="11">
        <v>68774</v>
      </c>
      <c r="C12" s="1" t="s">
        <v>40</v>
      </c>
      <c r="D12" s="6"/>
      <c r="I12" s="1" t="s">
        <v>129</v>
      </c>
      <c r="J12" s="1">
        <f>130+IF(B39&gt;1,-20)+IF(B39&lt;-1,20)</f>
        <v>110</v>
      </c>
      <c r="K12" s="1">
        <v>110</v>
      </c>
    </row>
    <row r="13" spans="1:11" x14ac:dyDescent="0.35">
      <c r="A13" s="9" t="s">
        <v>45</v>
      </c>
      <c r="B13" s="11">
        <v>46282</v>
      </c>
      <c r="C13" s="1" t="s">
        <v>40</v>
      </c>
      <c r="D13" s="6"/>
      <c r="I13" s="1" t="s">
        <v>130</v>
      </c>
      <c r="J13" s="1">
        <f>MAX(J11:J12)*2</f>
        <v>260</v>
      </c>
      <c r="K13" s="1">
        <v>260</v>
      </c>
    </row>
    <row r="14" spans="1:11" x14ac:dyDescent="0.35">
      <c r="A14" s="8" t="s">
        <v>46</v>
      </c>
      <c r="B14" s="2">
        <v>4.96</v>
      </c>
      <c r="C14" s="1" t="s">
        <v>47</v>
      </c>
      <c r="D14" s="15"/>
      <c r="I14" s="1" t="s">
        <v>131</v>
      </c>
      <c r="J14" s="26">
        <f>B14/B2*100</f>
        <v>3.0617283950617287</v>
      </c>
      <c r="K14" s="1">
        <v>3.0617283950617287</v>
      </c>
    </row>
    <row r="15" spans="1:11" x14ac:dyDescent="0.35">
      <c r="I15" s="1" t="s">
        <v>132</v>
      </c>
      <c r="J15" s="26">
        <f>B46*100</f>
        <v>6</v>
      </c>
      <c r="K15" s="1">
        <v>6</v>
      </c>
    </row>
    <row r="16" spans="1:11" x14ac:dyDescent="0.35">
      <c r="A16" s="1" t="s">
        <v>66</v>
      </c>
      <c r="I16" s="1" t="s">
        <v>133</v>
      </c>
      <c r="J16" s="26">
        <f>B45*100</f>
        <v>30</v>
      </c>
      <c r="K16" s="1">
        <v>30</v>
      </c>
    </row>
    <row r="17" spans="1:11" x14ac:dyDescent="0.35">
      <c r="B17" s="1" t="s">
        <v>55</v>
      </c>
      <c r="D17" s="1" t="s">
        <v>43</v>
      </c>
      <c r="F17" s="44"/>
      <c r="I17" s="1" t="s">
        <v>134</v>
      </c>
      <c r="J17" s="26">
        <f>B48</f>
        <v>15.443548387096774</v>
      </c>
      <c r="K17" s="1">
        <v>15.443548387096774</v>
      </c>
    </row>
    <row r="18" spans="1:11" x14ac:dyDescent="0.35">
      <c r="A18" s="8" t="s">
        <v>48</v>
      </c>
      <c r="B18" s="7">
        <v>9.92</v>
      </c>
      <c r="C18" s="1" t="s">
        <v>47</v>
      </c>
      <c r="D18" s="14">
        <v>85.16</v>
      </c>
      <c r="E18" s="1" t="s">
        <v>91</v>
      </c>
      <c r="F18" s="3"/>
      <c r="H18" s="6"/>
    </row>
    <row r="19" spans="1:11" x14ac:dyDescent="0.35">
      <c r="A19" s="8" t="s">
        <v>49</v>
      </c>
      <c r="B19" s="7">
        <v>10.47</v>
      </c>
      <c r="C19" s="1" t="s">
        <v>47</v>
      </c>
      <c r="D19" s="14">
        <v>88</v>
      </c>
      <c r="E19" s="1" t="s">
        <v>91</v>
      </c>
      <c r="F19" s="43"/>
      <c r="H19" s="6"/>
    </row>
    <row r="20" spans="1:11" x14ac:dyDescent="0.35">
      <c r="A20" s="8" t="s">
        <v>53</v>
      </c>
      <c r="B20" s="7">
        <v>10.62</v>
      </c>
      <c r="C20" s="1" t="s">
        <v>47</v>
      </c>
      <c r="D20" s="14">
        <v>88.46</v>
      </c>
      <c r="E20" s="1" t="s">
        <v>91</v>
      </c>
      <c r="F20" s="43"/>
      <c r="H20" s="6"/>
    </row>
    <row r="21" spans="1:11" x14ac:dyDescent="0.35">
      <c r="A21" s="8" t="s">
        <v>54</v>
      </c>
      <c r="B21" s="7">
        <v>10.85</v>
      </c>
      <c r="C21" s="1" t="s">
        <v>47</v>
      </c>
      <c r="D21" s="14">
        <v>89.29</v>
      </c>
      <c r="E21" s="1" t="s">
        <v>91</v>
      </c>
      <c r="F21" s="43"/>
      <c r="H21" s="6"/>
    </row>
    <row r="22" spans="1:11" x14ac:dyDescent="0.35">
      <c r="A22" s="8" t="s">
        <v>52</v>
      </c>
      <c r="B22" s="7">
        <v>10.220000000000001</v>
      </c>
      <c r="C22" s="1" t="s">
        <v>47</v>
      </c>
      <c r="D22" s="14">
        <v>88.61</v>
      </c>
      <c r="E22" s="1" t="s">
        <v>91</v>
      </c>
      <c r="F22" s="43"/>
      <c r="H22" s="6"/>
    </row>
    <row r="23" spans="1:11" x14ac:dyDescent="0.35">
      <c r="A23" s="8" t="s">
        <v>51</v>
      </c>
      <c r="B23" s="7">
        <v>10.91</v>
      </c>
      <c r="C23" s="1" t="s">
        <v>47</v>
      </c>
      <c r="D23" s="14">
        <v>91.02</v>
      </c>
      <c r="E23" s="1" t="s">
        <v>91</v>
      </c>
      <c r="F23" s="43"/>
      <c r="H23" s="6"/>
    </row>
    <row r="24" spans="1:11" x14ac:dyDescent="0.35">
      <c r="A24" s="8" t="s">
        <v>50</v>
      </c>
      <c r="B24" s="7">
        <v>11.53</v>
      </c>
      <c r="C24" s="1" t="s">
        <v>47</v>
      </c>
      <c r="D24" s="14">
        <v>92.95</v>
      </c>
      <c r="E24" s="1" t="s">
        <v>91</v>
      </c>
      <c r="F24" s="43"/>
      <c r="H24" s="6"/>
    </row>
    <row r="26" spans="1:11" x14ac:dyDescent="0.35">
      <c r="A26" s="8" t="s">
        <v>65</v>
      </c>
    </row>
    <row r="27" spans="1:11" x14ac:dyDescent="0.35">
      <c r="B27" s="2" t="s">
        <v>69</v>
      </c>
    </row>
    <row r="28" spans="1:11" x14ac:dyDescent="0.35">
      <c r="A28" s="8" t="s">
        <v>57</v>
      </c>
      <c r="B28" s="5">
        <v>0.06</v>
      </c>
    </row>
    <row r="29" spans="1:11" x14ac:dyDescent="0.35">
      <c r="A29" s="8" t="s">
        <v>58</v>
      </c>
      <c r="B29" s="5">
        <v>0.03</v>
      </c>
    </row>
    <row r="30" spans="1:11" x14ac:dyDescent="0.35">
      <c r="A30" s="8" t="s">
        <v>59</v>
      </c>
      <c r="B30" s="5">
        <v>0</v>
      </c>
    </row>
    <row r="31" spans="1:11" x14ac:dyDescent="0.35">
      <c r="A31" s="8" t="s">
        <v>94</v>
      </c>
      <c r="B31" s="5">
        <v>7.0000000000000007E-2</v>
      </c>
    </row>
    <row r="32" spans="1:11" x14ac:dyDescent="0.35">
      <c r="B32" s="2"/>
    </row>
    <row r="33" spans="1:3" x14ac:dyDescent="0.35">
      <c r="A33" s="8" t="s">
        <v>64</v>
      </c>
      <c r="B33" s="2"/>
    </row>
    <row r="34" spans="1:3" x14ac:dyDescent="0.35">
      <c r="B34" s="2" t="s">
        <v>69</v>
      </c>
    </row>
    <row r="35" spans="1:3" x14ac:dyDescent="0.35">
      <c r="A35" s="8" t="s">
        <v>62</v>
      </c>
      <c r="B35" s="4">
        <f>B6/B12</f>
        <v>0.21351091982435222</v>
      </c>
      <c r="C35" s="1" t="s">
        <v>72</v>
      </c>
    </row>
    <row r="36" spans="1:3" x14ac:dyDescent="0.35">
      <c r="A36" s="8" t="s">
        <v>70</v>
      </c>
      <c r="B36" s="4">
        <f>B7/B11</f>
        <v>0.13675861492736843</v>
      </c>
      <c r="C36" s="1" t="s">
        <v>73</v>
      </c>
    </row>
    <row r="37" spans="1:3" x14ac:dyDescent="0.35">
      <c r="A37" s="8" t="s">
        <v>82</v>
      </c>
      <c r="B37" s="4">
        <f>(B45*B12+B13*Assumptions!B3)/B11</f>
        <v>0.13694541591568293</v>
      </c>
      <c r="C37" s="1" t="s">
        <v>83</v>
      </c>
    </row>
    <row r="38" spans="1:3" x14ac:dyDescent="0.35">
      <c r="A38" s="8" t="s">
        <v>71</v>
      </c>
      <c r="B38" s="4">
        <f>(B23-B22)/B23</f>
        <v>6.3244729605866135E-2</v>
      </c>
      <c r="C38" s="1" t="s">
        <v>74</v>
      </c>
    </row>
    <row r="39" spans="1:3" x14ac:dyDescent="0.35">
      <c r="A39" s="8" t="s">
        <v>63</v>
      </c>
      <c r="B39" s="27">
        <f>(B36-Assumptions!$B$3)/B36/B38/Assumptions!B5</f>
        <v>2.6612204278726947</v>
      </c>
      <c r="C39" s="1" t="s">
        <v>75</v>
      </c>
    </row>
    <row r="40" spans="1:3" x14ac:dyDescent="0.35">
      <c r="A40" s="8" t="s">
        <v>76</v>
      </c>
      <c r="B40" s="21">
        <f>Assumptions!D23</f>
        <v>0.06</v>
      </c>
    </row>
    <row r="41" spans="1:3" x14ac:dyDescent="0.35">
      <c r="A41" s="8" t="s">
        <v>79</v>
      </c>
      <c r="B41" s="20">
        <f>(D23/D18)^0.5-1</f>
        <v>3.3833472403241194E-2</v>
      </c>
    </row>
    <row r="42" spans="1:3" x14ac:dyDescent="0.35">
      <c r="A42" s="8" t="s">
        <v>80</v>
      </c>
      <c r="B42" s="20">
        <f>(B35-B41)/B48</f>
        <v>1.1634466569304317E-2</v>
      </c>
    </row>
    <row r="43" spans="1:3" x14ac:dyDescent="0.35">
      <c r="A43" s="8" t="s">
        <v>77</v>
      </c>
      <c r="B43" s="19">
        <f>AVERAGE(B28:B31)</f>
        <v>0.04</v>
      </c>
    </row>
    <row r="44" spans="1:3" x14ac:dyDescent="0.35">
      <c r="A44" s="8" t="s">
        <v>78</v>
      </c>
      <c r="B44" s="18">
        <f>SUM(B40:B43)/3</f>
        <v>4.84893129908485E-2</v>
      </c>
    </row>
    <row r="45" spans="1:3" x14ac:dyDescent="0.35">
      <c r="A45" s="8" t="s">
        <v>81</v>
      </c>
      <c r="B45" s="16">
        <f>0.3</f>
        <v>0.3</v>
      </c>
      <c r="C45" s="1" t="s">
        <v>104</v>
      </c>
    </row>
    <row r="46" spans="1:3" x14ac:dyDescent="0.35">
      <c r="A46" s="8" t="s">
        <v>61</v>
      </c>
      <c r="B46" s="4">
        <f>Assumptions!E22</f>
        <v>0.06</v>
      </c>
    </row>
    <row r="47" spans="1:3" x14ac:dyDescent="0.35">
      <c r="A47" s="8" t="s">
        <v>60</v>
      </c>
      <c r="B47" s="13">
        <f>(B45-B46)/(Assumptions!B4-B46)/B45</f>
        <v>19.999999999999996</v>
      </c>
    </row>
    <row r="48" spans="1:3" x14ac:dyDescent="0.35">
      <c r="A48" s="8" t="s">
        <v>85</v>
      </c>
      <c r="B48" s="13">
        <f>(B2/B18+10+B47)/3</f>
        <v>15.443548387096774</v>
      </c>
    </row>
    <row r="50" spans="1:3" x14ac:dyDescent="0.35">
      <c r="A50" s="8" t="s">
        <v>86</v>
      </c>
    </row>
    <row r="51" spans="1:3" x14ac:dyDescent="0.35">
      <c r="B51" s="2" t="s">
        <v>69</v>
      </c>
      <c r="C51" s="2"/>
    </row>
    <row r="52" spans="1:3" x14ac:dyDescent="0.35">
      <c r="A52" s="8" t="s">
        <v>88</v>
      </c>
      <c r="B52" s="13">
        <f>(B22*2-B$23)*(1+B$44)^8*B$48/(1+Assumptions!B$4-B$14/B$2)^10</f>
        <v>109.90576003958493</v>
      </c>
      <c r="C52" s="13"/>
    </row>
    <row r="53" spans="1:3" x14ac:dyDescent="0.35">
      <c r="A53" s="8" t="s">
        <v>87</v>
      </c>
      <c r="B53" s="13">
        <f>(B23*2-B$23)*(1+B$44)^8*B$48/(1+Assumptions!B$4-B$14/B$2)^10</f>
        <v>125.82075991939892</v>
      </c>
      <c r="C53" s="13"/>
    </row>
    <row r="54" spans="1:3" x14ac:dyDescent="0.35">
      <c r="A54" s="8" t="s">
        <v>102</v>
      </c>
      <c r="B54" s="13">
        <f>(B24*2-B$23)*(1+B$44)^8*B$48/(1+Assumptions!B$4-B$14/B$2)^10</f>
        <v>140.12119459401433</v>
      </c>
      <c r="C54" s="13"/>
    </row>
    <row r="61" spans="1:3" x14ac:dyDescent="0.35">
      <c r="A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Charts</vt:lpstr>
      </vt:variant>
      <vt:variant>
        <vt:i4>1</vt:i4>
      </vt:variant>
    </vt:vector>
  </HeadingPairs>
  <TitlesOfParts>
    <vt:vector size="21" baseType="lpstr">
      <vt:lpstr>Assumptions</vt:lpstr>
      <vt:lpstr>CPT_KO</vt:lpstr>
      <vt:lpstr>CPT_PEP</vt:lpstr>
      <vt:lpstr>CPE_COST</vt:lpstr>
      <vt:lpstr>CPE_ULTA</vt:lpstr>
      <vt:lpstr>CPE_BNKG</vt:lpstr>
      <vt:lpstr>CPE_V</vt:lpstr>
      <vt:lpstr>CPE_MA</vt:lpstr>
      <vt:lpstr>ESPV_FSLR</vt:lpstr>
      <vt:lpstr>ESEV_TSLA</vt:lpstr>
      <vt:lpstr>ESEV_ON</vt:lpstr>
      <vt:lpstr>EVMG_MCHP</vt:lpstr>
      <vt:lpstr>Tech_CRM</vt:lpstr>
      <vt:lpstr>Tech_ADBE</vt:lpstr>
      <vt:lpstr>Tech_MSFT</vt:lpstr>
      <vt:lpstr>Tech_GOOG</vt:lpstr>
      <vt:lpstr>Tech_AAPL</vt:lpstr>
      <vt:lpstr>ESEV_ENPH</vt:lpstr>
      <vt:lpstr>HP_PFE</vt:lpstr>
      <vt:lpstr>HP_JNJ</vt:lpstr>
      <vt:lpstr>PEG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 Zhang</dc:creator>
  <cp:lastModifiedBy>Yimin Zhang</cp:lastModifiedBy>
  <dcterms:created xsi:type="dcterms:W3CDTF">2015-06-05T18:17:20Z</dcterms:created>
  <dcterms:modified xsi:type="dcterms:W3CDTF">2024-11-02T12:36:08Z</dcterms:modified>
</cp:coreProperties>
</file>