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109" documentId="13_ncr:1_{E55B8EB9-656C-43EA-8FEE-094316BCB858}" xr6:coauthVersionLast="47" xr6:coauthVersionMax="47" xr10:uidLastSave="{02690705-F2C7-4A03-99ED-6C8208580605}"/>
  <bookViews>
    <workbookView xWindow="1284" yWindow="804" windowWidth="18504" windowHeight="16044" firstSheet="10" activeTab="10" xr2:uid="{00000000-000D-0000-FFFF-FFFF00000000}"/>
  </bookViews>
  <sheets>
    <sheet name="OI" sheetId="3" r:id="rId1"/>
    <sheet name="SUM" sheetId="2" r:id="rId2"/>
    <sheet name="KO" sheetId="1" r:id="rId3"/>
    <sheet name="PEP" sheetId="4" r:id="rId4"/>
    <sheet name="BKNG" sheetId="26" r:id="rId5"/>
    <sheet name="COST" sheetId="5" r:id="rId6"/>
    <sheet name="ULTA" sheetId="6" r:id="rId7"/>
    <sheet name="V" sheetId="20" r:id="rId8"/>
    <sheet name="MA" sheetId="19" r:id="rId9"/>
    <sheet name="BRK" sheetId="21" state="hidden" r:id="rId10"/>
    <sheet name="FSLR" sheetId="8" r:id="rId11"/>
    <sheet name="ENPH" sheetId="25" r:id="rId12"/>
    <sheet name="JKS" sheetId="9" r:id="rId13"/>
    <sheet name="CSIQ" sheetId="10" r:id="rId14"/>
    <sheet name="TSLA" sheetId="15" r:id="rId15"/>
    <sheet name="ON" sheetId="11" r:id="rId16"/>
    <sheet name="MCHP" sheetId="13" r:id="rId17"/>
    <sheet name="CRM" sheetId="12" r:id="rId18"/>
    <sheet name="ADBE" sheetId="14" r:id="rId19"/>
    <sheet name="ORCL" sheetId="24" r:id="rId20"/>
    <sheet name="GOOG" sheetId="17" r:id="rId21"/>
    <sheet name="MSFT" sheetId="16" r:id="rId22"/>
    <sheet name="APPL" sheetId="18" r:id="rId23"/>
    <sheet name="PFE" sheetId="22" r:id="rId24"/>
    <sheet name="JNJ" sheetId="23" r:id="rId25"/>
    <sheet name="MCO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1" l="1"/>
  <c r="B37" i="17"/>
  <c r="Q22" i="17"/>
  <c r="H22" i="17"/>
  <c r="H10" i="17"/>
  <c r="L4" i="17"/>
  <c r="D3" i="3"/>
  <c r="I16" i="14"/>
  <c r="H16" i="14"/>
  <c r="G16" i="14"/>
  <c r="I10" i="12"/>
  <c r="F22" i="12"/>
  <c r="Q22" i="11"/>
  <c r="F22" i="11"/>
  <c r="J28" i="11"/>
  <c r="N4" i="17"/>
  <c r="J10" i="17"/>
  <c r="S3" i="2" l="1"/>
  <c r="S5" i="2"/>
  <c r="S6" i="2"/>
  <c r="S7" i="2"/>
  <c r="S8" i="2"/>
  <c r="S9" i="2"/>
  <c r="S11" i="2"/>
  <c r="S12" i="2"/>
  <c r="S13" i="2"/>
  <c r="S14" i="2"/>
  <c r="S16" i="2"/>
  <c r="S17" i="2"/>
  <c r="S19" i="2"/>
  <c r="S2" i="2"/>
  <c r="Q19" i="2"/>
  <c r="P19" i="2"/>
  <c r="Q18" i="2"/>
  <c r="P18" i="2"/>
  <c r="Q17" i="2"/>
  <c r="P17" i="2"/>
  <c r="Q16" i="2"/>
  <c r="P16" i="2"/>
  <c r="P15" i="2"/>
  <c r="Q14" i="2"/>
  <c r="P14" i="2"/>
  <c r="Q13" i="2"/>
  <c r="P13" i="2"/>
  <c r="Q12" i="2"/>
  <c r="P12" i="2"/>
  <c r="Q11" i="2"/>
  <c r="P11" i="2"/>
  <c r="P10" i="2"/>
  <c r="Q9" i="2"/>
  <c r="P9" i="2"/>
  <c r="Q8" i="2"/>
  <c r="P8" i="2"/>
  <c r="Q7" i="2"/>
  <c r="P7" i="2"/>
  <c r="Q6" i="2"/>
  <c r="P6" i="2"/>
  <c r="Q5" i="2"/>
  <c r="P5" i="2"/>
  <c r="Q4" i="2"/>
  <c r="Q3" i="2"/>
  <c r="P3" i="2"/>
  <c r="Q2" i="2"/>
  <c r="P2" i="2"/>
  <c r="R6" i="2"/>
  <c r="O6" i="2"/>
  <c r="M6" i="2"/>
  <c r="K6" i="2"/>
  <c r="J6" i="2"/>
  <c r="I6" i="2"/>
  <c r="H6" i="2"/>
  <c r="G6" i="2"/>
  <c r="F6" i="2"/>
  <c r="E6" i="2"/>
  <c r="R19" i="2"/>
  <c r="R18" i="2"/>
  <c r="S18" i="2" s="1"/>
  <c r="R17" i="2"/>
  <c r="R16" i="2"/>
  <c r="R14" i="2"/>
  <c r="R13" i="2"/>
  <c r="R12" i="2"/>
  <c r="R11" i="2"/>
  <c r="R9" i="2"/>
  <c r="R8" i="2"/>
  <c r="R7" i="2"/>
  <c r="R5" i="2"/>
  <c r="R3" i="2"/>
  <c r="R2" i="2"/>
  <c r="J22" i="9" l="1"/>
  <c r="O22" i="9"/>
  <c r="D22" i="27"/>
  <c r="I4" i="27"/>
  <c r="D4" i="27"/>
  <c r="B10" i="27" s="1"/>
  <c r="I33" i="27"/>
  <c r="H33" i="27"/>
  <c r="G33" i="27"/>
  <c r="F33" i="27"/>
  <c r="E33" i="27"/>
  <c r="D33" i="27"/>
  <c r="C33" i="27"/>
  <c r="K28" i="27"/>
  <c r="J28" i="27"/>
  <c r="F22" i="27" s="1"/>
  <c r="K27" i="27"/>
  <c r="J27" i="27"/>
  <c r="A27" i="27"/>
  <c r="T22" i="27"/>
  <c r="M33" i="27" s="1"/>
  <c r="P22" i="27"/>
  <c r="Q22" i="27" s="1"/>
  <c r="O22" i="27"/>
  <c r="L22" i="27"/>
  <c r="J22" i="27"/>
  <c r="N21" i="27"/>
  <c r="J16" i="27"/>
  <c r="H16" i="27"/>
  <c r="G16" i="27"/>
  <c r="K10" i="27"/>
  <c r="J10" i="27"/>
  <c r="I10" i="27"/>
  <c r="H10" i="27"/>
  <c r="L10" i="27" s="1"/>
  <c r="G10" i="27"/>
  <c r="E10" i="27"/>
  <c r="D10" i="27"/>
  <c r="C10" i="27"/>
  <c r="O4" i="27"/>
  <c r="N4" i="27"/>
  <c r="M4" i="27"/>
  <c r="L4" i="27"/>
  <c r="K4" i="27"/>
  <c r="L22" i="26"/>
  <c r="F22" i="26"/>
  <c r="D22" i="26"/>
  <c r="J27" i="26"/>
  <c r="J22" i="26"/>
  <c r="T22" i="26" s="1"/>
  <c r="M33" i="26" s="1"/>
  <c r="I33" i="26"/>
  <c r="H33" i="26"/>
  <c r="G33" i="26"/>
  <c r="F33" i="26"/>
  <c r="E33" i="26"/>
  <c r="D33" i="26"/>
  <c r="C33" i="26"/>
  <c r="K28" i="26"/>
  <c r="J28" i="26"/>
  <c r="K27" i="26"/>
  <c r="A27" i="26"/>
  <c r="Q22" i="26"/>
  <c r="P22" i="26"/>
  <c r="O22" i="26"/>
  <c r="N21" i="26"/>
  <c r="J16" i="26"/>
  <c r="H16" i="26"/>
  <c r="G16" i="26"/>
  <c r="K10" i="26"/>
  <c r="J10" i="26"/>
  <c r="I10" i="26"/>
  <c r="H10" i="26"/>
  <c r="G10" i="26"/>
  <c r="E10" i="26"/>
  <c r="D10" i="26"/>
  <c r="C10" i="26"/>
  <c r="B10" i="26"/>
  <c r="O4" i="26"/>
  <c r="N4" i="26"/>
  <c r="M4" i="26"/>
  <c r="L4" i="26"/>
  <c r="K4" i="26"/>
  <c r="J27" i="17"/>
  <c r="L22" i="25"/>
  <c r="D22" i="25"/>
  <c r="O22" i="25"/>
  <c r="I33" i="25"/>
  <c r="H33" i="25"/>
  <c r="G33" i="25"/>
  <c r="F33" i="25"/>
  <c r="E33" i="25"/>
  <c r="D33" i="25"/>
  <c r="C33" i="25"/>
  <c r="K28" i="25"/>
  <c r="J28" i="25"/>
  <c r="K27" i="25"/>
  <c r="J27" i="25"/>
  <c r="J22" i="25"/>
  <c r="T22" i="25" s="1"/>
  <c r="M33" i="25" s="1"/>
  <c r="I22" i="25"/>
  <c r="S22" i="25" s="1"/>
  <c r="N21" i="25"/>
  <c r="J16" i="25"/>
  <c r="H16" i="25"/>
  <c r="G16" i="25"/>
  <c r="D16" i="25"/>
  <c r="K10" i="25"/>
  <c r="J10" i="25"/>
  <c r="I10" i="25"/>
  <c r="H10" i="25"/>
  <c r="G10" i="25"/>
  <c r="E10" i="25"/>
  <c r="D10" i="25"/>
  <c r="C10" i="25"/>
  <c r="B10" i="25"/>
  <c r="O4" i="25"/>
  <c r="N4" i="25"/>
  <c r="M4" i="25"/>
  <c r="L4" i="25"/>
  <c r="K4" i="25"/>
  <c r="D22" i="24"/>
  <c r="I33" i="24"/>
  <c r="H33" i="24"/>
  <c r="G33" i="24"/>
  <c r="F33" i="24"/>
  <c r="E33" i="24"/>
  <c r="D33" i="24"/>
  <c r="C33" i="24"/>
  <c r="K28" i="24"/>
  <c r="J28" i="24"/>
  <c r="F22" i="24" s="1"/>
  <c r="K27" i="24"/>
  <c r="J27" i="24"/>
  <c r="A27" i="24"/>
  <c r="O22" i="24"/>
  <c r="P22" i="24" s="1"/>
  <c r="Q22" i="24" s="1"/>
  <c r="L22" i="24"/>
  <c r="J22" i="24"/>
  <c r="T22" i="24" s="1"/>
  <c r="M33" i="24" s="1"/>
  <c r="N21" i="24"/>
  <c r="J16" i="24"/>
  <c r="H16" i="24"/>
  <c r="G16" i="24"/>
  <c r="K10" i="24"/>
  <c r="J10" i="24"/>
  <c r="I10" i="24"/>
  <c r="H10" i="24"/>
  <c r="G10" i="24"/>
  <c r="E10" i="24"/>
  <c r="D10" i="24"/>
  <c r="C10" i="24"/>
  <c r="B10" i="24"/>
  <c r="O4" i="24"/>
  <c r="N4" i="24"/>
  <c r="M4" i="24"/>
  <c r="L4" i="24"/>
  <c r="K4" i="24"/>
  <c r="B37" i="15"/>
  <c r="H10" i="12"/>
  <c r="D22" i="15"/>
  <c r="D22" i="6"/>
  <c r="O22" i="23"/>
  <c r="L22" i="23"/>
  <c r="L22" i="22"/>
  <c r="I33" i="23"/>
  <c r="H33" i="23"/>
  <c r="G33" i="23"/>
  <c r="F33" i="23"/>
  <c r="E33" i="23"/>
  <c r="D33" i="23"/>
  <c r="C33" i="23"/>
  <c r="K28" i="23"/>
  <c r="J28" i="23"/>
  <c r="F22" i="23" s="1"/>
  <c r="K27" i="23"/>
  <c r="J27" i="23"/>
  <c r="A27" i="23"/>
  <c r="T22" i="23"/>
  <c r="M33" i="23" s="1"/>
  <c r="P22" i="23"/>
  <c r="Q22" i="23" s="1"/>
  <c r="J22" i="23"/>
  <c r="D22" i="23"/>
  <c r="N21" i="23"/>
  <c r="J16" i="23"/>
  <c r="H16" i="23"/>
  <c r="G16" i="23"/>
  <c r="K10" i="23"/>
  <c r="J10" i="23"/>
  <c r="I10" i="23"/>
  <c r="H10" i="23"/>
  <c r="G10" i="23"/>
  <c r="E10" i="23"/>
  <c r="D10" i="23"/>
  <c r="C10" i="23"/>
  <c r="B10" i="23"/>
  <c r="O4" i="23"/>
  <c r="N4" i="23"/>
  <c r="M4" i="23"/>
  <c r="L4" i="23"/>
  <c r="K4" i="23"/>
  <c r="I29" i="22"/>
  <c r="J16" i="22"/>
  <c r="I33" i="22"/>
  <c r="H33" i="22"/>
  <c r="G33" i="22"/>
  <c r="F33" i="22"/>
  <c r="E33" i="22"/>
  <c r="D33" i="22"/>
  <c r="C33" i="22"/>
  <c r="K28" i="22"/>
  <c r="J28" i="22"/>
  <c r="F22" i="22" s="1"/>
  <c r="K27" i="22"/>
  <c r="J27" i="22"/>
  <c r="A27" i="22"/>
  <c r="P22" i="22"/>
  <c r="Q22" i="22" s="1"/>
  <c r="J22" i="22"/>
  <c r="T22" i="22" s="1"/>
  <c r="M33" i="22" s="1"/>
  <c r="N21" i="22"/>
  <c r="H16" i="22"/>
  <c r="G16" i="22"/>
  <c r="K10" i="22"/>
  <c r="J10" i="22"/>
  <c r="I10" i="22"/>
  <c r="H10" i="22"/>
  <c r="G10" i="22"/>
  <c r="E10" i="22"/>
  <c r="D10" i="22"/>
  <c r="C10" i="22"/>
  <c r="B10" i="22"/>
  <c r="O4" i="22"/>
  <c r="N4" i="22"/>
  <c r="L10" i="22" s="1"/>
  <c r="M4" i="22"/>
  <c r="L4" i="22"/>
  <c r="K4" i="22"/>
  <c r="E2" i="2"/>
  <c r="F2" i="2"/>
  <c r="G2" i="2"/>
  <c r="H2" i="2"/>
  <c r="I2" i="2"/>
  <c r="J2" i="2"/>
  <c r="K2" i="2"/>
  <c r="M2" i="2"/>
  <c r="O2" i="2"/>
  <c r="E3" i="2"/>
  <c r="F3" i="2"/>
  <c r="G3" i="2"/>
  <c r="H3" i="2"/>
  <c r="I3" i="2"/>
  <c r="J3" i="2"/>
  <c r="K3" i="2"/>
  <c r="M3" i="2"/>
  <c r="O3" i="2"/>
  <c r="E4" i="2"/>
  <c r="F4" i="2"/>
  <c r="G4" i="2"/>
  <c r="H4" i="2"/>
  <c r="I4" i="2"/>
  <c r="J4" i="2"/>
  <c r="K4" i="2"/>
  <c r="M4" i="2"/>
  <c r="O4" i="2"/>
  <c r="E5" i="2"/>
  <c r="F5" i="2"/>
  <c r="G5" i="2"/>
  <c r="H5" i="2"/>
  <c r="I5" i="2"/>
  <c r="J5" i="2"/>
  <c r="K5" i="2"/>
  <c r="M5" i="2"/>
  <c r="O5" i="2"/>
  <c r="H7" i="2"/>
  <c r="M7" i="2"/>
  <c r="O7" i="2"/>
  <c r="E8" i="2"/>
  <c r="F8" i="2"/>
  <c r="G8" i="2"/>
  <c r="H8" i="2"/>
  <c r="I8" i="2"/>
  <c r="J8" i="2"/>
  <c r="K8" i="2"/>
  <c r="M8" i="2"/>
  <c r="O8" i="2"/>
  <c r="E9" i="2"/>
  <c r="F9" i="2"/>
  <c r="G9" i="2"/>
  <c r="H9" i="2"/>
  <c r="I9" i="2"/>
  <c r="J9" i="2"/>
  <c r="K9" i="2"/>
  <c r="M9" i="2"/>
  <c r="O9" i="2"/>
  <c r="E10" i="2"/>
  <c r="F10" i="2"/>
  <c r="M10" i="2"/>
  <c r="E11" i="2"/>
  <c r="F11" i="2"/>
  <c r="G11" i="2"/>
  <c r="H11" i="2"/>
  <c r="I11" i="2"/>
  <c r="J11" i="2"/>
  <c r="K11" i="2"/>
  <c r="L11" i="2"/>
  <c r="M11" i="2"/>
  <c r="N11" i="2"/>
  <c r="O11" i="2"/>
  <c r="E12" i="2"/>
  <c r="F12" i="2"/>
  <c r="G12" i="2"/>
  <c r="H12" i="2"/>
  <c r="I12" i="2"/>
  <c r="J12" i="2"/>
  <c r="K12" i="2"/>
  <c r="M12" i="2"/>
  <c r="O12" i="2"/>
  <c r="E13" i="2"/>
  <c r="F13" i="2"/>
  <c r="G13" i="2"/>
  <c r="H13" i="2"/>
  <c r="I13" i="2"/>
  <c r="J13" i="2"/>
  <c r="K13" i="2"/>
  <c r="M13" i="2"/>
  <c r="E14" i="2"/>
  <c r="F14" i="2"/>
  <c r="G14" i="2"/>
  <c r="H14" i="2"/>
  <c r="I14" i="2"/>
  <c r="J14" i="2"/>
  <c r="K14" i="2"/>
  <c r="M14" i="2"/>
  <c r="O14" i="2"/>
  <c r="E15" i="2"/>
  <c r="M15" i="2"/>
  <c r="O15" i="2"/>
  <c r="E16" i="2"/>
  <c r="F16" i="2"/>
  <c r="G16" i="2"/>
  <c r="H16" i="2"/>
  <c r="I16" i="2"/>
  <c r="J16" i="2"/>
  <c r="K16" i="2"/>
  <c r="M16" i="2"/>
  <c r="O16" i="2"/>
  <c r="J17" i="2"/>
  <c r="M17" i="2"/>
  <c r="O17" i="2"/>
  <c r="E18" i="2"/>
  <c r="M18" i="2"/>
  <c r="E19" i="2"/>
  <c r="F19" i="2"/>
  <c r="G19" i="2"/>
  <c r="H19" i="2"/>
  <c r="I19" i="2"/>
  <c r="J19" i="2"/>
  <c r="K19" i="2"/>
  <c r="M19" i="2"/>
  <c r="O19" i="2"/>
  <c r="N22" i="21"/>
  <c r="M10" i="21"/>
  <c r="N10" i="21"/>
  <c r="H22" i="21" s="1"/>
  <c r="I33" i="21"/>
  <c r="H33" i="21"/>
  <c r="G33" i="21"/>
  <c r="F33" i="21"/>
  <c r="E33" i="21"/>
  <c r="D33" i="21"/>
  <c r="C33" i="21"/>
  <c r="K28" i="21"/>
  <c r="J28" i="21"/>
  <c r="F22" i="21" s="1"/>
  <c r="K27" i="21"/>
  <c r="J27" i="21"/>
  <c r="A27" i="21"/>
  <c r="T22" i="21"/>
  <c r="M33" i="21" s="1"/>
  <c r="O22" i="21"/>
  <c r="P22" i="21" s="1"/>
  <c r="Q22" i="21" s="1"/>
  <c r="L22" i="21"/>
  <c r="J22" i="21"/>
  <c r="D22" i="21"/>
  <c r="N21" i="21"/>
  <c r="J16" i="21"/>
  <c r="H16" i="21"/>
  <c r="G16" i="21"/>
  <c r="K10" i="21"/>
  <c r="J10" i="21"/>
  <c r="I10" i="21"/>
  <c r="H10" i="21"/>
  <c r="G10" i="21"/>
  <c r="E10" i="21"/>
  <c r="D10" i="21"/>
  <c r="C10" i="21"/>
  <c r="B10" i="21"/>
  <c r="O4" i="21"/>
  <c r="N4" i="21"/>
  <c r="M4" i="21"/>
  <c r="L4" i="21"/>
  <c r="K4" i="21"/>
  <c r="D3" i="2"/>
  <c r="I33" i="18"/>
  <c r="H33" i="18"/>
  <c r="G33" i="18"/>
  <c r="F33" i="18"/>
  <c r="E33" i="18"/>
  <c r="D33" i="18"/>
  <c r="C33" i="18"/>
  <c r="I33" i="17"/>
  <c r="K18" i="2" s="1"/>
  <c r="H33" i="17"/>
  <c r="J18" i="2" s="1"/>
  <c r="G33" i="17"/>
  <c r="I18" i="2" s="1"/>
  <c r="F33" i="17"/>
  <c r="H18" i="2" s="1"/>
  <c r="E33" i="17"/>
  <c r="G18" i="2" s="1"/>
  <c r="D33" i="17"/>
  <c r="F18" i="2" s="1"/>
  <c r="C33" i="17"/>
  <c r="M33" i="16"/>
  <c r="I33" i="16"/>
  <c r="K17" i="2" s="1"/>
  <c r="H33" i="16"/>
  <c r="G33" i="16"/>
  <c r="I17" i="2" s="1"/>
  <c r="F33" i="16"/>
  <c r="H17" i="2" s="1"/>
  <c r="E33" i="16"/>
  <c r="G17" i="2" s="1"/>
  <c r="D33" i="16"/>
  <c r="F17" i="2" s="1"/>
  <c r="C33" i="16"/>
  <c r="E17" i="2" s="1"/>
  <c r="M33" i="14"/>
  <c r="I33" i="14"/>
  <c r="H33" i="14"/>
  <c r="G33" i="14"/>
  <c r="F33" i="14"/>
  <c r="E33" i="14"/>
  <c r="D33" i="14"/>
  <c r="C33" i="14"/>
  <c r="M33" i="12"/>
  <c r="I33" i="12"/>
  <c r="K15" i="2" s="1"/>
  <c r="H33" i="12"/>
  <c r="J15" i="2" s="1"/>
  <c r="G33" i="12"/>
  <c r="I15" i="2" s="1"/>
  <c r="F33" i="12"/>
  <c r="H15" i="2" s="1"/>
  <c r="E33" i="12"/>
  <c r="G15" i="2" s="1"/>
  <c r="D33" i="12"/>
  <c r="F15" i="2" s="1"/>
  <c r="C33" i="12"/>
  <c r="M33" i="13"/>
  <c r="I33" i="13"/>
  <c r="H33" i="13"/>
  <c r="G33" i="13"/>
  <c r="F33" i="13"/>
  <c r="E33" i="13"/>
  <c r="D33" i="13"/>
  <c r="C33" i="13"/>
  <c r="M33" i="15"/>
  <c r="I33" i="15"/>
  <c r="H33" i="15"/>
  <c r="G33" i="15"/>
  <c r="F33" i="15"/>
  <c r="E33" i="15"/>
  <c r="D33" i="15"/>
  <c r="C33" i="15"/>
  <c r="I33" i="11"/>
  <c r="H33" i="11"/>
  <c r="G33" i="11"/>
  <c r="F33" i="11"/>
  <c r="E33" i="11"/>
  <c r="D33" i="11"/>
  <c r="C33" i="11"/>
  <c r="J33" i="10"/>
  <c r="L33" i="10" s="1"/>
  <c r="I33" i="10"/>
  <c r="H33" i="10"/>
  <c r="G33" i="10"/>
  <c r="F33" i="10"/>
  <c r="E33" i="10"/>
  <c r="D33" i="10"/>
  <c r="C33" i="10"/>
  <c r="I33" i="9"/>
  <c r="K10" i="2" s="1"/>
  <c r="H33" i="9"/>
  <c r="J10" i="2" s="1"/>
  <c r="G33" i="9"/>
  <c r="I10" i="2" s="1"/>
  <c r="F33" i="9"/>
  <c r="H10" i="2" s="1"/>
  <c r="E33" i="9"/>
  <c r="G10" i="2" s="1"/>
  <c r="D33" i="9"/>
  <c r="C33" i="9"/>
  <c r="M33" i="8"/>
  <c r="I33" i="8"/>
  <c r="H33" i="8"/>
  <c r="G33" i="8"/>
  <c r="F33" i="8"/>
  <c r="E33" i="8"/>
  <c r="D33" i="8"/>
  <c r="C33" i="8"/>
  <c r="M33" i="19"/>
  <c r="I33" i="19"/>
  <c r="H33" i="19"/>
  <c r="G33" i="19"/>
  <c r="F33" i="19"/>
  <c r="E33" i="19"/>
  <c r="D33" i="19"/>
  <c r="C33" i="19"/>
  <c r="I33" i="20"/>
  <c r="K7" i="2" s="1"/>
  <c r="H33" i="20"/>
  <c r="J7" i="2" s="1"/>
  <c r="G33" i="20"/>
  <c r="I7" i="2" s="1"/>
  <c r="F33" i="20"/>
  <c r="E33" i="20"/>
  <c r="G7" i="2" s="1"/>
  <c r="D33" i="20"/>
  <c r="F7" i="2" s="1"/>
  <c r="C33" i="20"/>
  <c r="E7" i="2" s="1"/>
  <c r="M33" i="6"/>
  <c r="I33" i="6"/>
  <c r="H33" i="6"/>
  <c r="G33" i="6"/>
  <c r="F33" i="6"/>
  <c r="E33" i="6"/>
  <c r="D33" i="6"/>
  <c r="C33" i="6"/>
  <c r="M33" i="5"/>
  <c r="I33" i="5"/>
  <c r="H33" i="5"/>
  <c r="G33" i="5"/>
  <c r="F33" i="5"/>
  <c r="E33" i="5"/>
  <c r="D33" i="5"/>
  <c r="C33" i="5"/>
  <c r="M33" i="4"/>
  <c r="I33" i="4"/>
  <c r="H33" i="4"/>
  <c r="G33" i="4"/>
  <c r="F33" i="4"/>
  <c r="E33" i="4"/>
  <c r="D33" i="4"/>
  <c r="C33" i="4"/>
  <c r="M33" i="1"/>
  <c r="K28" i="20"/>
  <c r="J28" i="20"/>
  <c r="F22" i="20" s="1"/>
  <c r="K27" i="20"/>
  <c r="J27" i="20"/>
  <c r="A27" i="20"/>
  <c r="O22" i="20"/>
  <c r="P22" i="20" s="1"/>
  <c r="L22" i="20"/>
  <c r="J22" i="20"/>
  <c r="T22" i="20" s="1"/>
  <c r="M33" i="20" s="1"/>
  <c r="N21" i="20"/>
  <c r="J16" i="20"/>
  <c r="H16" i="20"/>
  <c r="G16" i="20"/>
  <c r="K10" i="20"/>
  <c r="J10" i="20"/>
  <c r="I10" i="20"/>
  <c r="H10" i="20"/>
  <c r="G10" i="20"/>
  <c r="E10" i="20"/>
  <c r="D10" i="20"/>
  <c r="C10" i="20"/>
  <c r="B10" i="20"/>
  <c r="O4" i="20"/>
  <c r="M4" i="20"/>
  <c r="L4" i="20"/>
  <c r="K4" i="20"/>
  <c r="L22" i="19"/>
  <c r="O22" i="19"/>
  <c r="K28" i="19"/>
  <c r="J28" i="19"/>
  <c r="F22" i="19" s="1"/>
  <c r="K27" i="19"/>
  <c r="J27" i="19"/>
  <c r="A27" i="19"/>
  <c r="J22" i="19"/>
  <c r="T22" i="19" s="1"/>
  <c r="D22" i="19"/>
  <c r="N21" i="19"/>
  <c r="J16" i="19"/>
  <c r="H16" i="19"/>
  <c r="G16" i="19"/>
  <c r="K10" i="19"/>
  <c r="J10" i="19"/>
  <c r="I10" i="19"/>
  <c r="H10" i="19"/>
  <c r="G10" i="19"/>
  <c r="E10" i="19"/>
  <c r="D10" i="19"/>
  <c r="C10" i="19"/>
  <c r="B10" i="19"/>
  <c r="O4" i="19"/>
  <c r="M4" i="19"/>
  <c r="L4" i="19"/>
  <c r="K4" i="19"/>
  <c r="J22" i="18"/>
  <c r="T22" i="18" s="1"/>
  <c r="M33" i="18" s="1"/>
  <c r="D22" i="18"/>
  <c r="K28" i="18"/>
  <c r="J28" i="18"/>
  <c r="K27" i="18"/>
  <c r="J27" i="18"/>
  <c r="A27" i="18"/>
  <c r="L22" i="18"/>
  <c r="F22" i="18"/>
  <c r="N21" i="18"/>
  <c r="J16" i="18"/>
  <c r="H16" i="18"/>
  <c r="G16" i="18"/>
  <c r="K10" i="18"/>
  <c r="J10" i="18"/>
  <c r="I10" i="18"/>
  <c r="H10" i="18"/>
  <c r="G10" i="18"/>
  <c r="E10" i="18"/>
  <c r="D10" i="18"/>
  <c r="C10" i="18"/>
  <c r="B10" i="18"/>
  <c r="O4" i="18"/>
  <c r="M4" i="18"/>
  <c r="L4" i="18"/>
  <c r="K4" i="18"/>
  <c r="K28" i="17"/>
  <c r="J28" i="17"/>
  <c r="F22" i="17" s="1"/>
  <c r="K27" i="17"/>
  <c r="L10" i="17" s="1"/>
  <c r="M10" i="17" s="1"/>
  <c r="N10" i="17" s="1"/>
  <c r="L22" i="17"/>
  <c r="J22" i="17"/>
  <c r="T22" i="17" s="1"/>
  <c r="M33" i="17" s="1"/>
  <c r="O18" i="2" s="1"/>
  <c r="N21" i="17"/>
  <c r="J16" i="17"/>
  <c r="H16" i="17"/>
  <c r="G16" i="17"/>
  <c r="K10" i="17"/>
  <c r="I10" i="17"/>
  <c r="G10" i="17"/>
  <c r="E10" i="17"/>
  <c r="D10" i="17"/>
  <c r="C10" i="17"/>
  <c r="B10" i="17"/>
  <c r="O4" i="17"/>
  <c r="M4" i="17"/>
  <c r="K4" i="17"/>
  <c r="G16" i="16"/>
  <c r="K28" i="16"/>
  <c r="J28" i="16"/>
  <c r="F22" i="16" s="1"/>
  <c r="K27" i="16"/>
  <c r="J27" i="16"/>
  <c r="A27" i="16"/>
  <c r="L22" i="16"/>
  <c r="J22" i="16"/>
  <c r="T22" i="16" s="1"/>
  <c r="N21" i="16"/>
  <c r="J16" i="16"/>
  <c r="H16" i="16"/>
  <c r="K10" i="16"/>
  <c r="J10" i="16"/>
  <c r="I10" i="16"/>
  <c r="H10" i="16"/>
  <c r="G10" i="16"/>
  <c r="E10" i="16"/>
  <c r="D10" i="16"/>
  <c r="C10" i="16"/>
  <c r="B10" i="16"/>
  <c r="O4" i="16"/>
  <c r="M4" i="16"/>
  <c r="L4" i="16"/>
  <c r="K4" i="16"/>
  <c r="F22" i="14"/>
  <c r="O22" i="16"/>
  <c r="P22" i="16" s="1"/>
  <c r="C12" i="3"/>
  <c r="L22" i="15" s="1"/>
  <c r="G22" i="15"/>
  <c r="N22" i="15"/>
  <c r="K27" i="15"/>
  <c r="D16" i="15"/>
  <c r="M10" i="15"/>
  <c r="G22" i="9"/>
  <c r="G22" i="10"/>
  <c r="O22" i="10"/>
  <c r="L22" i="10"/>
  <c r="L22" i="9"/>
  <c r="O22" i="8"/>
  <c r="L22" i="8"/>
  <c r="D16" i="8"/>
  <c r="K10" i="5"/>
  <c r="O22" i="4"/>
  <c r="J22" i="1"/>
  <c r="L22" i="12"/>
  <c r="D22" i="12"/>
  <c r="B33" i="12"/>
  <c r="K28" i="12"/>
  <c r="J28" i="12"/>
  <c r="K27" i="12"/>
  <c r="J27" i="12"/>
  <c r="A27" i="12"/>
  <c r="J22" i="12"/>
  <c r="T22" i="12" s="1"/>
  <c r="N21" i="12"/>
  <c r="J16" i="12"/>
  <c r="H16" i="12"/>
  <c r="G16" i="12"/>
  <c r="K10" i="12"/>
  <c r="J10" i="12"/>
  <c r="G10" i="12"/>
  <c r="E10" i="12"/>
  <c r="D10" i="12"/>
  <c r="C10" i="12"/>
  <c r="B10" i="12"/>
  <c r="O4" i="12"/>
  <c r="M4" i="12"/>
  <c r="L4" i="12"/>
  <c r="K4" i="12"/>
  <c r="K28" i="15"/>
  <c r="J28" i="15"/>
  <c r="F22" i="15" s="1"/>
  <c r="J27" i="15"/>
  <c r="A27" i="15"/>
  <c r="J22" i="15"/>
  <c r="T22" i="15" s="1"/>
  <c r="N21" i="15"/>
  <c r="J16" i="15"/>
  <c r="H16" i="15"/>
  <c r="G16" i="15"/>
  <c r="K10" i="15"/>
  <c r="J10" i="15"/>
  <c r="I10" i="15"/>
  <c r="H10" i="15"/>
  <c r="G10" i="15"/>
  <c r="E10" i="15"/>
  <c r="D10" i="15"/>
  <c r="C10" i="15"/>
  <c r="B10" i="15"/>
  <c r="O4" i="15"/>
  <c r="M4" i="15"/>
  <c r="L4" i="15"/>
  <c r="K4" i="15"/>
  <c r="L22" i="14"/>
  <c r="K28" i="14"/>
  <c r="J28" i="14"/>
  <c r="K27" i="14"/>
  <c r="J27" i="14"/>
  <c r="A27" i="14"/>
  <c r="J22" i="14"/>
  <c r="T22" i="14" s="1"/>
  <c r="D22" i="14"/>
  <c r="N21" i="14"/>
  <c r="J16" i="14"/>
  <c r="K10" i="14"/>
  <c r="J10" i="14"/>
  <c r="I10" i="14"/>
  <c r="H10" i="14"/>
  <c r="G10" i="14"/>
  <c r="E10" i="14"/>
  <c r="D10" i="14"/>
  <c r="C10" i="14"/>
  <c r="B10" i="14"/>
  <c r="O4" i="14"/>
  <c r="M4" i="14"/>
  <c r="L4" i="14"/>
  <c r="K4" i="14"/>
  <c r="D22" i="13"/>
  <c r="L22" i="13"/>
  <c r="K28" i="13"/>
  <c r="J28" i="13"/>
  <c r="F22" i="13" s="1"/>
  <c r="K27" i="13"/>
  <c r="J27" i="13"/>
  <c r="A27" i="13"/>
  <c r="J22" i="13"/>
  <c r="T22" i="13" s="1"/>
  <c r="N21" i="13"/>
  <c r="J16" i="13"/>
  <c r="H16" i="13"/>
  <c r="G16" i="13"/>
  <c r="K10" i="13"/>
  <c r="J10" i="13"/>
  <c r="I10" i="13"/>
  <c r="H10" i="13"/>
  <c r="G10" i="13"/>
  <c r="E10" i="13"/>
  <c r="D10" i="13"/>
  <c r="C10" i="13"/>
  <c r="B10" i="13"/>
  <c r="O4" i="13"/>
  <c r="M4" i="13"/>
  <c r="L4" i="13"/>
  <c r="K4" i="13"/>
  <c r="D22" i="11"/>
  <c r="K28" i="11"/>
  <c r="K27" i="11"/>
  <c r="J27" i="11"/>
  <c r="A27" i="11"/>
  <c r="J22" i="11"/>
  <c r="T22" i="11" s="1"/>
  <c r="M33" i="11" s="1"/>
  <c r="O13" i="2" s="1"/>
  <c r="N21" i="11"/>
  <c r="J16" i="11"/>
  <c r="H16" i="11"/>
  <c r="G16" i="11"/>
  <c r="K10" i="11"/>
  <c r="J10" i="11"/>
  <c r="I10" i="11"/>
  <c r="H10" i="11"/>
  <c r="G10" i="11"/>
  <c r="E10" i="11"/>
  <c r="D10" i="11"/>
  <c r="C10" i="11"/>
  <c r="B10" i="11"/>
  <c r="O4" i="11"/>
  <c r="M4" i="11"/>
  <c r="L4" i="11"/>
  <c r="K4" i="11"/>
  <c r="K28" i="10"/>
  <c r="J28" i="10"/>
  <c r="K27" i="10"/>
  <c r="J27" i="10"/>
  <c r="A27" i="10"/>
  <c r="J22" i="10"/>
  <c r="T22" i="10" s="1"/>
  <c r="M33" i="10" s="1"/>
  <c r="N21" i="10"/>
  <c r="J16" i="10"/>
  <c r="H16" i="10"/>
  <c r="G16" i="10"/>
  <c r="K10" i="10"/>
  <c r="J10" i="10"/>
  <c r="I10" i="10"/>
  <c r="H10" i="10"/>
  <c r="G10" i="10"/>
  <c r="E10" i="10"/>
  <c r="D10" i="10"/>
  <c r="C10" i="10"/>
  <c r="B10" i="10"/>
  <c r="O4" i="10"/>
  <c r="M4" i="10"/>
  <c r="L4" i="10"/>
  <c r="K4" i="10"/>
  <c r="H4" i="9"/>
  <c r="I4" i="9"/>
  <c r="G4" i="9"/>
  <c r="H10" i="9" s="1"/>
  <c r="C4" i="9"/>
  <c r="C10" i="9" s="1"/>
  <c r="D4" i="9"/>
  <c r="E4" i="9"/>
  <c r="J10" i="9" s="1"/>
  <c r="B4" i="9"/>
  <c r="G10" i="9" s="1"/>
  <c r="K27" i="9"/>
  <c r="K28" i="9"/>
  <c r="J28" i="9"/>
  <c r="J27" i="9"/>
  <c r="T22" i="9"/>
  <c r="M33" i="9" s="1"/>
  <c r="O10" i="2" s="1"/>
  <c r="N21" i="9"/>
  <c r="J16" i="9"/>
  <c r="H16" i="9"/>
  <c r="G16" i="9"/>
  <c r="K10" i="9"/>
  <c r="O4" i="9"/>
  <c r="M4" i="9"/>
  <c r="L4" i="9"/>
  <c r="K4" i="9"/>
  <c r="H16" i="8"/>
  <c r="N22" i="8"/>
  <c r="I10" i="8"/>
  <c r="K28" i="8"/>
  <c r="J28" i="8"/>
  <c r="K27" i="8"/>
  <c r="J27" i="8"/>
  <c r="J22" i="8"/>
  <c r="T22" i="8" s="1"/>
  <c r="N21" i="8"/>
  <c r="J16" i="8"/>
  <c r="G16" i="8"/>
  <c r="K10" i="8"/>
  <c r="J10" i="8"/>
  <c r="H10" i="8"/>
  <c r="G10" i="8"/>
  <c r="E10" i="8"/>
  <c r="D10" i="8"/>
  <c r="C10" i="8"/>
  <c r="B10" i="8"/>
  <c r="O4" i="8"/>
  <c r="M4" i="8"/>
  <c r="L4" i="8"/>
  <c r="K4" i="8"/>
  <c r="D22" i="5"/>
  <c r="C5" i="2"/>
  <c r="I16" i="27" l="1"/>
  <c r="M10" i="27"/>
  <c r="N10" i="27" s="1"/>
  <c r="I16" i="26"/>
  <c r="L10" i="26"/>
  <c r="M10" i="26" s="1"/>
  <c r="N10" i="26" s="1"/>
  <c r="H22" i="26" s="1"/>
  <c r="I22" i="26" s="1"/>
  <c r="L33" i="8"/>
  <c r="N9" i="2" s="1"/>
  <c r="L9" i="2"/>
  <c r="I16" i="16"/>
  <c r="I16" i="25"/>
  <c r="L10" i="25"/>
  <c r="M10" i="25" s="1"/>
  <c r="J33" i="25"/>
  <c r="L33" i="25" s="1"/>
  <c r="L10" i="24"/>
  <c r="M10" i="24" s="1"/>
  <c r="N10" i="24" s="1"/>
  <c r="H22" i="24" s="1"/>
  <c r="I22" i="24" s="1"/>
  <c r="S22" i="24" s="1"/>
  <c r="I16" i="24"/>
  <c r="I16" i="23"/>
  <c r="L10" i="23"/>
  <c r="M10" i="23" s="1"/>
  <c r="N10" i="23" s="1"/>
  <c r="H22" i="23" s="1"/>
  <c r="I22" i="23" s="1"/>
  <c r="S22" i="23" s="1"/>
  <c r="I16" i="22"/>
  <c r="M10" i="22"/>
  <c r="N10" i="22" s="1"/>
  <c r="H22" i="22" s="1"/>
  <c r="I22" i="22" s="1"/>
  <c r="S22" i="22" s="1"/>
  <c r="I16" i="21"/>
  <c r="L10" i="21"/>
  <c r="I22" i="21" s="1"/>
  <c r="S22" i="21" s="1"/>
  <c r="Q22" i="20"/>
  <c r="I16" i="20"/>
  <c r="Q22" i="16"/>
  <c r="D12" i="3"/>
  <c r="O22" i="15" s="1"/>
  <c r="P22" i="15" s="1"/>
  <c r="Q22" i="15" s="1"/>
  <c r="P22" i="19"/>
  <c r="Q22" i="19" s="1"/>
  <c r="O22" i="17"/>
  <c r="P22" i="17" s="1"/>
  <c r="O22" i="18"/>
  <c r="P22" i="18" s="1"/>
  <c r="Q22" i="18" s="1"/>
  <c r="I16" i="19"/>
  <c r="I16" i="18"/>
  <c r="I16" i="17"/>
  <c r="N10" i="15"/>
  <c r="H22" i="15" s="1"/>
  <c r="I22" i="15" s="1"/>
  <c r="S22" i="15" s="1"/>
  <c r="J33" i="15" s="1"/>
  <c r="I16" i="15"/>
  <c r="I16" i="12"/>
  <c r="I16" i="13"/>
  <c r="I16" i="11"/>
  <c r="P22" i="10"/>
  <c r="Q22" i="10" s="1"/>
  <c r="I16" i="10"/>
  <c r="I22" i="10"/>
  <c r="B10" i="9"/>
  <c r="D10" i="9"/>
  <c r="E10" i="9"/>
  <c r="I10" i="9"/>
  <c r="I16" i="9"/>
  <c r="I16" i="8"/>
  <c r="P22" i="8"/>
  <c r="Q22" i="8" s="1"/>
  <c r="I22" i="8"/>
  <c r="S22" i="8" s="1"/>
  <c r="J33" i="8" s="1"/>
  <c r="J28" i="6"/>
  <c r="K28" i="6"/>
  <c r="K27" i="6"/>
  <c r="J27" i="6"/>
  <c r="A27" i="6"/>
  <c r="F22" i="6"/>
  <c r="L22" i="6"/>
  <c r="O22" i="6" s="1"/>
  <c r="J22" i="6"/>
  <c r="T22" i="6" s="1"/>
  <c r="N21" i="6"/>
  <c r="J16" i="6"/>
  <c r="H16" i="6"/>
  <c r="I16" i="6" s="1"/>
  <c r="G16" i="6"/>
  <c r="K10" i="6"/>
  <c r="J10" i="6"/>
  <c r="I10" i="6"/>
  <c r="H10" i="6"/>
  <c r="G10" i="6"/>
  <c r="E10" i="6"/>
  <c r="D10" i="6"/>
  <c r="C10" i="6"/>
  <c r="B10" i="6"/>
  <c r="O4" i="6"/>
  <c r="M4" i="6"/>
  <c r="L4" i="6"/>
  <c r="K4" i="6"/>
  <c r="I22" i="27" l="1"/>
  <c r="S22" i="27" s="1"/>
  <c r="H22" i="27"/>
  <c r="B37" i="26"/>
  <c r="B38" i="26" s="1"/>
  <c r="N22" i="25"/>
  <c r="P22" i="25" s="1"/>
  <c r="Q22" i="25" s="1"/>
  <c r="B37" i="25" s="1"/>
  <c r="B38" i="25" s="1"/>
  <c r="S22" i="26"/>
  <c r="B37" i="27"/>
  <c r="B38" i="27" s="1"/>
  <c r="J33" i="27"/>
  <c r="L33" i="27" s="1"/>
  <c r="B39" i="27"/>
  <c r="J33" i="26"/>
  <c r="B39" i="26"/>
  <c r="B37" i="24"/>
  <c r="B38" i="24" s="1"/>
  <c r="J33" i="24"/>
  <c r="L33" i="24" s="1"/>
  <c r="B39" i="24"/>
  <c r="L33" i="15"/>
  <c r="N12" i="2" s="1"/>
  <c r="L12" i="2"/>
  <c r="B39" i="23"/>
  <c r="B37" i="23"/>
  <c r="B38" i="23" s="1"/>
  <c r="J33" i="23"/>
  <c r="L33" i="23" s="1"/>
  <c r="B39" i="22"/>
  <c r="B37" i="22"/>
  <c r="B38" i="22" s="1"/>
  <c r="J33" i="22"/>
  <c r="L33" i="22" s="1"/>
  <c r="B39" i="21"/>
  <c r="B37" i="21"/>
  <c r="B38" i="21" s="1"/>
  <c r="J33" i="21"/>
  <c r="L33" i="21" s="1"/>
  <c r="P22" i="6"/>
  <c r="Q22" i="6" s="1"/>
  <c r="D9" i="3"/>
  <c r="S22" i="10"/>
  <c r="B39" i="15"/>
  <c r="B38" i="15"/>
  <c r="N10" i="25" l="1"/>
  <c r="B39" i="25"/>
  <c r="L33" i="26"/>
  <c r="N6" i="2" s="1"/>
  <c r="L6" i="2"/>
  <c r="B37" i="10"/>
  <c r="B38" i="10" s="1"/>
  <c r="B39" i="10"/>
  <c r="B39" i="8"/>
  <c r="B37" i="8"/>
  <c r="B38" i="8" s="1"/>
  <c r="D13" i="3"/>
  <c r="C4" i="2"/>
  <c r="L22" i="5"/>
  <c r="K28" i="5"/>
  <c r="J28" i="5"/>
  <c r="K27" i="5"/>
  <c r="J27" i="5"/>
  <c r="A27" i="5"/>
  <c r="F22" i="5"/>
  <c r="J22" i="5"/>
  <c r="T22" i="5" s="1"/>
  <c r="N21" i="5"/>
  <c r="J16" i="5"/>
  <c r="H16" i="5"/>
  <c r="I16" i="5" s="1"/>
  <c r="G16" i="5"/>
  <c r="J10" i="5"/>
  <c r="I10" i="5"/>
  <c r="H10" i="5"/>
  <c r="G10" i="5"/>
  <c r="E10" i="5"/>
  <c r="D10" i="5"/>
  <c r="C10" i="5"/>
  <c r="B10" i="5"/>
  <c r="O4" i="5"/>
  <c r="M4" i="5"/>
  <c r="L4" i="5"/>
  <c r="K4" i="5"/>
  <c r="O22" i="13" l="1"/>
  <c r="P22" i="13" s="1"/>
  <c r="Q22" i="13" s="1"/>
  <c r="O22" i="11"/>
  <c r="P22" i="11" s="1"/>
  <c r="L22" i="11"/>
  <c r="O22" i="14"/>
  <c r="P22" i="14" s="1"/>
  <c r="Q22" i="14" s="1"/>
  <c r="O22" i="12"/>
  <c r="C3" i="2" l="1"/>
  <c r="P22" i="4"/>
  <c r="Q22" i="4" s="1"/>
  <c r="D33" i="1"/>
  <c r="E33" i="1"/>
  <c r="F33" i="1"/>
  <c r="G33" i="1"/>
  <c r="H33" i="1"/>
  <c r="I33" i="1"/>
  <c r="C33" i="1"/>
  <c r="K28" i="4"/>
  <c r="J28" i="4"/>
  <c r="K27" i="4"/>
  <c r="J27" i="4"/>
  <c r="A27" i="4"/>
  <c r="F22" i="4"/>
  <c r="L22" i="4"/>
  <c r="J22" i="4"/>
  <c r="T22" i="4" s="1"/>
  <c r="N21" i="4"/>
  <c r="J16" i="4"/>
  <c r="H16" i="4"/>
  <c r="G16" i="4"/>
  <c r="K10" i="4"/>
  <c r="J10" i="4"/>
  <c r="I10" i="4"/>
  <c r="H10" i="4"/>
  <c r="G10" i="4"/>
  <c r="E10" i="4"/>
  <c r="D10" i="4"/>
  <c r="C10" i="4"/>
  <c r="B10" i="4"/>
  <c r="O4" i="4"/>
  <c r="M4" i="4"/>
  <c r="L4" i="4"/>
  <c r="K4" i="4"/>
  <c r="I16" i="4" l="1"/>
  <c r="L22" i="1" l="1"/>
  <c r="L4" i="1"/>
  <c r="M4" i="1"/>
  <c r="N4" i="1"/>
  <c r="O4" i="1"/>
  <c r="K4" i="1"/>
  <c r="I3" i="3"/>
  <c r="N4" i="20"/>
  <c r="L10" i="20" s="1"/>
  <c r="M10" i="20" s="1"/>
  <c r="N10" i="20" s="1"/>
  <c r="H22" i="20" s="1"/>
  <c r="I22" i="20" s="1"/>
  <c r="S22" i="20" s="1"/>
  <c r="J33" i="20" s="1"/>
  <c r="K28" i="1"/>
  <c r="J28" i="1"/>
  <c r="K27" i="1"/>
  <c r="J27" i="1"/>
  <c r="A27" i="1"/>
  <c r="J16" i="1"/>
  <c r="F22" i="1"/>
  <c r="N21" i="1"/>
  <c r="I16" i="1"/>
  <c r="H16" i="1"/>
  <c r="G16" i="1"/>
  <c r="K10" i="1"/>
  <c r="J10" i="1"/>
  <c r="I10" i="1"/>
  <c r="H10" i="1"/>
  <c r="G10" i="1"/>
  <c r="E10" i="1"/>
  <c r="D10" i="1"/>
  <c r="C10" i="1"/>
  <c r="B10" i="1"/>
  <c r="L33" i="20" l="1"/>
  <c r="N7" i="2" s="1"/>
  <c r="L7" i="2"/>
  <c r="B39" i="20"/>
  <c r="B37" i="20"/>
  <c r="B38" i="20" s="1"/>
  <c r="L10" i="1"/>
  <c r="M10" i="1" s="1"/>
  <c r="N10" i="1" s="1"/>
  <c r="H22" i="1" s="1"/>
  <c r="I22" i="1" s="1"/>
  <c r="N4" i="15"/>
  <c r="L10" i="15" s="1"/>
  <c r="N4" i="16"/>
  <c r="L10" i="16" s="1"/>
  <c r="M10" i="16" s="1"/>
  <c r="N10" i="16" s="1"/>
  <c r="H22" i="16" s="1"/>
  <c r="I22" i="16" s="1"/>
  <c r="S22" i="16" s="1"/>
  <c r="J33" i="16" s="1"/>
  <c r="N4" i="14"/>
  <c r="L10" i="14" s="1"/>
  <c r="M10" i="14" s="1"/>
  <c r="N10" i="14" s="1"/>
  <c r="H22" i="14" s="1"/>
  <c r="I22" i="14" s="1"/>
  <c r="S22" i="14" s="1"/>
  <c r="J33" i="14" s="1"/>
  <c r="N4" i="9"/>
  <c r="L10" i="9" s="1"/>
  <c r="M10" i="9" s="1"/>
  <c r="N22" i="9" s="1"/>
  <c r="Q10" i="2" s="1"/>
  <c r="N4" i="12"/>
  <c r="L10" i="12" s="1"/>
  <c r="M10" i="12" s="1"/>
  <c r="N4" i="10"/>
  <c r="L10" i="10" s="1"/>
  <c r="M10" i="10" s="1"/>
  <c r="N10" i="10" s="1"/>
  <c r="N4" i="18"/>
  <c r="L10" i="18" s="1"/>
  <c r="M10" i="18" s="1"/>
  <c r="N10" i="18" s="1"/>
  <c r="H22" i="18" s="1"/>
  <c r="N4" i="13"/>
  <c r="L10" i="13" s="1"/>
  <c r="M10" i="13" s="1"/>
  <c r="N10" i="13" s="1"/>
  <c r="H22" i="13" s="1"/>
  <c r="I22" i="13" s="1"/>
  <c r="S22" i="13" s="1"/>
  <c r="J33" i="13" s="1"/>
  <c r="N4" i="11"/>
  <c r="L10" i="11" s="1"/>
  <c r="M10" i="11" s="1"/>
  <c r="N10" i="11" s="1"/>
  <c r="N4" i="19"/>
  <c r="L10" i="19" s="1"/>
  <c r="M10" i="19" s="1"/>
  <c r="N10" i="19" s="1"/>
  <c r="N4" i="8"/>
  <c r="L10" i="8" s="1"/>
  <c r="M10" i="8" s="1"/>
  <c r="N10" i="8" s="1"/>
  <c r="N4" i="6"/>
  <c r="L10" i="6" s="1"/>
  <c r="M10" i="6" s="1"/>
  <c r="N10" i="6" s="1"/>
  <c r="H22" i="6" s="1"/>
  <c r="I22" i="6" s="1"/>
  <c r="S22" i="6" s="1"/>
  <c r="J33" i="6" s="1"/>
  <c r="N4" i="5"/>
  <c r="L10" i="5" s="1"/>
  <c r="M10" i="5" s="1"/>
  <c r="N10" i="5" s="1"/>
  <c r="H22" i="5" s="1"/>
  <c r="I22" i="5" s="1"/>
  <c r="S22" i="5" s="1"/>
  <c r="N4" i="4"/>
  <c r="L10" i="4" s="1"/>
  <c r="M10" i="4" s="1"/>
  <c r="N10" i="4" s="1"/>
  <c r="H22" i="4" s="1"/>
  <c r="I22" i="4" s="1"/>
  <c r="S22" i="4" s="1"/>
  <c r="J33" i="4" s="1"/>
  <c r="S22" i="1"/>
  <c r="J33" i="1" s="1"/>
  <c r="L2" i="2" s="1"/>
  <c r="O22" i="1"/>
  <c r="P22" i="1" s="1"/>
  <c r="Q22" i="1" s="1"/>
  <c r="N22" i="12" l="1"/>
  <c r="Q15" i="2" s="1"/>
  <c r="L16" i="2"/>
  <c r="L33" i="14"/>
  <c r="N16" i="2" s="1"/>
  <c r="L33" i="4"/>
  <c r="N3" i="2" s="1"/>
  <c r="L3" i="2"/>
  <c r="O22" i="5"/>
  <c r="J33" i="5"/>
  <c r="H22" i="11"/>
  <c r="I22" i="11" s="1"/>
  <c r="S22" i="11" s="1"/>
  <c r="L33" i="13"/>
  <c r="N14" i="2" s="1"/>
  <c r="L14" i="2"/>
  <c r="I22" i="17"/>
  <c r="S22" i="17" s="1"/>
  <c r="L33" i="16"/>
  <c r="N17" i="2" s="1"/>
  <c r="L17" i="2"/>
  <c r="L33" i="6"/>
  <c r="N5" i="2" s="1"/>
  <c r="L5" i="2"/>
  <c r="H22" i="19"/>
  <c r="I22" i="19" s="1"/>
  <c r="S22" i="19" s="1"/>
  <c r="J33" i="19" s="1"/>
  <c r="B39" i="16"/>
  <c r="B37" i="16"/>
  <c r="B38" i="16" s="1"/>
  <c r="B39" i="1"/>
  <c r="B37" i="1"/>
  <c r="B38" i="1" s="1"/>
  <c r="B39" i="4"/>
  <c r="B37" i="4"/>
  <c r="B38" i="4" s="1"/>
  <c r="P22" i="12"/>
  <c r="Q22" i="12" s="1"/>
  <c r="R15" i="2" s="1"/>
  <c r="S15" i="2" s="1"/>
  <c r="B37" i="14"/>
  <c r="B38" i="14" s="1"/>
  <c r="B39" i="14"/>
  <c r="I22" i="18"/>
  <c r="S22" i="18" s="1"/>
  <c r="J33" i="18" s="1"/>
  <c r="B39" i="6"/>
  <c r="B37" i="6"/>
  <c r="B38" i="6" s="1"/>
  <c r="B37" i="13"/>
  <c r="B38" i="13" s="1"/>
  <c r="B39" i="13"/>
  <c r="J33" i="11" l="1"/>
  <c r="B39" i="11"/>
  <c r="B37" i="11"/>
  <c r="B38" i="11" s="1"/>
  <c r="L33" i="19"/>
  <c r="N8" i="2" s="1"/>
  <c r="L8" i="2"/>
  <c r="P4" i="2"/>
  <c r="P22" i="5"/>
  <c r="Q22" i="5" s="1"/>
  <c r="L33" i="18"/>
  <c r="N19" i="2" s="1"/>
  <c r="L19" i="2"/>
  <c r="L33" i="5"/>
  <c r="N4" i="2" s="1"/>
  <c r="L4" i="2"/>
  <c r="H22" i="12"/>
  <c r="L33" i="11"/>
  <c r="N13" i="2" s="1"/>
  <c r="L13" i="2"/>
  <c r="B38" i="17"/>
  <c r="B39" i="17"/>
  <c r="J33" i="17"/>
  <c r="B39" i="19"/>
  <c r="B37" i="19"/>
  <c r="B38" i="19" s="1"/>
  <c r="B39" i="18"/>
  <c r="B37" i="18"/>
  <c r="B38" i="18" s="1"/>
  <c r="N10" i="12"/>
  <c r="L33" i="1"/>
  <c r="N2" i="2" s="1"/>
  <c r="P22" i="9"/>
  <c r="Q22" i="9" s="1"/>
  <c r="R10" i="2" s="1"/>
  <c r="S10" i="2" s="1"/>
  <c r="N10" i="9"/>
  <c r="H22" i="9" s="1"/>
  <c r="I22" i="9" s="1"/>
  <c r="S22" i="9" s="1"/>
  <c r="J33" i="9" s="1"/>
  <c r="I22" i="12" l="1"/>
  <c r="S22" i="12" s="1"/>
  <c r="J33" i="12" s="1"/>
  <c r="R4" i="2"/>
  <c r="S4" i="2" s="1"/>
  <c r="B37" i="5"/>
  <c r="B38" i="5" s="1"/>
  <c r="B39" i="5"/>
  <c r="L33" i="12"/>
  <c r="N15" i="2" s="1"/>
  <c r="L15" i="2"/>
  <c r="B37" i="12"/>
  <c r="B38" i="12" s="1"/>
  <c r="B39" i="12"/>
  <c r="L33" i="17"/>
  <c r="N18" i="2" s="1"/>
  <c r="L18" i="2"/>
  <c r="L33" i="9"/>
  <c r="N10" i="2" s="1"/>
  <c r="L10" i="2"/>
  <c r="B37" i="9"/>
  <c r="B38" i="9" s="1"/>
  <c r="B39" i="9"/>
</calcChain>
</file>

<file path=xl/sharedStrings.xml><?xml version="1.0" encoding="utf-8"?>
<sst xmlns="http://schemas.openxmlformats.org/spreadsheetml/2006/main" count="2529" uniqueCount="150">
  <si>
    <t>ORIGINAL</t>
  </si>
  <si>
    <t>INCOME M$</t>
  </si>
  <si>
    <t>SHARE M</t>
  </si>
  <si>
    <t>BALANCE m$</t>
  </si>
  <si>
    <t>other</t>
  </si>
  <si>
    <t>NET INCOME</t>
  </si>
  <si>
    <t>EBIT</t>
  </si>
  <si>
    <t>GROSS</t>
  </si>
  <si>
    <t>REVENUE</t>
  </si>
  <si>
    <t>asset</t>
  </si>
  <si>
    <t>equity</t>
  </si>
  <si>
    <t>Debt</t>
  </si>
  <si>
    <t>payout</t>
  </si>
  <si>
    <t>crate</t>
  </si>
  <si>
    <t>mrate</t>
  </si>
  <si>
    <t>grate</t>
  </si>
  <si>
    <t>mult buffer</t>
  </si>
  <si>
    <t>sga eco</t>
  </si>
  <si>
    <t>PROCESSED - GENERAL</t>
  </si>
  <si>
    <t>INCOME</t>
  </si>
  <si>
    <t>combined</t>
  </si>
  <si>
    <t>NET</t>
  </si>
  <si>
    <t>EPS</t>
  </si>
  <si>
    <t>EPS-ADJ</t>
  </si>
  <si>
    <t>roa</t>
  </si>
  <si>
    <t>roa-bit</t>
  </si>
  <si>
    <t>roe</t>
  </si>
  <si>
    <t>rev/asset</t>
  </si>
  <si>
    <t>leverage</t>
  </si>
  <si>
    <t>mult</t>
  </si>
  <si>
    <t>roe-pj</t>
  </si>
  <si>
    <t>PROCESSED - SPECIFIC</t>
  </si>
  <si>
    <t>R&amp;d</t>
  </si>
  <si>
    <t>SGA</t>
  </si>
  <si>
    <t>sga-pj</t>
  </si>
  <si>
    <t>ii_net</t>
  </si>
  <si>
    <t>iii_Net</t>
  </si>
  <si>
    <t>expansion</t>
  </si>
  <si>
    <t>VALUE</t>
  </si>
  <si>
    <t>BASIS</t>
  </si>
  <si>
    <t>2020-2023</t>
  </si>
  <si>
    <t>Growth</t>
  </si>
  <si>
    <t>Past</t>
  </si>
  <si>
    <t>Next</t>
  </si>
  <si>
    <t>next-adj</t>
  </si>
  <si>
    <t>market</t>
  </si>
  <si>
    <t>specific</t>
  </si>
  <si>
    <t>profitibility</t>
  </si>
  <si>
    <t>g-pj</t>
  </si>
  <si>
    <t>avgerage</t>
  </si>
  <si>
    <t>projection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</si>
  <si>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</si>
  <si>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</si>
  <si>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</si>
  <si>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</si>
  <si>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</si>
  <si>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</si>
  <si>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</si>
  <si>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</si>
  <si>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</si>
  <si>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</si>
  <si>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iii_std_down</t>
  </si>
  <si>
    <t>KO-r b$</t>
  </si>
  <si>
    <t>list</t>
  </si>
  <si>
    <t>iv_platy</t>
  </si>
  <si>
    <t>iv_cap</t>
  </si>
  <si>
    <t>x_div</t>
  </si>
  <si>
    <t>KO</t>
  </si>
  <si>
    <t>calculation</t>
  </si>
  <si>
    <t>simple</t>
  </si>
  <si>
    <t>III_LOW</t>
  </si>
  <si>
    <t>G</t>
  </si>
  <si>
    <t>SECTOR</t>
  </si>
  <si>
    <t>CONSUMER PRODUCT</t>
  </si>
  <si>
    <t>SUBSECTOR</t>
  </si>
  <si>
    <t>DRINKS</t>
  </si>
  <si>
    <t>BLOCK 1- CONSENSUS</t>
  </si>
  <si>
    <t>BLOCK 2- SPECIFIC</t>
  </si>
  <si>
    <t>BLOCK 3- PROFITABILITY</t>
  </si>
  <si>
    <t>DIV</t>
  </si>
  <si>
    <t xml:space="preserve"> PROFITABILITY</t>
  </si>
  <si>
    <t>BLOCK 4 - GENERAL</t>
  </si>
  <si>
    <t>MARKET G</t>
  </si>
  <si>
    <t>DIV-PJ</t>
  </si>
  <si>
    <t>D</t>
  </si>
  <si>
    <t>PER</t>
  </si>
  <si>
    <t>GENERAL</t>
  </si>
  <si>
    <t>INFLATION</t>
  </si>
  <si>
    <t>POPULATION</t>
  </si>
  <si>
    <t>EFFICIENCY</t>
  </si>
  <si>
    <t>ECO</t>
  </si>
  <si>
    <t>PEP-r b$</t>
  </si>
  <si>
    <t>PEP</t>
  </si>
  <si>
    <t>STORES</t>
  </si>
  <si>
    <t>cost-r b$</t>
  </si>
  <si>
    <t>COST</t>
  </si>
  <si>
    <t>ulta-r b$</t>
  </si>
  <si>
    <t>ULTA</t>
  </si>
  <si>
    <t>* DEBT REPAYMENT + SGA REDUCTION</t>
  </si>
  <si>
    <t>FSLR</t>
  </si>
  <si>
    <t>fslr-r b$</t>
  </si>
  <si>
    <t>fslr</t>
  </si>
  <si>
    <t>jks</t>
  </si>
  <si>
    <t>jks-r b$</t>
  </si>
  <si>
    <t>cny</t>
  </si>
  <si>
    <t>csiq</t>
  </si>
  <si>
    <t>csiq-r b$</t>
  </si>
  <si>
    <t>ON</t>
  </si>
  <si>
    <t>ON-r b$</t>
  </si>
  <si>
    <t>ENERGY SYSTEM</t>
  </si>
  <si>
    <t>SOLAR</t>
  </si>
  <si>
    <t>EV</t>
  </si>
  <si>
    <t>iii</t>
  </si>
  <si>
    <t>iv</t>
  </si>
  <si>
    <t>MICROGRID</t>
  </si>
  <si>
    <t>mchp</t>
  </si>
  <si>
    <t>mchp-r b$</t>
  </si>
  <si>
    <t>r b$</t>
  </si>
  <si>
    <t>adbe</t>
  </si>
  <si>
    <t>software</t>
  </si>
  <si>
    <t>tech</t>
  </si>
  <si>
    <t>TSLA</t>
  </si>
  <si>
    <t>CRM</t>
  </si>
  <si>
    <t>WACC-PJ</t>
  </si>
  <si>
    <t>Tax credit</t>
  </si>
  <si>
    <t>FINANCE</t>
  </si>
  <si>
    <t>CREDIT</t>
  </si>
  <si>
    <t>V</t>
  </si>
  <si>
    <t>MA</t>
  </si>
  <si>
    <t>JKS</t>
  </si>
  <si>
    <t>CSIQ</t>
  </si>
  <si>
    <t>EV &amp;  MICROGRID</t>
  </si>
  <si>
    <t>MCHP</t>
  </si>
  <si>
    <t>ADBE</t>
  </si>
  <si>
    <t>MSFT</t>
  </si>
  <si>
    <t>GOOG</t>
  </si>
  <si>
    <t>APPL</t>
  </si>
  <si>
    <t>HEALTH</t>
  </si>
  <si>
    <t>MED</t>
  </si>
  <si>
    <t>PFE</t>
  </si>
  <si>
    <t>JNJ</t>
  </si>
  <si>
    <t>ORCL</t>
  </si>
  <si>
    <t>mco</t>
  </si>
  <si>
    <t>x_rate</t>
  </si>
  <si>
    <t>x_roe</t>
  </si>
  <si>
    <t>per</t>
  </si>
  <si>
    <t>TRIP</t>
  </si>
  <si>
    <t>BKNG</t>
  </si>
  <si>
    <t>per-revised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</si>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</sst>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  <font>
      <sz val="11"/>
      <color theme="8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2" fillId="0" borderId="0" xfId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/>
    <xf numFmtId="1" fontId="2" fillId="0" borderId="0" xfId="1" applyNumberFormat="1" applyFont="1" applyAlignment="1">
      <alignment horizontal="center" vertical="center"/>
    </xf>
    <xf numFmtId="165" fontId="2" fillId="0" borderId="0" xfId="0" applyNumberFormat="1" applyFont="1"/>
    <xf numFmtId="165" fontId="2" fillId="0" borderId="0" xfId="1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9" fontId="2" fillId="3" borderId="0" xfId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9" fontId="2" fillId="4" borderId="0" xfId="1" applyFont="1" applyFill="1" applyAlignment="1">
      <alignment horizontal="center" vertical="center"/>
    </xf>
    <xf numFmtId="1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3644-7B34-48EC-8E23-3EBFFA1BB42C}">
  <dimension ref="A1:I15"/>
  <sheetViews>
    <sheetView workbookViewId="0">
      <selection activeCell="A7" sqref="A7:D15"/>
    </sheetView>
  </sheetViews>
  <sheetFormatPr defaultColWidth="8.88671875" defaultRowHeight="15" x14ac:dyDescent="0.3"/>
  <cols>
    <col min="1" max="17" width="15.6640625" style="14" customWidth="1"/>
    <col min="18" max="16384" width="8.88671875" style="14"/>
  </cols>
  <sheetData>
    <row r="1" spans="1:9" x14ac:dyDescent="0.3">
      <c r="A1" s="14" t="s">
        <v>86</v>
      </c>
    </row>
    <row r="2" spans="1:9" x14ac:dyDescent="0.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4" t="s">
        <v>87</v>
      </c>
      <c r="G2" s="14" t="s">
        <v>88</v>
      </c>
      <c r="H2" s="14" t="s">
        <v>89</v>
      </c>
      <c r="I2" s="14" t="s">
        <v>90</v>
      </c>
    </row>
    <row r="3" spans="1:9" x14ac:dyDescent="0.3">
      <c r="A3" s="3">
        <v>0.05</v>
      </c>
      <c r="B3" s="3">
        <v>0.1</v>
      </c>
      <c r="C3" s="3"/>
      <c r="D3" s="2">
        <f>196/84</f>
        <v>2.3333333333333335</v>
      </c>
      <c r="E3" s="3"/>
      <c r="F3" s="14">
        <v>3</v>
      </c>
      <c r="G3" s="14">
        <v>2</v>
      </c>
      <c r="H3" s="14">
        <v>1</v>
      </c>
      <c r="I3" s="14">
        <f>SUM(F3:H3)</f>
        <v>6</v>
      </c>
    </row>
    <row r="7" spans="1:9" x14ac:dyDescent="0.3">
      <c r="A7" s="14" t="s">
        <v>72</v>
      </c>
      <c r="C7" s="14" t="s">
        <v>112</v>
      </c>
      <c r="D7" s="14" t="s">
        <v>113</v>
      </c>
    </row>
    <row r="8" spans="1:9" x14ac:dyDescent="0.3">
      <c r="A8" s="14" t="s">
        <v>73</v>
      </c>
      <c r="B8" s="14" t="s">
        <v>75</v>
      </c>
      <c r="C8" s="16">
        <v>0.06</v>
      </c>
      <c r="D8" s="16">
        <v>0.06</v>
      </c>
    </row>
    <row r="9" spans="1:9" x14ac:dyDescent="0.3">
      <c r="A9" s="14" t="s">
        <v>73</v>
      </c>
      <c r="B9" s="14" t="s">
        <v>93</v>
      </c>
      <c r="C9" s="16">
        <v>0.06</v>
      </c>
      <c r="D9" s="16">
        <f>C9</f>
        <v>0.06</v>
      </c>
    </row>
    <row r="10" spans="1:9" x14ac:dyDescent="0.3">
      <c r="A10" s="14" t="s">
        <v>125</v>
      </c>
      <c r="B10" s="14" t="s">
        <v>126</v>
      </c>
      <c r="C10" s="16">
        <v>0.15</v>
      </c>
      <c r="D10" s="16">
        <v>0.06</v>
      </c>
    </row>
    <row r="11" spans="1:9" x14ac:dyDescent="0.3">
      <c r="A11" s="14" t="s">
        <v>109</v>
      </c>
      <c r="B11" s="14" t="s">
        <v>110</v>
      </c>
      <c r="C11" s="16">
        <v>7.0000000000000007E-2</v>
      </c>
      <c r="D11" s="16">
        <v>0.02</v>
      </c>
    </row>
    <row r="12" spans="1:9" x14ac:dyDescent="0.3">
      <c r="A12" s="14" t="s">
        <v>109</v>
      </c>
      <c r="B12" s="14" t="s">
        <v>111</v>
      </c>
      <c r="C12" s="16">
        <f>5^(1/30)-1+0.03</f>
        <v>8.5113063536227579E-2</v>
      </c>
      <c r="D12" s="16">
        <f>C12</f>
        <v>8.5113063536227579E-2</v>
      </c>
    </row>
    <row r="13" spans="1:9" x14ac:dyDescent="0.3">
      <c r="A13" s="14" t="s">
        <v>109</v>
      </c>
      <c r="B13" s="14" t="s">
        <v>114</v>
      </c>
      <c r="C13" s="16">
        <v>0.1</v>
      </c>
      <c r="D13" s="16">
        <f>D9</f>
        <v>0.06</v>
      </c>
    </row>
    <row r="14" spans="1:9" x14ac:dyDescent="0.3">
      <c r="A14" s="14" t="s">
        <v>120</v>
      </c>
      <c r="B14" s="14" t="s">
        <v>119</v>
      </c>
      <c r="C14" s="16">
        <v>0.15</v>
      </c>
      <c r="D14" s="16">
        <v>0.06</v>
      </c>
    </row>
    <row r="15" spans="1:9" x14ac:dyDescent="0.3">
      <c r="A15" s="14" t="s">
        <v>137</v>
      </c>
      <c r="B15" s="14" t="s">
        <v>138</v>
      </c>
      <c r="C15" s="16">
        <v>0.05</v>
      </c>
      <c r="D15" s="16">
        <v>0.05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CDC4-F320-4BFA-8D75-0C0381B860A9}">
  <dimension ref="A1:T39"/>
  <sheetViews>
    <sheetView topLeftCell="A12" workbookViewId="0">
      <selection activeCell="N14" sqref="N14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96223</v>
      </c>
      <c r="C4" s="1">
        <v>120166</v>
      </c>
      <c r="D4" s="1">
        <v>0</v>
      </c>
      <c r="E4" s="1">
        <v>439337</v>
      </c>
      <c r="F4" s="1">
        <v>2174</v>
      </c>
      <c r="G4" s="1">
        <v>1069978</v>
      </c>
      <c r="H4" s="1">
        <v>561273</v>
      </c>
      <c r="I4" s="1">
        <v>499208</v>
      </c>
      <c r="J4" s="2">
        <v>0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1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</v>
      </c>
      <c r="C10" s="5">
        <f>C4/E4</f>
        <v>0.27351668536909024</v>
      </c>
      <c r="D10" s="6">
        <f>B4/E4</f>
        <v>0.2190186576591546</v>
      </c>
      <c r="E10" s="7">
        <f>B4/F4</f>
        <v>44.260809567617294</v>
      </c>
      <c r="G10" s="5">
        <f>B4/G4</f>
        <v>8.9929886408879431E-2</v>
      </c>
      <c r="H10" s="5">
        <f>C4/G4</f>
        <v>0.11230698201271427</v>
      </c>
      <c r="I10" s="5">
        <f>B4/H4</f>
        <v>0.17143707251195051</v>
      </c>
      <c r="J10" s="19">
        <f>E4/G4</f>
        <v>0.41060376942329657</v>
      </c>
      <c r="K10" s="2">
        <f>G4/H4</f>
        <v>1.9063414773203058</v>
      </c>
      <c r="L10" s="2">
        <f>(H10-K4)/K27/N4</f>
        <v>18.510446302469806</v>
      </c>
      <c r="M10" s="8">
        <f>I10</f>
        <v>0.17143707251195051</v>
      </c>
      <c r="N10" s="5">
        <f>MIN(M10,N22)/K10+K4*(K10-1)/K10</f>
        <v>0.11370163685608489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/>
      <c r="E16" s="5"/>
      <c r="F16" s="8"/>
      <c r="G16" s="17">
        <f>E27*$F4/1000/E28</f>
        <v>0.12763663535439795</v>
      </c>
      <c r="H16" s="17">
        <f>H27*$F4/1000/H28</f>
        <v>0.12351774235392464</v>
      </c>
      <c r="I16" s="8">
        <f>H16-G16</f>
        <v>-4.1188930004733143E-3</v>
      </c>
      <c r="J16" s="3">
        <f>J4/E27</f>
        <v>0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0.16439999999999999</v>
      </c>
      <c r="C22" s="9">
        <v>0.23300000000000001</v>
      </c>
      <c r="D22" s="3">
        <f>C22</f>
        <v>0.23300000000000001</v>
      </c>
      <c r="F22" s="3">
        <f>J28</f>
        <v>1.8350698043961833E-2</v>
      </c>
      <c r="G22" s="3">
        <v>0</v>
      </c>
      <c r="H22" s="3">
        <f>MAX((MIN(I10,N22)*(1-J16)-SUM(F22:G22))*N10,0)</f>
        <v>1.7406171357373875E-2</v>
      </c>
      <c r="I22" s="3">
        <f>SUM(F22:H22)</f>
        <v>3.5756869401335711E-2</v>
      </c>
      <c r="J22" s="5">
        <f>J4/B33</f>
        <v>0</v>
      </c>
      <c r="L22" s="3">
        <f>OI!C10</f>
        <v>0.15</v>
      </c>
      <c r="N22" s="10">
        <f>M10</f>
        <v>0.17143707251195051</v>
      </c>
      <c r="O22" s="3">
        <f>OI!D10</f>
        <v>0.06</v>
      </c>
      <c r="P22" s="3">
        <f>N22-O22</f>
        <v>0.11143707251195051</v>
      </c>
      <c r="Q22" s="13">
        <f>P22/(L4-O22)/N22</f>
        <v>16.250433887947782</v>
      </c>
      <c r="S22" s="5">
        <f>SUM(D22,I22,L22)/3</f>
        <v>0.13958562313377856</v>
      </c>
      <c r="T22" s="3">
        <f>J22</f>
        <v>0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tr">
        <f>A33</f>
        <v>MA</v>
      </c>
      <c r="C27" s="1">
        <v>15.78</v>
      </c>
      <c r="D27" s="1">
        <v>18.5</v>
      </c>
      <c r="E27" s="1">
        <v>19.25</v>
      </c>
      <c r="F27" s="1">
        <v>19.7</v>
      </c>
      <c r="G27" s="1">
        <v>19</v>
      </c>
      <c r="H27" s="1">
        <v>19.71</v>
      </c>
      <c r="I27" s="1">
        <v>20.239999999999998</v>
      </c>
      <c r="J27" s="5">
        <f>(H27/C27)^0.5-1</f>
        <v>0.11760879991962958</v>
      </c>
      <c r="K27" s="11">
        <f>(H27-G27)/G4*F4</f>
        <v>1.4425904084009221E-3</v>
      </c>
    </row>
    <row r="28" spans="1:20" x14ac:dyDescent="0.3">
      <c r="A28" s="1" t="s">
        <v>117</v>
      </c>
      <c r="C28" s="1">
        <v>334.52</v>
      </c>
      <c r="D28" s="1">
        <v>327.88</v>
      </c>
      <c r="E28" s="1">
        <v>327.88</v>
      </c>
      <c r="F28" s="1">
        <v>327.88</v>
      </c>
      <c r="G28" s="1">
        <v>346.91</v>
      </c>
      <c r="H28" s="1">
        <v>346.91</v>
      </c>
      <c r="I28" s="1">
        <v>346.91</v>
      </c>
      <c r="J28" s="5">
        <f>(H28/C28)^0.5-1</f>
        <v>1.8350698043961833E-2</v>
      </c>
      <c r="K28" s="11">
        <f>(H28-G28)/G4*1000</f>
        <v>0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128</v>
      </c>
      <c r="B33" s="1">
        <v>443</v>
      </c>
      <c r="C33" s="1">
        <f>C27</f>
        <v>15.78</v>
      </c>
      <c r="D33" s="1">
        <f t="shared" ref="D33:I33" si="0">D27</f>
        <v>18.5</v>
      </c>
      <c r="E33" s="1">
        <f t="shared" si="0"/>
        <v>19.25</v>
      </c>
      <c r="F33" s="1">
        <f t="shared" si="0"/>
        <v>19.7</v>
      </c>
      <c r="G33" s="1">
        <f t="shared" si="0"/>
        <v>19</v>
      </c>
      <c r="H33" s="1">
        <f t="shared" si="0"/>
        <v>19.71</v>
      </c>
      <c r="I33" s="1">
        <f t="shared" si="0"/>
        <v>20.239999999999998</v>
      </c>
      <c r="J33" s="13">
        <f>INT(S22*100)</f>
        <v>13</v>
      </c>
      <c r="K33" s="1">
        <v>1</v>
      </c>
      <c r="L33" s="15">
        <f>100+J33*5</f>
        <v>165</v>
      </c>
      <c r="M33" s="13">
        <f>INT(T22*100)</f>
        <v>0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H27*(1+S22+T22)^10/(1+L4-J22)^12*Q22</f>
        <v>376.97190088998025</v>
      </c>
    </row>
    <row r="38" spans="1:13" x14ac:dyDescent="0.3">
      <c r="A38" s="3">
        <v>0.8</v>
      </c>
      <c r="B38" s="13">
        <f>B37*A38</f>
        <v>301.57752071198422</v>
      </c>
    </row>
    <row r="39" spans="1:13" x14ac:dyDescent="0.3">
      <c r="A39" s="1" t="s">
        <v>70</v>
      </c>
      <c r="B39" s="13">
        <f>G27*(1+S22+T22)^10/(1+L4-J22)^12*Q22</f>
        <v>363.39249705274608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01FB-CA6F-4102-BDC7-689305017E1E}">
  <dimension ref="A1:T39"/>
  <sheetViews>
    <sheetView tabSelected="1" topLeftCell="A7" workbookViewId="0">
      <selection activeCell="I24" sqref="I24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831</v>
      </c>
      <c r="C4" s="1">
        <v>886</v>
      </c>
      <c r="D4" s="1">
        <v>1301</v>
      </c>
      <c r="E4" s="1">
        <v>3319</v>
      </c>
      <c r="F4" s="1">
        <v>107</v>
      </c>
      <c r="G4" s="1">
        <v>10365</v>
      </c>
      <c r="H4" s="1">
        <v>6687</v>
      </c>
      <c r="I4" s="1">
        <v>3678</v>
      </c>
      <c r="J4" s="2">
        <v>0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24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0.39198553781259415</v>
      </c>
      <c r="C10" s="5">
        <f>C4/E4</f>
        <v>0.26694787586622476</v>
      </c>
      <c r="D10" s="6">
        <f>B4/E4</f>
        <v>0.25037661946369388</v>
      </c>
      <c r="E10" s="7">
        <f>B4/F4</f>
        <v>7.7663551401869162</v>
      </c>
      <c r="G10" s="5">
        <f>B4/G4</f>
        <v>8.0173661360347329E-2</v>
      </c>
      <c r="H10" s="5">
        <f>C4/G4</f>
        <v>8.5479980704293301E-2</v>
      </c>
      <c r="I10" s="5">
        <f>B4/H4</f>
        <v>0.12427097353073127</v>
      </c>
      <c r="J10" s="19">
        <f>E4/G4</f>
        <v>0.32021225277375787</v>
      </c>
      <c r="K10" s="2">
        <f>G4/H4</f>
        <v>1.5500224315836697</v>
      </c>
      <c r="L10" s="25">
        <f>(H10-K4)/K27/N4</f>
        <v>0.23911752466492114</v>
      </c>
      <c r="M10" s="5">
        <f>H27*F4/1000/H28*J10*L10+K4*(1-L10)</f>
        <v>6.8770803857800197E-2</v>
      </c>
      <c r="N10" s="5">
        <f>MIN(M10,N22)/K10+K4*(K10-1)/K10</f>
        <v>6.2110020781197289E-2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>
        <f>(D4-C4)/E4</f>
        <v>0.12503766194636939</v>
      </c>
      <c r="E16" s="5"/>
      <c r="F16" s="8"/>
      <c r="G16" s="17">
        <f>E27*$F4/1000/E28</f>
        <v>0.32076327433628321</v>
      </c>
      <c r="H16" s="17">
        <f>H27*$F4/1000/H28</f>
        <v>0.40129734513274329</v>
      </c>
      <c r="I16" s="8">
        <f>H16-G16</f>
        <v>8.0534070796460078E-2</v>
      </c>
      <c r="J16" s="3">
        <f>J4/E27</f>
        <v>0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0.28470000000000001</v>
      </c>
      <c r="C22" s="9">
        <v>0.57999999999999996</v>
      </c>
      <c r="D22" s="10">
        <v>0.14000000000000001</v>
      </c>
      <c r="F22" s="3">
        <v>7.1773462536293103E-2</v>
      </c>
      <c r="G22" s="3">
        <v>7.1773462536293131E-2</v>
      </c>
      <c r="H22" s="3">
        <v>0</v>
      </c>
      <c r="I22" s="3">
        <f>SUM(F22:H22)</f>
        <v>0.14354692507258623</v>
      </c>
      <c r="J22" s="5">
        <f>J4/B33</f>
        <v>0</v>
      </c>
      <c r="L22" s="3">
        <f>OI!C11</f>
        <v>7.0000000000000007E-2</v>
      </c>
      <c r="N22" s="10">
        <f>I10</f>
        <v>0.12427097353073127</v>
      </c>
      <c r="O22" s="3">
        <f>OI!D11</f>
        <v>0.02</v>
      </c>
      <c r="P22" s="3">
        <f>N22-O22</f>
        <v>0.10427097353073127</v>
      </c>
      <c r="Q22" s="13">
        <f>P22/(L4-O22)/N22</f>
        <v>10.48826714801444</v>
      </c>
      <c r="S22" s="5">
        <f>SUM(D22,I22,L22)/3</f>
        <v>0.11784897502419543</v>
      </c>
      <c r="T22" s="3">
        <f>J22</f>
        <v>0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">
        <v>99</v>
      </c>
      <c r="B27" s="1">
        <v>242</v>
      </c>
      <c r="C27" s="1">
        <v>7.74</v>
      </c>
      <c r="D27" s="1">
        <v>13.18</v>
      </c>
      <c r="E27" s="1">
        <v>13.55</v>
      </c>
      <c r="F27" s="1">
        <v>14</v>
      </c>
      <c r="G27" s="1">
        <v>15.03</v>
      </c>
      <c r="H27" s="1">
        <v>21.19</v>
      </c>
      <c r="I27" s="1">
        <v>23.63</v>
      </c>
      <c r="J27" s="5">
        <f>(H27/C27)^0.5-1</f>
        <v>0.65460753600097399</v>
      </c>
      <c r="K27" s="11">
        <f>(H27-G27)/G4*F4</f>
        <v>6.3590931017848545E-2</v>
      </c>
    </row>
    <row r="28" spans="1:20" x14ac:dyDescent="0.3">
      <c r="A28" s="1" t="s">
        <v>100</v>
      </c>
      <c r="B28"/>
      <c r="C28" s="1">
        <v>3.32</v>
      </c>
      <c r="D28" s="1">
        <v>4.4000000000000004</v>
      </c>
      <c r="E28" s="1">
        <v>4.5199999999999996</v>
      </c>
      <c r="F28" s="1">
        <v>4.5999999999999996</v>
      </c>
      <c r="G28" s="1">
        <v>5.35</v>
      </c>
      <c r="H28" s="1">
        <v>5.65</v>
      </c>
      <c r="I28" s="1">
        <v>5.98</v>
      </c>
      <c r="J28" s="5">
        <f>(H28/C28)^0.5-1</f>
        <v>0.30453333760224877</v>
      </c>
      <c r="K28" s="11">
        <f>(H28-G28)/G4*1000</f>
        <v>2.8943560057887188E-2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101</v>
      </c>
      <c r="B33" s="1">
        <v>257</v>
      </c>
      <c r="C33" s="1">
        <f>C27</f>
        <v>7.74</v>
      </c>
      <c r="D33" s="1">
        <f t="shared" ref="D33:I33" si="0">D27</f>
        <v>13.18</v>
      </c>
      <c r="E33" s="1">
        <f t="shared" si="0"/>
        <v>13.55</v>
      </c>
      <c r="F33" s="1">
        <f t="shared" si="0"/>
        <v>14</v>
      </c>
      <c r="G33" s="1">
        <f t="shared" si="0"/>
        <v>15.03</v>
      </c>
      <c r="H33" s="1">
        <f t="shared" si="0"/>
        <v>21.19</v>
      </c>
      <c r="I33" s="1">
        <f t="shared" si="0"/>
        <v>23.63</v>
      </c>
      <c r="J33" s="13">
        <f>INT(S22*100)</f>
        <v>11</v>
      </c>
      <c r="K33" s="1">
        <v>1</v>
      </c>
      <c r="L33" s="15">
        <f>100+J33*5</f>
        <v>155</v>
      </c>
      <c r="M33" s="13">
        <f>INT(T22*100)</f>
        <v>0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H27*(1+S22+T22)^10/(1+L4-J22)^12*Q22</f>
        <v>215.75149065346466</v>
      </c>
    </row>
    <row r="38" spans="1:13" x14ac:dyDescent="0.3">
      <c r="A38" s="3">
        <v>0.8</v>
      </c>
      <c r="B38" s="13">
        <f>B37*A38</f>
        <v>172.60119252277173</v>
      </c>
    </row>
    <row r="39" spans="1:13" x14ac:dyDescent="0.3">
      <c r="A39" s="1" t="s">
        <v>70</v>
      </c>
      <c r="B39" s="13">
        <f>G27*(1+S22+T22)^10/(1+L4-J22)^12*Q22</f>
        <v>153.03185014259432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E6675-0E8E-4F2C-9363-FDD1453A0046}">
  <dimension ref="A1:T39"/>
  <sheetViews>
    <sheetView topLeftCell="A18" workbookViewId="0">
      <selection activeCell="B39" sqref="B39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439</v>
      </c>
      <c r="C4" s="1">
        <v>461</v>
      </c>
      <c r="D4" s="1">
        <v>1058</v>
      </c>
      <c r="E4" s="1">
        <v>2291</v>
      </c>
      <c r="F4" s="1">
        <v>143</v>
      </c>
      <c r="G4" s="1">
        <v>3383</v>
      </c>
      <c r="H4" s="1">
        <v>984</v>
      </c>
      <c r="I4" s="1">
        <v>2399</v>
      </c>
      <c r="J4" s="2">
        <v>0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24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0.46180707114797032</v>
      </c>
      <c r="C10" s="5">
        <f>C4/E4</f>
        <v>0.20122217372326495</v>
      </c>
      <c r="D10" s="6">
        <f>B4/E4</f>
        <v>0.19161938018332605</v>
      </c>
      <c r="E10" s="7">
        <f>B4/F4</f>
        <v>3.06993006993007</v>
      </c>
      <c r="G10" s="5">
        <f>B4/G4</f>
        <v>0.12976647945610406</v>
      </c>
      <c r="H10" s="5">
        <f>C4/G4</f>
        <v>0.13626958321016849</v>
      </c>
      <c r="I10" s="5">
        <f>B4/H4</f>
        <v>0.44613821138211385</v>
      </c>
      <c r="J10" s="19">
        <f>E4/G4</f>
        <v>0.67720957729825604</v>
      </c>
      <c r="K10" s="2">
        <f>G4/H4</f>
        <v>3.4380081300813008</v>
      </c>
      <c r="L10" s="25">
        <f>(H10-K4)/K27/N4</f>
        <v>0.29954634406689196</v>
      </c>
      <c r="M10" s="5">
        <f>H27*F4/1000/H28*J10*L10+K4*(1-L10)</f>
        <v>0.10238806482977258</v>
      </c>
      <c r="N10" s="5">
        <f>MIN(M10,N22)/K10+K4*(K10-1)/K10</f>
        <v>6.523791185116648E-2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>
        <f>(D4-C4)/E4</f>
        <v>0.26058489742470536</v>
      </c>
      <c r="E16" s="5"/>
      <c r="F16" s="8"/>
      <c r="G16" s="17">
        <f>E27*$F4/1000/E28</f>
        <v>0.27228767123287667</v>
      </c>
      <c r="H16" s="17">
        <f>H27*$F4/1000/H28</f>
        <v>0.33208530805687209</v>
      </c>
      <c r="I16" s="8">
        <f>H16-G16</f>
        <v>5.9797636823995415E-2</v>
      </c>
      <c r="J16" s="3">
        <f>J4/E27</f>
        <v>0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0.4481</v>
      </c>
      <c r="C22" s="9">
        <v>0.1525</v>
      </c>
      <c r="D22" s="10">
        <f>C22</f>
        <v>0.1525</v>
      </c>
      <c r="F22" s="3">
        <v>7.1773462536293131E-2</v>
      </c>
      <c r="G22" s="3">
        <v>7.1773462536293131E-2</v>
      </c>
      <c r="H22" s="3">
        <v>0</v>
      </c>
      <c r="I22" s="3">
        <f>SUM(F22:H22)</f>
        <v>0.14354692507258626</v>
      </c>
      <c r="J22" s="5">
        <f>J4/B33</f>
        <v>0</v>
      </c>
      <c r="L22" s="3">
        <f>OI!C11+2^0.1-1</f>
        <v>0.14177346253629319</v>
      </c>
      <c r="N22" s="10">
        <f>M10</f>
        <v>0.10238806482977258</v>
      </c>
      <c r="O22" s="3">
        <f>OI!D13</f>
        <v>0.06</v>
      </c>
      <c r="P22" s="3">
        <f>N22-O22</f>
        <v>4.2388064829772587E-2</v>
      </c>
      <c r="Q22" s="13">
        <f>P22/(L4-O22)/N22</f>
        <v>10.349854961182668</v>
      </c>
      <c r="S22" s="5">
        <f>SUM(D22,I22,L22)/3</f>
        <v>0.14594012920295982</v>
      </c>
      <c r="T22" s="3">
        <f>J22</f>
        <v>0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">
        <v>99</v>
      </c>
      <c r="B27" s="1">
        <v>100</v>
      </c>
      <c r="C27" s="1">
        <v>4.41</v>
      </c>
      <c r="D27" s="1">
        <v>1.86</v>
      </c>
      <c r="E27" s="1">
        <v>2.78</v>
      </c>
      <c r="F27" s="1">
        <v>3.42</v>
      </c>
      <c r="G27" s="1">
        <v>1.98</v>
      </c>
      <c r="H27" s="1">
        <v>4.9000000000000004</v>
      </c>
      <c r="I27" s="1">
        <v>6.52</v>
      </c>
      <c r="J27" s="5">
        <f>(H27/C27)^0.5-1</f>
        <v>5.4092553389459841E-2</v>
      </c>
      <c r="K27" s="11">
        <f>(H27-G27)/G4*F4</f>
        <v>0.12342890925214309</v>
      </c>
    </row>
    <row r="28" spans="1:20" x14ac:dyDescent="0.3">
      <c r="A28" s="1" t="s">
        <v>100</v>
      </c>
      <c r="B28"/>
      <c r="C28" s="1">
        <v>2.29</v>
      </c>
      <c r="D28" s="1">
        <v>1.3</v>
      </c>
      <c r="E28" s="1">
        <v>1.46</v>
      </c>
      <c r="F28" s="1">
        <v>1.62</v>
      </c>
      <c r="G28" s="1">
        <v>1.53</v>
      </c>
      <c r="H28" s="1">
        <v>2.11</v>
      </c>
      <c r="I28" s="1">
        <v>2.5499999999999998</v>
      </c>
      <c r="J28" s="5">
        <f>(H28/C28)^0.5-1</f>
        <v>-4.0105537096570387E-2</v>
      </c>
      <c r="K28" s="11">
        <f>(H28-G28)/G4*1000</f>
        <v>0.17144546260715338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101</v>
      </c>
      <c r="B33" s="1">
        <v>100</v>
      </c>
      <c r="C33" s="1">
        <f>C27</f>
        <v>4.41</v>
      </c>
      <c r="D33" s="1">
        <f t="shared" ref="D33:I33" si="0">D27</f>
        <v>1.86</v>
      </c>
      <c r="E33" s="1">
        <f t="shared" si="0"/>
        <v>2.78</v>
      </c>
      <c r="F33" s="1">
        <f t="shared" si="0"/>
        <v>3.42</v>
      </c>
      <c r="G33" s="1">
        <f t="shared" si="0"/>
        <v>1.98</v>
      </c>
      <c r="H33" s="1">
        <f t="shared" si="0"/>
        <v>4.9000000000000004</v>
      </c>
      <c r="I33" s="1">
        <f t="shared" si="0"/>
        <v>6.52</v>
      </c>
      <c r="J33" s="13">
        <f>INT(S22*100)</f>
        <v>14</v>
      </c>
      <c r="K33" s="1">
        <v>1</v>
      </c>
      <c r="L33" s="15">
        <f>100+J33*5</f>
        <v>170</v>
      </c>
      <c r="M33" s="13">
        <f>INT(T22*100)</f>
        <v>0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H27*(1+S22+T22)^10/(1+L4-J22)^12*Q22</f>
        <v>63.101168661480848</v>
      </c>
    </row>
    <row r="38" spans="1:13" x14ac:dyDescent="0.3">
      <c r="A38" s="3">
        <v>0.8</v>
      </c>
      <c r="B38" s="13">
        <f>B37*A38</f>
        <v>50.480934929184684</v>
      </c>
    </row>
    <row r="39" spans="1:13" x14ac:dyDescent="0.3">
      <c r="A39" s="1" t="s">
        <v>70</v>
      </c>
      <c r="B39" s="13">
        <f>G27*(1+S22+T22)^10/(1+L4-J22)^12*Q22</f>
        <v>25.498023255047364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155AE-19A5-4C14-B633-F8F43EBD6E80}">
  <dimension ref="A1:T39"/>
  <sheetViews>
    <sheetView topLeftCell="A7" workbookViewId="0">
      <selection activeCell="A39" sqref="A39:B39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3">
        <f>B5/7.5</f>
        <v>459.6</v>
      </c>
      <c r="C4" s="13">
        <f t="shared" ref="C4:E4" si="0">C5/7.5</f>
        <v>1054.4000000000001</v>
      </c>
      <c r="D4" s="13">
        <f t="shared" si="0"/>
        <v>2539.7333333333331</v>
      </c>
      <c r="E4" s="13">
        <f t="shared" si="0"/>
        <v>15823.866666666667</v>
      </c>
      <c r="F4" s="1">
        <v>50</v>
      </c>
      <c r="G4" s="13">
        <f>G5/7.5</f>
        <v>18110.8</v>
      </c>
      <c r="H4" s="13">
        <f t="shared" ref="H4:I4" si="1">H5/7.5</f>
        <v>4471.2</v>
      </c>
      <c r="I4" s="13">
        <f t="shared" si="1"/>
        <v>13639.6</v>
      </c>
      <c r="J4" s="2">
        <v>3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A5" s="1" t="s">
        <v>104</v>
      </c>
      <c r="B5" s="1">
        <v>3447</v>
      </c>
      <c r="C5" s="1">
        <v>7908</v>
      </c>
      <c r="D5" s="1">
        <v>19048</v>
      </c>
      <c r="E5" s="1">
        <v>118679</v>
      </c>
      <c r="G5" s="1">
        <v>135831</v>
      </c>
      <c r="H5" s="1">
        <v>33534</v>
      </c>
      <c r="I5" s="1">
        <v>102297</v>
      </c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24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0.1605001727348562</v>
      </c>
      <c r="C10" s="5">
        <f>C4/E4</f>
        <v>6.6633524043849382E-2</v>
      </c>
      <c r="D10" s="6">
        <f>B4/E4</f>
        <v>2.9044734114712797E-2</v>
      </c>
      <c r="E10" s="7">
        <f>B4/F4</f>
        <v>9.1920000000000002</v>
      </c>
      <c r="G10" s="5">
        <f>B4/G4</f>
        <v>2.5377123042604414E-2</v>
      </c>
      <c r="H10" s="5">
        <f>C4/G4</f>
        <v>5.8219404995914048E-2</v>
      </c>
      <c r="I10" s="5">
        <f>B4/H4</f>
        <v>0.10279119699409556</v>
      </c>
      <c r="J10" s="19">
        <f>E4/G4</f>
        <v>0.87372543822838677</v>
      </c>
      <c r="K10" s="2">
        <f>G4/H4</f>
        <v>4.0505457147969226</v>
      </c>
      <c r="L10" s="25">
        <f>(H10-K4)/K27/N4</f>
        <v>0.5523562152133582</v>
      </c>
      <c r="M10" s="5">
        <f>H27*F4/1000/H28*J10*L10+K4*(1-L10)</f>
        <v>2.5780202344058221E-2</v>
      </c>
      <c r="N10" s="5">
        <f>MIN(M10,N22)/K10+K4*(K10-1)/K10</f>
        <v>4.4020608737369585E-2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/>
      <c r="E16" s="5"/>
      <c r="F16" s="8"/>
      <c r="G16" s="17">
        <f>E27*$F4/1000/E28</f>
        <v>1.8505338078291813E-3</v>
      </c>
      <c r="H16" s="17">
        <f>H27*$F4/1000/H28</f>
        <v>7.0409429280397021E-3</v>
      </c>
      <c r="I16" s="8">
        <f>H16-G16</f>
        <v>5.1904091202105204E-3</v>
      </c>
      <c r="J16" s="3">
        <f>J4/E27</f>
        <v>5.7692307692307692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0.2772</v>
      </c>
      <c r="C22" s="9">
        <v>0.36709999999999998</v>
      </c>
      <c r="D22" s="10">
        <v>0.03</v>
      </c>
      <c r="F22" s="3">
        <v>7.0000000000000007E-2</v>
      </c>
      <c r="G22" s="3">
        <f>0.5^0.1-1</f>
        <v>-6.696700846319259E-2</v>
      </c>
      <c r="H22" s="3">
        <f>MAX((MIN(I10,N22)*(1-J16)-SUM(F22:G22))*N10,0)</f>
        <v>0</v>
      </c>
      <c r="I22" s="3">
        <f>SUM(F22:H22)</f>
        <v>3.0329915368074167E-3</v>
      </c>
      <c r="J22" s="8">
        <f>MIN(J4,H27)/B33</f>
        <v>0.1135</v>
      </c>
      <c r="L22" s="3">
        <f>OI!C11</f>
        <v>7.0000000000000007E-2</v>
      </c>
      <c r="N22" s="10">
        <f>M10</f>
        <v>2.5780202344058221E-2</v>
      </c>
      <c r="O22" s="3">
        <f>MIN(OI!D11,0)</f>
        <v>0</v>
      </c>
      <c r="P22" s="3">
        <f>N22-O22</f>
        <v>2.5780202344058221E-2</v>
      </c>
      <c r="Q22" s="13">
        <f>P22/(L4-O22)/N22</f>
        <v>9.9999999999999982</v>
      </c>
      <c r="S22" s="5">
        <f>SUM(D22,I22,L22)/3</f>
        <v>3.4344330512269143E-2</v>
      </c>
      <c r="T22" s="3">
        <f>J22</f>
        <v>0.1135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">
        <v>102</v>
      </c>
      <c r="B27" s="1">
        <v>22</v>
      </c>
      <c r="C27" s="21">
        <v>10.15</v>
      </c>
      <c r="D27" s="21">
        <v>-0.42</v>
      </c>
      <c r="E27" s="21">
        <v>0.52</v>
      </c>
      <c r="F27" s="21">
        <v>2.29</v>
      </c>
      <c r="G27" s="21">
        <v>-0.04</v>
      </c>
      <c r="H27" s="21">
        <v>2.27</v>
      </c>
      <c r="I27" s="21">
        <v>6.37</v>
      </c>
      <c r="J27" s="5">
        <f>(H27/C27)^0.5-1</f>
        <v>-0.52708846472406246</v>
      </c>
      <c r="K27" s="11">
        <f>(H27-G27)/G4*F4</f>
        <v>6.3774101641009794E-3</v>
      </c>
    </row>
    <row r="28" spans="1:20" x14ac:dyDescent="0.3">
      <c r="A28" s="1" t="s">
        <v>103</v>
      </c>
      <c r="B28"/>
      <c r="C28" s="1">
        <v>16.72</v>
      </c>
      <c r="D28" s="1">
        <v>13.63</v>
      </c>
      <c r="E28" s="1">
        <v>14.05</v>
      </c>
      <c r="F28" s="1">
        <v>14.43</v>
      </c>
      <c r="G28" s="1">
        <v>15.52</v>
      </c>
      <c r="H28" s="1">
        <v>16.12</v>
      </c>
      <c r="I28" s="1">
        <v>17.010000000000002</v>
      </c>
      <c r="J28" s="5">
        <f>(H28/C28)^0.5-1</f>
        <v>-1.8106506521259558E-2</v>
      </c>
      <c r="K28" s="11">
        <f>(H28-G28)/G4*1000</f>
        <v>3.3129403449875298E-2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102</v>
      </c>
      <c r="B33" s="1">
        <v>20</v>
      </c>
      <c r="C33" s="1">
        <f>C27</f>
        <v>10.15</v>
      </c>
      <c r="D33" s="1">
        <f t="shared" ref="D33:I33" si="2">D27</f>
        <v>-0.42</v>
      </c>
      <c r="E33" s="1">
        <f t="shared" si="2"/>
        <v>0.52</v>
      </c>
      <c r="F33" s="1">
        <f t="shared" si="2"/>
        <v>2.29</v>
      </c>
      <c r="G33" s="1">
        <f t="shared" si="2"/>
        <v>-0.04</v>
      </c>
      <c r="H33" s="1">
        <f t="shared" si="2"/>
        <v>2.27</v>
      </c>
      <c r="I33" s="1">
        <f t="shared" si="2"/>
        <v>6.37</v>
      </c>
      <c r="J33" s="13">
        <f>INT(S22*100)</f>
        <v>3</v>
      </c>
      <c r="K33" s="1">
        <v>1</v>
      </c>
      <c r="L33" s="15">
        <f>100+J33*5</f>
        <v>115</v>
      </c>
      <c r="M33" s="13">
        <f>INT(T22*100)</f>
        <v>11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H27*(1+S22+T22)^10/(1+L4-J22)^12*Q22</f>
        <v>106.09397391799433</v>
      </c>
    </row>
    <row r="38" spans="1:13" x14ac:dyDescent="0.3">
      <c r="A38" s="3">
        <v>0.8</v>
      </c>
      <c r="B38" s="13">
        <f>B37*A38</f>
        <v>84.875179134395466</v>
      </c>
    </row>
    <row r="39" spans="1:13" x14ac:dyDescent="0.3">
      <c r="A39" s="1" t="s">
        <v>70</v>
      </c>
      <c r="B39" s="13">
        <f>G27*(1+S22+T22)^10/(1+L4-J22)^12*Q22</f>
        <v>-1.869497337762015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B812-1304-4F4C-93F4-E4875299F49E}">
  <dimension ref="A1:T39"/>
  <sheetViews>
    <sheetView topLeftCell="A12" workbookViewId="0">
      <selection activeCell="B34" sqref="B34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274</v>
      </c>
      <c r="C4" s="1">
        <v>448</v>
      </c>
      <c r="D4" s="1">
        <v>1280</v>
      </c>
      <c r="E4" s="1">
        <v>7614</v>
      </c>
      <c r="F4" s="1">
        <v>71</v>
      </c>
      <c r="G4" s="1">
        <v>11896</v>
      </c>
      <c r="H4" s="1">
        <v>2559</v>
      </c>
      <c r="I4" s="1">
        <v>8191</v>
      </c>
      <c r="J4" s="2">
        <v>0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24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0.16811137378513266</v>
      </c>
      <c r="C10" s="5">
        <f>C4/E4</f>
        <v>5.8838980824796425E-2</v>
      </c>
      <c r="D10" s="6">
        <f>B4/E4</f>
        <v>3.5986340950879957E-2</v>
      </c>
      <c r="E10" s="7">
        <f>B4/F4</f>
        <v>3.859154929577465</v>
      </c>
      <c r="G10" s="5">
        <f>B4/G4</f>
        <v>2.3032952252858105E-2</v>
      </c>
      <c r="H10" s="5">
        <f>C4/G4</f>
        <v>3.765971755211836E-2</v>
      </c>
      <c r="I10" s="5">
        <f>B4/H4</f>
        <v>0.10707307542008597</v>
      </c>
      <c r="J10" s="19">
        <f>E4/G4</f>
        <v>0.64004707464694011</v>
      </c>
      <c r="K10" s="2">
        <f>G4/H4</f>
        <v>4.6486908948808132</v>
      </c>
      <c r="L10" s="25">
        <f>(H10-K4)/K27/N4</f>
        <v>-0.29735459738295544</v>
      </c>
      <c r="M10" s="5">
        <f>H27*F4/1000/H28*J10*L10+K4*(1-L10)</f>
        <v>5.8016381774755495E-2</v>
      </c>
      <c r="N10" s="5">
        <f>MIN(M10,N22)/K10+K4*(K10-1)/K10</f>
        <v>5.172443854754534E-2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/>
      <c r="E16" s="5"/>
      <c r="F16" s="8"/>
      <c r="G16" s="17">
        <f>E27*$F4/1000/E28</f>
        <v>2.6323759791122715E-2</v>
      </c>
      <c r="H16" s="17">
        <f>H27*$F4/1000/H28</f>
        <v>3.5998918918918918E-2</v>
      </c>
      <c r="I16" s="8">
        <f>H16-G16</f>
        <v>9.6751591277962033E-3</v>
      </c>
      <c r="J16" s="3">
        <f>J4/E27</f>
        <v>0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-0.09</v>
      </c>
      <c r="C22" s="9">
        <v>0.25</v>
      </c>
      <c r="D22" s="10">
        <v>7.0000000000000007E-2</v>
      </c>
      <c r="F22" s="3">
        <v>7.0000000000000007E-2</v>
      </c>
      <c r="G22" s="3">
        <f>0.5^0.1-1</f>
        <v>-6.696700846319259E-2</v>
      </c>
      <c r="H22" s="3">
        <v>0</v>
      </c>
      <c r="I22" s="3">
        <f>SUM(F22:H22)</f>
        <v>3.0329915368074167E-3</v>
      </c>
      <c r="J22" s="5">
        <f>J4/B33</f>
        <v>0</v>
      </c>
      <c r="L22" s="3">
        <f>OI!C11</f>
        <v>7.0000000000000007E-2</v>
      </c>
      <c r="N22" s="10">
        <v>7.0000000000000007E-2</v>
      </c>
      <c r="O22" s="3">
        <f>OI!D11</f>
        <v>0.02</v>
      </c>
      <c r="P22" s="3">
        <f>N22-O22</f>
        <v>0.05</v>
      </c>
      <c r="Q22" s="13">
        <f>P22/(L4-O22)/N22</f>
        <v>8.928571428571427</v>
      </c>
      <c r="S22" s="5">
        <f>SUM(D22,I22,L22)/3</f>
        <v>4.7677663845602479E-2</v>
      </c>
      <c r="T22" s="3">
        <f>J22</f>
        <v>0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tr">
        <f>A33</f>
        <v>csiq</v>
      </c>
      <c r="B27" s="1">
        <v>16</v>
      </c>
      <c r="C27" s="1">
        <v>3.87</v>
      </c>
      <c r="D27" s="1">
        <v>1.47</v>
      </c>
      <c r="E27" s="1">
        <v>2.84</v>
      </c>
      <c r="F27" s="1">
        <v>4.66</v>
      </c>
      <c r="G27" s="1">
        <v>1.71</v>
      </c>
      <c r="H27" s="1">
        <v>4.6900000000000004</v>
      </c>
      <c r="I27" s="1">
        <v>7.08</v>
      </c>
      <c r="J27" s="5">
        <f>(H27/C27)^0.5-1</f>
        <v>0.10085707742175165</v>
      </c>
      <c r="K27" s="11">
        <f>(H27-G27)/G4*F4</f>
        <v>1.7785810356422328E-2</v>
      </c>
    </row>
    <row r="28" spans="1:20" x14ac:dyDescent="0.3">
      <c r="A28" s="1" t="s">
        <v>106</v>
      </c>
      <c r="B28"/>
      <c r="C28" s="1">
        <v>7.61</v>
      </c>
      <c r="D28" s="1">
        <v>7.16</v>
      </c>
      <c r="E28" s="1">
        <v>7.66</v>
      </c>
      <c r="F28" s="1">
        <v>7.93</v>
      </c>
      <c r="G28" s="1">
        <v>8.25</v>
      </c>
      <c r="H28" s="1">
        <v>9.25</v>
      </c>
      <c r="I28" s="1">
        <v>10.88</v>
      </c>
      <c r="J28" s="5">
        <f>(H28/C28)^0.5-1</f>
        <v>0.10249984728888317</v>
      </c>
      <c r="K28" s="11">
        <f>(H28-G28)/G4*1000</f>
        <v>8.4061869535978481E-2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105</v>
      </c>
      <c r="B33" s="1">
        <v>17</v>
      </c>
      <c r="C33" s="1">
        <f>C27</f>
        <v>3.87</v>
      </c>
      <c r="D33" s="1">
        <f t="shared" ref="D33:I33" si="0">D27</f>
        <v>1.47</v>
      </c>
      <c r="E33" s="1">
        <f t="shared" si="0"/>
        <v>2.84</v>
      </c>
      <c r="F33" s="1">
        <f t="shared" si="0"/>
        <v>4.66</v>
      </c>
      <c r="G33" s="1">
        <f t="shared" si="0"/>
        <v>1.71</v>
      </c>
      <c r="H33" s="1">
        <f t="shared" si="0"/>
        <v>4.6900000000000004</v>
      </c>
      <c r="I33" s="1">
        <f t="shared" si="0"/>
        <v>7.08</v>
      </c>
      <c r="J33" s="13">
        <f>INT(S22*100)</f>
        <v>4</v>
      </c>
      <c r="K33" s="1">
        <v>1</v>
      </c>
      <c r="L33" s="15">
        <f>100+J33*5</f>
        <v>120</v>
      </c>
      <c r="M33" s="13">
        <f>INT(T22*100)</f>
        <v>0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H27*(1+S22+T22)^10/(1+L4-J22)^12*Q22</f>
        <v>21.257855373912776</v>
      </c>
    </row>
    <row r="38" spans="1:13" x14ac:dyDescent="0.3">
      <c r="A38" s="3">
        <v>0.8</v>
      </c>
      <c r="B38" s="13">
        <f>B37*A38</f>
        <v>17.006284299130222</v>
      </c>
    </row>
    <row r="39" spans="1:13" x14ac:dyDescent="0.3">
      <c r="A39" s="1" t="s">
        <v>70</v>
      </c>
      <c r="B39" s="13">
        <f>G27*(1+S22+T22)^10/(1+L4-J22)^12*Q22</f>
        <v>7.7507319167144644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D8064-39CC-4A45-9F60-D47882D2A023}">
  <dimension ref="A1:T39"/>
  <sheetViews>
    <sheetView topLeftCell="A7" workbookViewId="0">
      <selection activeCell="C27" sqref="C27:I27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14999</v>
      </c>
      <c r="C4" s="1">
        <v>8891</v>
      </c>
      <c r="D4" s="1">
        <v>17660</v>
      </c>
      <c r="E4" s="1">
        <v>96773</v>
      </c>
      <c r="F4" s="1">
        <v>3483</v>
      </c>
      <c r="G4" s="1">
        <v>106618</v>
      </c>
      <c r="H4" s="1">
        <v>62634</v>
      </c>
      <c r="I4" s="1">
        <v>43009</v>
      </c>
      <c r="J4" s="2">
        <v>0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B5" s="26" t="s">
        <v>124</v>
      </c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24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0.18248891736331416</v>
      </c>
      <c r="C10" s="5">
        <f>C4/E4</f>
        <v>9.1874799789197395E-2</v>
      </c>
      <c r="D10" s="6">
        <f>B4/E4</f>
        <v>0.15499157822946483</v>
      </c>
      <c r="E10" s="7">
        <f>B4/F4</f>
        <v>4.3063451047947172</v>
      </c>
      <c r="G10" s="5">
        <f>B4/G4</f>
        <v>0.14067981016338704</v>
      </c>
      <c r="H10" s="5">
        <f>C4/G4</f>
        <v>8.3391172222326435E-2</v>
      </c>
      <c r="I10" s="5">
        <f>B4/H4</f>
        <v>0.23947057508701344</v>
      </c>
      <c r="J10" s="19">
        <f>E4/G4</f>
        <v>0.90766099532911892</v>
      </c>
      <c r="K10" s="2">
        <f>G4/H4</f>
        <v>1.7022384008685378</v>
      </c>
      <c r="L10" s="25">
        <f>(H10-K4)/K27/N4</f>
        <v>0.25031904234562041</v>
      </c>
      <c r="M10" s="5">
        <f>H27*F4/1000/H28</f>
        <v>0.1022642487046632</v>
      </c>
      <c r="N10" s="5">
        <f>MIN(M10,N22)/K10+K4*(K10-1)/K10</f>
        <v>8.0703248544972475E-2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>
        <f>(D4-C4)/E4</f>
        <v>9.0614117574116748E-2</v>
      </c>
      <c r="E16" s="5">
        <v>0.09</v>
      </c>
      <c r="F16" s="8"/>
      <c r="G16" s="17">
        <f>E27*$F4/1000/E28</f>
        <v>9.0577813896789927E-2</v>
      </c>
      <c r="H16" s="17">
        <f>H27*$F4/1000/H28</f>
        <v>0.1022642487046632</v>
      </c>
      <c r="I16" s="8">
        <f>H16-G16</f>
        <v>1.1686434807873278E-2</v>
      </c>
      <c r="J16" s="3">
        <f>J4/E27</f>
        <v>0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9.0800000000000006E-2</v>
      </c>
      <c r="C22" s="9">
        <v>0.153</v>
      </c>
      <c r="D22" s="3">
        <f>C22</f>
        <v>0.153</v>
      </c>
      <c r="F22" s="3">
        <f>J28</f>
        <v>9.3915835388496793E-2</v>
      </c>
      <c r="G22" s="3">
        <f>2^(1/10)-1</f>
        <v>7.1773462536293131E-2</v>
      </c>
      <c r="H22" s="3">
        <f>MAX((MIN(I10,N22)*(1-J16)-SUM(F22:G22))*N10,0)</f>
        <v>5.9543887487884259E-3</v>
      </c>
      <c r="I22" s="3">
        <f>SUM(F22:H22)</f>
        <v>0.17164368667357835</v>
      </c>
      <c r="J22" s="5">
        <f>J4/B33</f>
        <v>0</v>
      </c>
      <c r="L22" s="3">
        <f>OI!C12</f>
        <v>8.5113063536227579E-2</v>
      </c>
      <c r="N22" s="10">
        <f>I10</f>
        <v>0.23947057508701344</v>
      </c>
      <c r="O22" s="3">
        <f>OI!D12</f>
        <v>8.5113063536227579E-2</v>
      </c>
      <c r="P22" s="3">
        <f>N22-O22</f>
        <v>0.15435751155078586</v>
      </c>
      <c r="Q22" s="13">
        <f>P22/(L4-O22)/N22</f>
        <v>43.298243307470216</v>
      </c>
      <c r="S22" s="5">
        <f>SUM(D22,I22,L22)/3</f>
        <v>0.13658558340326865</v>
      </c>
      <c r="T22" s="3">
        <f>J22</f>
        <v>0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tr">
        <f>A33</f>
        <v>TSLA</v>
      </c>
      <c r="B27"/>
      <c r="C27" s="1">
        <v>3.12</v>
      </c>
      <c r="D27" s="1">
        <v>1.73</v>
      </c>
      <c r="E27" s="1">
        <v>2.56</v>
      </c>
      <c r="F27" s="1">
        <v>3.41</v>
      </c>
      <c r="G27" s="1">
        <v>1.65</v>
      </c>
      <c r="H27" s="1">
        <v>3.4</v>
      </c>
      <c r="I27" s="1">
        <v>5.84</v>
      </c>
      <c r="J27" s="5">
        <f>(H27/C27)^0.5-1</f>
        <v>4.3907845426783609E-2</v>
      </c>
      <c r="K27" s="11">
        <f>(H27-G27)/G4*F4</f>
        <v>5.7169052130034322E-2</v>
      </c>
    </row>
    <row r="28" spans="1:20" x14ac:dyDescent="0.3">
      <c r="B28"/>
      <c r="C28" s="1">
        <v>96.77</v>
      </c>
      <c r="D28" s="1">
        <v>85.08</v>
      </c>
      <c r="E28" s="1">
        <v>98.44</v>
      </c>
      <c r="F28" s="1">
        <v>107.93</v>
      </c>
      <c r="G28" s="1">
        <v>87.07</v>
      </c>
      <c r="H28" s="1">
        <v>115.8</v>
      </c>
      <c r="I28" s="1">
        <v>137.77000000000001</v>
      </c>
      <c r="J28" s="5">
        <f>(H28/C28)^0.5-1</f>
        <v>9.3915835388496793E-2</v>
      </c>
      <c r="K28" s="11">
        <f>(H28-G28)/G4*1000</f>
        <v>0.26946669417921931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121</v>
      </c>
      <c r="B33" s="1">
        <v>193</v>
      </c>
      <c r="C33" s="1">
        <f>C27</f>
        <v>3.12</v>
      </c>
      <c r="D33" s="1">
        <f t="shared" ref="D33:I33" si="0">D27</f>
        <v>1.73</v>
      </c>
      <c r="E33" s="1">
        <f t="shared" si="0"/>
        <v>2.56</v>
      </c>
      <c r="F33" s="1">
        <f t="shared" si="0"/>
        <v>3.41</v>
      </c>
      <c r="G33" s="1">
        <f t="shared" si="0"/>
        <v>1.65</v>
      </c>
      <c r="H33" s="1">
        <f t="shared" si="0"/>
        <v>3.4</v>
      </c>
      <c r="I33" s="1">
        <f t="shared" si="0"/>
        <v>5.84</v>
      </c>
      <c r="J33" s="13">
        <f>INT(S22*100)</f>
        <v>13</v>
      </c>
      <c r="K33" s="1">
        <v>1</v>
      </c>
      <c r="L33" s="15">
        <f>100+J33*5</f>
        <v>165</v>
      </c>
      <c r="M33" s="13">
        <f>INT(T22*100)</f>
        <v>0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H27*(1+S22+T22)^10/(1+L4)^12*Q22</f>
        <v>168.75568131288253</v>
      </c>
    </row>
    <row r="38" spans="1:13" x14ac:dyDescent="0.3">
      <c r="A38" s="3">
        <v>0.8</v>
      </c>
      <c r="B38" s="13">
        <f>B37*A38</f>
        <v>135.00454505030604</v>
      </c>
    </row>
    <row r="39" spans="1:13" x14ac:dyDescent="0.3">
      <c r="A39" s="1" t="s">
        <v>70</v>
      </c>
      <c r="B39" s="13">
        <f>G27*(1+S22+T22)^10/(1+L4)^12*Q22</f>
        <v>81.896139460663576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723A-84A9-449E-AD2D-A16616975D82}">
  <dimension ref="A1:T39"/>
  <sheetViews>
    <sheetView topLeftCell="A4" workbookViewId="0">
      <selection activeCell="Q22" sqref="Q22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2184</v>
      </c>
      <c r="C4" s="1">
        <v>2614</v>
      </c>
      <c r="D4" s="1">
        <v>3884</v>
      </c>
      <c r="E4" s="1">
        <v>8253</v>
      </c>
      <c r="F4" s="1">
        <v>447</v>
      </c>
      <c r="G4" s="1">
        <v>13215</v>
      </c>
      <c r="H4" s="1">
        <v>7783</v>
      </c>
      <c r="I4" s="1">
        <v>5415</v>
      </c>
      <c r="J4" s="2">
        <v>0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1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0.47061674542590576</v>
      </c>
      <c r="C10" s="5">
        <f>C4/E4</f>
        <v>0.31673330909972131</v>
      </c>
      <c r="D10" s="6">
        <f>B4/E4</f>
        <v>0.26463104325699743</v>
      </c>
      <c r="E10" s="7">
        <f>B4/F4</f>
        <v>4.8859060402684564</v>
      </c>
      <c r="G10" s="5">
        <f>B4/G4</f>
        <v>0.16526674233825198</v>
      </c>
      <c r="H10" s="5">
        <f>C4/G4</f>
        <v>0.19780552402572835</v>
      </c>
      <c r="I10" s="5">
        <f>B4/H4</f>
        <v>0.28061158936142877</v>
      </c>
      <c r="J10" s="19">
        <f>E4/G4</f>
        <v>0.62451759364358683</v>
      </c>
      <c r="K10" s="2">
        <f>G4/H4</f>
        <v>1.6979313889245793</v>
      </c>
      <c r="L10" s="2">
        <f>(H10-K4)/K27/N4</f>
        <v>1.4745849721804913</v>
      </c>
      <c r="M10" s="5">
        <f>H27*F4/1000/H28*J10*L10+K4*(1-L10)</f>
        <v>0.22482047934321658</v>
      </c>
      <c r="N10" s="5">
        <f>MIN(M10,N22)/K10+K4*(K10-1)/K10</f>
        <v>0.15296086195446496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/>
      <c r="E16" s="5"/>
      <c r="F16" s="8"/>
      <c r="G16" s="17">
        <f>E27*$F4/1000/E28</f>
        <v>0.24826454293628808</v>
      </c>
      <c r="H16" s="17">
        <f>H27*$F4/1000/H28</f>
        <v>0.26989746835443029</v>
      </c>
      <c r="I16" s="8">
        <f>H16-G16</f>
        <v>2.1632925418142213E-2</v>
      </c>
      <c r="J16" s="3">
        <f>J4/E27</f>
        <v>0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0.52790000000000004</v>
      </c>
      <c r="C22" s="9">
        <v>8.8300000000000003E-2</v>
      </c>
      <c r="D22" s="3">
        <f>C22</f>
        <v>8.8300000000000003E-2</v>
      </c>
      <c r="F22" s="3">
        <f>H28/E28-1</f>
        <v>9.4182825484764532E-2</v>
      </c>
      <c r="G22" s="3">
        <v>0</v>
      </c>
      <c r="H22" s="3">
        <f>MAX((MIN(I10,N22)*(1-J16)-SUM(F22:G22))*N10,0)</f>
        <v>2.8516304415679983E-2</v>
      </c>
      <c r="I22" s="3">
        <f>SUM(F22:H22)</f>
        <v>0.12269912990044451</v>
      </c>
      <c r="J22" s="5">
        <f>J4/B33</f>
        <v>0</v>
      </c>
      <c r="L22" s="3">
        <f>AVERAGE(OI!D13,OI!D12)</f>
        <v>7.2556531768113788E-2</v>
      </c>
      <c r="N22" s="10">
        <v>0.3</v>
      </c>
      <c r="O22" s="3">
        <f>AVERAGE(OI!D13,OI!D12)</f>
        <v>7.2556531768113788E-2</v>
      </c>
      <c r="P22" s="3">
        <f>N22-O22</f>
        <v>0.22744346823188621</v>
      </c>
      <c r="Q22" s="13">
        <f>(P22/(L4-O22)/N22+10+B33/C33)/3</f>
        <v>17.063862291109384</v>
      </c>
      <c r="S22" s="5">
        <f>SUM(D22,I22,L22)/3</f>
        <v>9.4518553889519422E-2</v>
      </c>
      <c r="T22" s="3">
        <f>J22</f>
        <v>0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tr">
        <f>A33</f>
        <v>ON</v>
      </c>
      <c r="B27" s="21">
        <v>68</v>
      </c>
      <c r="C27" s="1">
        <v>5.16</v>
      </c>
      <c r="D27" s="1">
        <v>3.91</v>
      </c>
      <c r="E27" s="1">
        <v>4.01</v>
      </c>
      <c r="F27" s="1">
        <v>4.16</v>
      </c>
      <c r="G27" s="1">
        <v>3.5</v>
      </c>
      <c r="H27" s="1">
        <v>4.7699999999999996</v>
      </c>
      <c r="I27" s="1">
        <v>5.45</v>
      </c>
      <c r="J27" s="5">
        <f>(H27/C27)^0.5-1</f>
        <v>-3.8533097474924727E-2</v>
      </c>
      <c r="K27" s="11">
        <f>(H27-G27)/G4*F4</f>
        <v>4.2958002270147545E-2</v>
      </c>
    </row>
    <row r="28" spans="1:20" x14ac:dyDescent="0.3">
      <c r="A28" s="1" t="s">
        <v>108</v>
      </c>
      <c r="B28" s="21"/>
      <c r="C28" s="1">
        <v>8.25</v>
      </c>
      <c r="D28" s="1">
        <v>7.11</v>
      </c>
      <c r="E28" s="1">
        <v>7.22</v>
      </c>
      <c r="F28" s="1">
        <v>7.58</v>
      </c>
      <c r="G28" s="1">
        <v>6.9</v>
      </c>
      <c r="H28" s="1">
        <v>7.9</v>
      </c>
      <c r="I28" s="1">
        <v>8.5</v>
      </c>
      <c r="J28" s="5">
        <f>(H28/C28)^0.5-1</f>
        <v>-2.1442000913713066E-2</v>
      </c>
      <c r="K28" s="11">
        <f>(H28-G28)/G4*1000</f>
        <v>7.5671585319712451E-2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107</v>
      </c>
      <c r="B33" s="1">
        <v>70</v>
      </c>
      <c r="C33" s="1">
        <f>C27</f>
        <v>5.16</v>
      </c>
      <c r="D33" s="1">
        <f t="shared" ref="D33:I33" si="0">D27</f>
        <v>3.91</v>
      </c>
      <c r="E33" s="1">
        <f t="shared" si="0"/>
        <v>4.01</v>
      </c>
      <c r="F33" s="1">
        <f t="shared" si="0"/>
        <v>4.16</v>
      </c>
      <c r="G33" s="1">
        <f t="shared" si="0"/>
        <v>3.5</v>
      </c>
      <c r="H33" s="1">
        <f t="shared" si="0"/>
        <v>4.7699999999999996</v>
      </c>
      <c r="I33" s="1">
        <f t="shared" si="0"/>
        <v>5.45</v>
      </c>
      <c r="J33" s="13">
        <f>INT(S22*100)</f>
        <v>9</v>
      </c>
      <c r="K33" s="1">
        <v>1</v>
      </c>
      <c r="L33" s="15">
        <f>100+J33*5</f>
        <v>145</v>
      </c>
      <c r="M33" s="13">
        <f>INT(T22*100)</f>
        <v>0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H27*(1+S22+T22)^10/(1+L4)^12*Q22</f>
        <v>63.990392565947971</v>
      </c>
    </row>
    <row r="38" spans="1:13" x14ac:dyDescent="0.3">
      <c r="A38" s="3">
        <v>0.8</v>
      </c>
      <c r="B38" s="13">
        <f>B37*A38</f>
        <v>51.192314052758377</v>
      </c>
    </row>
    <row r="39" spans="1:13" x14ac:dyDescent="0.3">
      <c r="A39" s="1" t="s">
        <v>70</v>
      </c>
      <c r="B39" s="13">
        <f>G27*(1+S22+T22)^10/(1+L4)^12*Q22</f>
        <v>46.953118234972301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6E42D-1910-4839-BCDD-41D69832F795}">
  <dimension ref="A1:T39"/>
  <sheetViews>
    <sheetView topLeftCell="A19" workbookViewId="0">
      <selection activeCell="C33" sqref="C33:M33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2238</v>
      </c>
      <c r="C4" s="1">
        <v>3112</v>
      </c>
      <c r="D4" s="1">
        <v>5698</v>
      </c>
      <c r="E4" s="1">
        <v>8439</v>
      </c>
      <c r="F4" s="1">
        <v>557</v>
      </c>
      <c r="G4" s="1">
        <v>15873</v>
      </c>
      <c r="H4" s="1">
        <v>6658</v>
      </c>
      <c r="I4" s="1">
        <v>9215</v>
      </c>
      <c r="J4" s="2">
        <v>1.81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1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0.67519848323261045</v>
      </c>
      <c r="C10" s="5">
        <f>C4/E4</f>
        <v>0.36876407157246122</v>
      </c>
      <c r="D10" s="6">
        <f>B4/E4</f>
        <v>0.26519729825808747</v>
      </c>
      <c r="E10" s="7">
        <f>B4/F4</f>
        <v>4.0179533213644527</v>
      </c>
      <c r="G10" s="5">
        <f>B4/G4</f>
        <v>0.14099414099414098</v>
      </c>
      <c r="H10" s="5">
        <f>C4/G4</f>
        <v>0.19605619605619606</v>
      </c>
      <c r="I10" s="5">
        <f>B4/H4</f>
        <v>0.33613697807149295</v>
      </c>
      <c r="J10" s="19">
        <f>E4/G4</f>
        <v>0.53165753165753171</v>
      </c>
      <c r="K10" s="2">
        <f>G4/H4</f>
        <v>2.3840492640432562</v>
      </c>
      <c r="L10" s="2">
        <f>(H10-K4)/K27/N4</f>
        <v>1.1813268472642844</v>
      </c>
      <c r="M10" s="5">
        <f>H27*F4/1000/H28*J10*L10+K4*(1-L10)</f>
        <v>0.20267296067357929</v>
      </c>
      <c r="N10" s="5">
        <f>MIN(M10,N22)/K10+K4*(K10-1)/K10</f>
        <v>0.11403934808572362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  <c r="L15" s="3"/>
      <c r="M15" s="22"/>
      <c r="N15" s="3"/>
    </row>
    <row r="16" spans="1:15" x14ac:dyDescent="0.3">
      <c r="A16" s="1" t="s">
        <v>38</v>
      </c>
      <c r="B16" s="5"/>
      <c r="C16" s="5"/>
      <c r="D16" s="5"/>
      <c r="E16" s="5"/>
      <c r="F16" s="8"/>
      <c r="G16" s="17">
        <f>E27*$F4/1000/E28</f>
        <v>0.26581785063752278</v>
      </c>
      <c r="H16" s="17">
        <f>H27*$F4/1000/H28</f>
        <v>0.33713157894736839</v>
      </c>
      <c r="I16" s="8">
        <f>H16-G16</f>
        <v>7.1313728309845614E-2</v>
      </c>
      <c r="J16" s="3">
        <f>J4/E27</f>
        <v>0.69083969465648853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  <c r="L17" s="3"/>
      <c r="M17" s="22"/>
      <c r="N17" s="3"/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0.1535</v>
      </c>
      <c r="C22" s="9">
        <v>-6.3E-2</v>
      </c>
      <c r="D22" s="3">
        <f>((1+C22)^5/(1+J27)^2)^(1/3)-1</f>
        <v>-4.964126228218102E-2</v>
      </c>
      <c r="F22" s="3">
        <f>J28</f>
        <v>-5.3183578074234461E-2</v>
      </c>
      <c r="G22" s="3">
        <v>0</v>
      </c>
      <c r="H22" s="3">
        <f>MAX((MIN(I10,N22)*(1-J16)-SUM(F22:G22))*N10,0)</f>
        <v>1.664195247505907E-2</v>
      </c>
      <c r="I22" s="3">
        <f>SUM(F22:H22)</f>
        <v>-3.6541625599175391E-2</v>
      </c>
      <c r="J22" s="5">
        <f>J4/B33</f>
        <v>2.0568181818181819E-2</v>
      </c>
      <c r="L22" s="3">
        <f>OI!C13</f>
        <v>0.1</v>
      </c>
      <c r="N22" s="10">
        <v>0.3</v>
      </c>
      <c r="O22" s="3">
        <f>OI!D13</f>
        <v>0.06</v>
      </c>
      <c r="P22" s="3">
        <f>N22-O22</f>
        <v>0.24</v>
      </c>
      <c r="Q22" s="13">
        <f>P22/(L4-O22)/N22</f>
        <v>19.999999999999996</v>
      </c>
      <c r="S22" s="5">
        <f>SUM(D22,I22,L22)/3</f>
        <v>4.6057040395478628E-3</v>
      </c>
      <c r="T22" s="3">
        <f>J22</f>
        <v>2.0568181818181819E-2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tr">
        <f>A33</f>
        <v>mchp</v>
      </c>
      <c r="B27"/>
      <c r="C27" s="1">
        <v>4.92</v>
      </c>
      <c r="D27" s="1">
        <v>2.38</v>
      </c>
      <c r="E27" s="1">
        <v>2.62</v>
      </c>
      <c r="F27" s="1">
        <v>2.98</v>
      </c>
      <c r="G27" s="1">
        <v>2.63</v>
      </c>
      <c r="H27" s="1">
        <v>4.1399999999999997</v>
      </c>
      <c r="I27" s="1">
        <v>5.17</v>
      </c>
      <c r="J27" s="5">
        <f>(H27/C27)^0.5-1</f>
        <v>-8.2686850288220093E-2</v>
      </c>
      <c r="K27" s="11">
        <f>(H27-G27)/G4*F4</f>
        <v>5.2987462987462979E-2</v>
      </c>
    </row>
    <row r="28" spans="1:20" x14ac:dyDescent="0.3">
      <c r="A28" s="1" t="s">
        <v>116</v>
      </c>
      <c r="B28"/>
      <c r="C28" s="1">
        <v>7.63</v>
      </c>
      <c r="D28" s="1">
        <v>5.23</v>
      </c>
      <c r="E28" s="1">
        <v>5.49</v>
      </c>
      <c r="F28" s="1">
        <v>6.05</v>
      </c>
      <c r="G28" s="1">
        <v>5.44</v>
      </c>
      <c r="H28" s="1">
        <v>6.84</v>
      </c>
      <c r="I28" s="1">
        <v>7.67</v>
      </c>
      <c r="J28" s="5">
        <f>(H28/C28)^0.5-1</f>
        <v>-5.3183578074234461E-2</v>
      </c>
      <c r="K28" s="11">
        <f>(H28-G28)/G4*1000</f>
        <v>8.8200088200088178E-2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115</v>
      </c>
      <c r="B33" s="1">
        <v>88</v>
      </c>
      <c r="C33" s="1">
        <f>C27</f>
        <v>4.92</v>
      </c>
      <c r="D33" s="1">
        <f t="shared" ref="D33:I33" si="0">D27</f>
        <v>2.38</v>
      </c>
      <c r="E33" s="1">
        <f t="shared" si="0"/>
        <v>2.62</v>
      </c>
      <c r="F33" s="1">
        <f t="shared" si="0"/>
        <v>2.98</v>
      </c>
      <c r="G33" s="1">
        <f t="shared" si="0"/>
        <v>2.63</v>
      </c>
      <c r="H33" s="1">
        <f t="shared" si="0"/>
        <v>4.1399999999999997</v>
      </c>
      <c r="I33" s="1">
        <f t="shared" si="0"/>
        <v>5.17</v>
      </c>
      <c r="J33" s="13">
        <f>INT(S22*100)</f>
        <v>0</v>
      </c>
      <c r="K33" s="1">
        <v>1</v>
      </c>
      <c r="L33" s="15">
        <f>100+J33*5</f>
        <v>100</v>
      </c>
      <c r="M33" s="13">
        <f>INT(T22*100)</f>
        <v>2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H27*(1+S22+T22)^10/(1+L4)^12*Q22</f>
        <v>33.829335259293757</v>
      </c>
    </row>
    <row r="38" spans="1:13" x14ac:dyDescent="0.3">
      <c r="A38" s="3">
        <v>0.8</v>
      </c>
      <c r="B38" s="13">
        <f>B37*A38</f>
        <v>27.063468207435008</v>
      </c>
    </row>
    <row r="39" spans="1:13" x14ac:dyDescent="0.3">
      <c r="A39" s="1" t="s">
        <v>70</v>
      </c>
      <c r="B39" s="13">
        <f>G27*(1+S22+T22)^10/(1+L4)^12*Q22</f>
        <v>21.490616360372599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70F0-119E-4520-B739-8F71B674C340}">
  <dimension ref="A1:T39"/>
  <sheetViews>
    <sheetView topLeftCell="A7" workbookViewId="0">
      <selection activeCell="H23" sqref="H23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4136</v>
      </c>
      <c r="C4" s="1">
        <v>5999</v>
      </c>
      <c r="D4" s="1">
        <v>26317</v>
      </c>
      <c r="E4" s="1">
        <v>34857</v>
      </c>
      <c r="F4" s="1">
        <v>984</v>
      </c>
      <c r="G4" s="1">
        <v>99823</v>
      </c>
      <c r="H4" s="1">
        <v>59646</v>
      </c>
      <c r="I4" s="1">
        <v>40177</v>
      </c>
      <c r="J4" s="2">
        <v>1.6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1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0.75499899589752417</v>
      </c>
      <c r="C10" s="5">
        <f>C4/E4</f>
        <v>0.17210316435723097</v>
      </c>
      <c r="D10" s="6">
        <f>B4/E4</f>
        <v>0.11865622400091803</v>
      </c>
      <c r="E10" s="7">
        <f>B4/F4</f>
        <v>4.2032520325203251</v>
      </c>
      <c r="G10" s="5">
        <f>B4/G4</f>
        <v>4.1433337006501508E-2</v>
      </c>
      <c r="H10" s="28">
        <f>H27*F4/H28/1000*J10</f>
        <v>9.2642435308169874E-2</v>
      </c>
      <c r="I10" s="5">
        <f>B4/H4</f>
        <v>6.9342453810817148E-2</v>
      </c>
      <c r="J10" s="19">
        <f>E4/G4</f>
        <v>0.34918806287128218</v>
      </c>
      <c r="K10" s="2">
        <f>G4/H4</f>
        <v>1.6735908526975825</v>
      </c>
      <c r="L10" s="2">
        <f>(H10-K4)/K27/N4</f>
        <v>3.0899359899589367</v>
      </c>
      <c r="M10" s="5">
        <f>H27*F4/1000/H28*J10*L10+K4*(1-L10)</f>
        <v>0.18176239555820983</v>
      </c>
      <c r="N10" s="5">
        <f>MIN(M10,N22)/K10+K4*(K10-1)/K10</f>
        <v>9.5143903937293925E-2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/>
      <c r="E16" s="5"/>
      <c r="F16" s="8"/>
      <c r="G16" s="17">
        <f>E27*$F4/1000/E28</f>
        <v>0.26122051824431514</v>
      </c>
      <c r="H16" s="17">
        <f>H27*$F4/1000/H28</f>
        <v>0.26530813953488369</v>
      </c>
      <c r="I16" s="8">
        <f>H16-G16</f>
        <v>4.0876212905685549E-3</v>
      </c>
      <c r="J16" s="3">
        <f>J4/E27</f>
        <v>0.15936254980079684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0.24310000000000001</v>
      </c>
      <c r="C22" s="9">
        <v>0.16239999999999999</v>
      </c>
      <c r="D22" s="3">
        <f>J27</f>
        <v>0.16362132953128095</v>
      </c>
      <c r="F22" s="3">
        <f>J28</f>
        <v>8.8193563828606436E-2</v>
      </c>
      <c r="G22" s="3">
        <v>0</v>
      </c>
      <c r="H22" s="3">
        <f>MAX((MIN(M10,N22)*(1-J16)-SUM(F22:G22))*N10,0)</f>
        <v>1.6507949070026355E-3</v>
      </c>
      <c r="I22" s="3">
        <f>SUM(F22:H22)</f>
        <v>8.9844358735609073E-2</v>
      </c>
      <c r="J22" s="5">
        <f>J4/B33</f>
        <v>6.611570247933885E-3</v>
      </c>
      <c r="L22" s="3">
        <f>OI!C14</f>
        <v>0.15</v>
      </c>
      <c r="N22" s="10">
        <f>AVERAGE(I10,M10)</f>
        <v>0.1255524246845135</v>
      </c>
      <c r="O22" s="3">
        <f>OI!D14</f>
        <v>0.06</v>
      </c>
      <c r="P22" s="3">
        <f>N22-O22</f>
        <v>6.5552424684513499E-2</v>
      </c>
      <c r="Q22" s="13">
        <f>(P22/(L4-O22)/N22+10+B33/C33)/3</f>
        <v>17.4977295741527</v>
      </c>
      <c r="S22" s="5">
        <f>SUM(D22,I22,L22)/3</f>
        <v>0.13448856275563001</v>
      </c>
      <c r="T22" s="3">
        <f>J22</f>
        <v>6.611570247933885E-3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tr">
        <f>A33</f>
        <v>CRM</v>
      </c>
      <c r="B27" s="1">
        <v>242</v>
      </c>
      <c r="C27" s="1">
        <v>8.2200000000000006</v>
      </c>
      <c r="D27" s="1">
        <v>10.01</v>
      </c>
      <c r="E27" s="1">
        <v>10.039999999999999</v>
      </c>
      <c r="F27" s="1">
        <v>10.26</v>
      </c>
      <c r="G27" s="1">
        <v>10.53</v>
      </c>
      <c r="H27" s="1">
        <v>11.13</v>
      </c>
      <c r="I27" s="1">
        <v>11.96</v>
      </c>
      <c r="J27" s="5">
        <f>(H27/C27)^0.5-1</f>
        <v>0.16362132953128095</v>
      </c>
      <c r="K27" s="11">
        <f>(H27-G27)/G4*F4</f>
        <v>5.91446860943872E-3</v>
      </c>
    </row>
    <row r="28" spans="1:20" x14ac:dyDescent="0.3">
      <c r="A28" s="1" t="s">
        <v>117</v>
      </c>
      <c r="B28"/>
      <c r="C28" s="1">
        <v>34.86</v>
      </c>
      <c r="D28" s="1">
        <v>37.229999999999997</v>
      </c>
      <c r="E28" s="1">
        <v>37.82</v>
      </c>
      <c r="F28" s="1">
        <v>38.07</v>
      </c>
      <c r="G28" s="1">
        <v>39.090000000000003</v>
      </c>
      <c r="H28" s="1">
        <v>41.28</v>
      </c>
      <c r="I28" s="1">
        <v>42.64</v>
      </c>
      <c r="J28" s="5">
        <f>(H28/C28)^0.5-1</f>
        <v>8.8193563828606436E-2</v>
      </c>
      <c r="K28" s="11">
        <f>(H28-G28)/G4*1000</f>
        <v>2.193883173216591E-2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122</v>
      </c>
      <c r="B33" s="1">
        <f>B27</f>
        <v>242</v>
      </c>
      <c r="C33" s="1">
        <f>C27</f>
        <v>8.2200000000000006</v>
      </c>
      <c r="D33" s="1">
        <f t="shared" ref="D33:I33" si="0">D27</f>
        <v>10.01</v>
      </c>
      <c r="E33" s="1">
        <f t="shared" si="0"/>
        <v>10.039999999999999</v>
      </c>
      <c r="F33" s="1">
        <f t="shared" si="0"/>
        <v>10.26</v>
      </c>
      <c r="G33" s="1">
        <f t="shared" si="0"/>
        <v>10.53</v>
      </c>
      <c r="H33" s="1">
        <f t="shared" si="0"/>
        <v>11.13</v>
      </c>
      <c r="I33" s="1">
        <f t="shared" si="0"/>
        <v>11.96</v>
      </c>
      <c r="J33" s="13">
        <f>INT(S22*100)</f>
        <v>13</v>
      </c>
      <c r="K33" s="1">
        <v>1</v>
      </c>
      <c r="L33" s="15">
        <f>100+J33*5</f>
        <v>165</v>
      </c>
      <c r="M33" s="13">
        <f>INT(T22*100)</f>
        <v>0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H27*(1+S22+T22)^10/(1+L4-J22)^12*Q22</f>
        <v>249.70126242713565</v>
      </c>
    </row>
    <row r="38" spans="1:13" x14ac:dyDescent="0.3">
      <c r="A38" s="3">
        <v>0.8</v>
      </c>
      <c r="B38" s="13">
        <f>B37*A38</f>
        <v>199.76100994170852</v>
      </c>
    </row>
    <row r="39" spans="1:13" x14ac:dyDescent="0.3">
      <c r="A39" s="1" t="s">
        <v>70</v>
      </c>
      <c r="B39" s="13">
        <f>G27*(1+S22+T22)^10/(1+L4-J22)^12*Q22</f>
        <v>236.24027792971592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EAA7-D40A-4723-A18A-92F9E190D847}">
  <dimension ref="A1:T39"/>
  <sheetViews>
    <sheetView topLeftCell="A16" workbookViewId="0">
      <selection activeCell="C28" sqref="C28:I28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4756</v>
      </c>
      <c r="C4" s="1">
        <v>6098</v>
      </c>
      <c r="D4" s="1">
        <v>15441</v>
      </c>
      <c r="E4" s="1">
        <v>17606</v>
      </c>
      <c r="F4" s="1">
        <v>459</v>
      </c>
      <c r="G4" s="1">
        <v>29779</v>
      </c>
      <c r="H4" s="1">
        <v>16518</v>
      </c>
      <c r="I4" s="1">
        <v>13261</v>
      </c>
      <c r="J4" s="2">
        <v>0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1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0.87703055776439853</v>
      </c>
      <c r="C10" s="5">
        <f>C4/E4</f>
        <v>0.34635919572872886</v>
      </c>
      <c r="D10" s="6">
        <f>B4/E4</f>
        <v>0.27013518118823127</v>
      </c>
      <c r="E10" s="7">
        <f>B4/F4</f>
        <v>10.361655773420479</v>
      </c>
      <c r="G10" s="5">
        <f>B4/G4</f>
        <v>0.15970986265489104</v>
      </c>
      <c r="H10" s="5">
        <f>C4/G4</f>
        <v>0.2047751771382518</v>
      </c>
      <c r="I10" s="5">
        <f>B4/H4</f>
        <v>0.28792832061992979</v>
      </c>
      <c r="J10" s="19">
        <f>E4/G4</f>
        <v>0.59122200208200415</v>
      </c>
      <c r="K10" s="2">
        <f>G4/H4</f>
        <v>1.8028211647899262</v>
      </c>
      <c r="L10" s="2">
        <f>(H10-K4)/K27/N4</f>
        <v>6.3286785302355923</v>
      </c>
      <c r="M10" s="5">
        <f>H27*F4/1000/H28*J10*L10+K4*(1-L10)</f>
        <v>1.2112557376716242</v>
      </c>
      <c r="N10" s="5">
        <f>MIN(M10,N22)/K10+K4*(K10-1)/K10</f>
        <v>0.18867154706336678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/>
      <c r="E16" s="5"/>
      <c r="F16" s="8"/>
      <c r="G16" s="17">
        <f>E27*$F4/1000/E28</f>
        <v>0.38870270270270274</v>
      </c>
      <c r="H16" s="17">
        <f>H27*$F4/1000/H28</f>
        <v>0.39492953321364449</v>
      </c>
      <c r="I16" s="8">
        <f>H16-G16</f>
        <v>6.2268305109417499E-3</v>
      </c>
      <c r="J16" s="3">
        <f>J4/E27</f>
        <v>0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0.19059999999999999</v>
      </c>
      <c r="C22" s="9">
        <v>0.12839999999999999</v>
      </c>
      <c r="D22" s="3">
        <f>((1+C22)^5/(1+J27)^2)^(1/3)-1</f>
        <v>0.12223233439439962</v>
      </c>
      <c r="F22" s="3">
        <f>J28</f>
        <v>0.11596975101803508</v>
      </c>
      <c r="G22" s="3">
        <v>0</v>
      </c>
      <c r="H22" s="3">
        <f>MAX((MIN(I10,N22)*(1-J16)-SUM(F22:G22))*N10,0)</f>
        <v>3.2443689357593106E-2</v>
      </c>
      <c r="I22" s="3">
        <f>SUM(F22:H22)</f>
        <v>0.1484134403756282</v>
      </c>
      <c r="J22" s="5">
        <f>J4/B33</f>
        <v>0</v>
      </c>
      <c r="L22" s="3">
        <f>OI!C14</f>
        <v>0.15</v>
      </c>
      <c r="N22" s="10">
        <v>0.3</v>
      </c>
      <c r="O22" s="3">
        <f>OI!D14</f>
        <v>0.06</v>
      </c>
      <c r="P22" s="3">
        <f>N22-O22</f>
        <v>0.24</v>
      </c>
      <c r="Q22" s="13">
        <f>P22/(L4-O22)/N22</f>
        <v>19.999999999999996</v>
      </c>
      <c r="S22" s="5">
        <f>SUM(D22,I22,L22)/3</f>
        <v>0.14021525825667594</v>
      </c>
      <c r="T22" s="3">
        <f>J22</f>
        <v>0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tr">
        <f>A33</f>
        <v>adbe</v>
      </c>
      <c r="C27" s="1">
        <v>14.81</v>
      </c>
      <c r="D27" s="1">
        <v>16.77</v>
      </c>
      <c r="E27" s="1">
        <v>16.920000000000002</v>
      </c>
      <c r="F27" s="1">
        <v>17.3</v>
      </c>
      <c r="G27" s="1">
        <v>18.489999999999998</v>
      </c>
      <c r="H27" s="1">
        <v>19.170000000000002</v>
      </c>
      <c r="I27" s="1">
        <v>20.079999999999998</v>
      </c>
      <c r="J27" s="5">
        <f>(H27/C27)^0.5-1</f>
        <v>0.13771511310852502</v>
      </c>
      <c r="K27" s="11">
        <f>(H27-G27)/G4*F4</f>
        <v>1.0481211592061571E-2</v>
      </c>
    </row>
    <row r="28" spans="1:20" x14ac:dyDescent="0.3">
      <c r="A28" s="1" t="s">
        <v>117</v>
      </c>
      <c r="C28" s="1">
        <v>17.89</v>
      </c>
      <c r="D28" s="1">
        <v>19.95</v>
      </c>
      <c r="E28" s="1">
        <v>19.98</v>
      </c>
      <c r="F28" s="1">
        <v>20.059999999999999</v>
      </c>
      <c r="G28" s="1">
        <v>21.96</v>
      </c>
      <c r="H28" s="1">
        <v>22.28</v>
      </c>
      <c r="I28" s="1">
        <v>22.83</v>
      </c>
      <c r="J28" s="5">
        <f>(H28/C28)^0.5-1</f>
        <v>0.11596975101803508</v>
      </c>
      <c r="K28" s="11">
        <f>(H28-G28)/G4*1000</f>
        <v>1.0745827596628505E-2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118</v>
      </c>
      <c r="B33" s="1">
        <v>535</v>
      </c>
      <c r="C33" s="1">
        <f>C27</f>
        <v>14.81</v>
      </c>
      <c r="D33" s="1">
        <f t="shared" ref="D33:I33" si="0">D27</f>
        <v>16.77</v>
      </c>
      <c r="E33" s="1">
        <f t="shared" si="0"/>
        <v>16.920000000000002</v>
      </c>
      <c r="F33" s="1">
        <f t="shared" si="0"/>
        <v>17.3</v>
      </c>
      <c r="G33" s="1">
        <f t="shared" si="0"/>
        <v>18.489999999999998</v>
      </c>
      <c r="H33" s="1">
        <f t="shared" si="0"/>
        <v>19.170000000000002</v>
      </c>
      <c r="I33" s="1">
        <f t="shared" si="0"/>
        <v>20.079999999999998</v>
      </c>
      <c r="J33" s="13">
        <f>INT(S22*100)</f>
        <v>14</v>
      </c>
      <c r="K33" s="1">
        <v>1</v>
      </c>
      <c r="L33" s="15">
        <f>100+J33*5</f>
        <v>170</v>
      </c>
      <c r="M33" s="13">
        <f>INT(T22*100)</f>
        <v>0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H27*(1+S22+T22)^10/(1+L4)^12*Q22</f>
        <v>453.74136227855212</v>
      </c>
    </row>
    <row r="38" spans="1:13" x14ac:dyDescent="0.3">
      <c r="A38" s="3">
        <v>0.8</v>
      </c>
      <c r="B38" s="13">
        <f>B37*A38</f>
        <v>362.99308982284174</v>
      </c>
    </row>
    <row r="39" spans="1:13" x14ac:dyDescent="0.3">
      <c r="A39" s="1" t="s">
        <v>70</v>
      </c>
      <c r="B39" s="13">
        <f>G27*(1+S22+T22)^10/(1+L4)^12*Q22</f>
        <v>437.64620701775834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C611-7649-4637-A7F4-39474547F65C}">
  <dimension ref="A1:S19"/>
  <sheetViews>
    <sheetView topLeftCell="B1" workbookViewId="0">
      <selection activeCell="L18" sqref="L18"/>
    </sheetView>
  </sheetViews>
  <sheetFormatPr defaultColWidth="8.88671875" defaultRowHeight="15" x14ac:dyDescent="0.3"/>
  <cols>
    <col min="1" max="2" width="20.6640625" style="14" customWidth="1"/>
    <col min="3" max="15" width="10.6640625" style="14" customWidth="1"/>
    <col min="16" max="16384" width="8.88671875" style="14"/>
  </cols>
  <sheetData>
    <row r="1" spans="1:19" x14ac:dyDescent="0.3">
      <c r="A1" s="14" t="s">
        <v>72</v>
      </c>
      <c r="B1" s="14" t="s">
        <v>74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64</v>
      </c>
      <c r="N1" s="1" t="s">
        <v>65</v>
      </c>
      <c r="O1" s="1" t="s">
        <v>66</v>
      </c>
      <c r="P1" t="s">
        <v>143</v>
      </c>
      <c r="Q1" t="s">
        <v>144</v>
      </c>
      <c r="R1" t="s">
        <v>145</v>
      </c>
      <c r="S1" s="14" t="s">
        <v>148</v>
      </c>
    </row>
    <row r="2" spans="1:19" x14ac:dyDescent="0.3">
      <c r="A2" s="14" t="s">
        <v>73</v>
      </c>
      <c r="B2" s="14" t="s">
        <v>75</v>
      </c>
      <c r="C2" s="14" t="s">
        <v>67</v>
      </c>
      <c r="D2" s="14">
        <v>70</v>
      </c>
      <c r="E2" s="14">
        <f>KO!C$33</f>
        <v>2.5</v>
      </c>
      <c r="F2" s="14">
        <f>KO!D$33</f>
        <v>2.8</v>
      </c>
      <c r="G2" s="14">
        <f>KO!E$33</f>
        <v>2.82</v>
      </c>
      <c r="H2" s="14">
        <f>KO!F$33</f>
        <v>2.86</v>
      </c>
      <c r="I2" s="14">
        <f>KO!G$33</f>
        <v>2.95</v>
      </c>
      <c r="J2" s="14">
        <f>KO!H$33</f>
        <v>3.01</v>
      </c>
      <c r="K2" s="14">
        <f>KO!I$33</f>
        <v>3.09</v>
      </c>
      <c r="L2" s="14">
        <f>KO!J$33</f>
        <v>6</v>
      </c>
      <c r="M2" s="14">
        <f>KO!K$33</f>
        <v>1</v>
      </c>
      <c r="N2" s="14">
        <f>KO!L$33</f>
        <v>130</v>
      </c>
      <c r="O2" s="14">
        <f>KO!M$33</f>
        <v>3</v>
      </c>
      <c r="P2" s="29">
        <f>100*KO!O$22</f>
        <v>6</v>
      </c>
      <c r="Q2" s="29">
        <f>100*KO!N$22</f>
        <v>30</v>
      </c>
      <c r="R2" s="29">
        <f>KO!Q$22</f>
        <v>19.999999999999996</v>
      </c>
      <c r="S2" s="14">
        <f>AVERAGE(10,R2,D2/(E2+G2)*2)</f>
        <v>18.771929824561401</v>
      </c>
    </row>
    <row r="3" spans="1:19" x14ac:dyDescent="0.3">
      <c r="A3" s="14" t="s">
        <v>73</v>
      </c>
      <c r="B3" s="14" t="s">
        <v>75</v>
      </c>
      <c r="C3" s="14" t="str">
        <f>PEP!A33</f>
        <v>PEP</v>
      </c>
      <c r="D3" s="14">
        <f>PEP!B$33</f>
        <v>168</v>
      </c>
      <c r="E3" s="14">
        <f>PEP!C$33</f>
        <v>7.07</v>
      </c>
      <c r="F3" s="14">
        <f>PEP!D$33</f>
        <v>8.11</v>
      </c>
      <c r="G3" s="14">
        <f>PEP!E$33</f>
        <v>8.17</v>
      </c>
      <c r="H3" s="14">
        <f>PEP!F$33</f>
        <v>8.25</v>
      </c>
      <c r="I3" s="14">
        <f>PEP!G$33</f>
        <v>8.6999999999999993</v>
      </c>
      <c r="J3" s="14">
        <f>PEP!H$33</f>
        <v>8.83</v>
      </c>
      <c r="K3" s="14">
        <f>PEP!I$33</f>
        <v>9</v>
      </c>
      <c r="L3" s="14">
        <f>PEP!J$33</f>
        <v>7</v>
      </c>
      <c r="M3" s="14">
        <f>PEP!K$33</f>
        <v>1</v>
      </c>
      <c r="N3" s="14">
        <f>PEP!L$33</f>
        <v>135</v>
      </c>
      <c r="O3" s="14">
        <f>PEP!M$33</f>
        <v>3</v>
      </c>
      <c r="P3" s="29">
        <f>100*PEP!O$22</f>
        <v>6</v>
      </c>
      <c r="Q3" s="29">
        <f>100*PEP!N$22</f>
        <v>30</v>
      </c>
      <c r="R3" s="29">
        <f>PEP!Q$22</f>
        <v>19.999999999999996</v>
      </c>
      <c r="S3" s="14">
        <f t="shared" ref="S3:S19" si="0">AVERAGE(10,R3,D3/(E3+G3)*2)</f>
        <v>17.349081364829395</v>
      </c>
    </row>
    <row r="4" spans="1:19" x14ac:dyDescent="0.3">
      <c r="A4" s="14" t="s">
        <v>73</v>
      </c>
      <c r="B4" s="14" t="s">
        <v>93</v>
      </c>
      <c r="C4" s="14" t="str">
        <f>COST!A33</f>
        <v>COST</v>
      </c>
      <c r="D4" s="14">
        <v>882</v>
      </c>
      <c r="E4" s="14">
        <f>COST!C$33</f>
        <v>14.16</v>
      </c>
      <c r="F4" s="14">
        <f>COST!D$33</f>
        <v>15.56</v>
      </c>
      <c r="G4" s="14">
        <f>COST!E$33</f>
        <v>16.309999999999999</v>
      </c>
      <c r="H4" s="14">
        <f>COST!F$33</f>
        <v>16.850000000000001</v>
      </c>
      <c r="I4" s="14">
        <f>COST!G$33</f>
        <v>16.670000000000002</v>
      </c>
      <c r="J4" s="14">
        <f>COST!H$33</f>
        <v>17.670000000000002</v>
      </c>
      <c r="K4" s="14">
        <f>COST!I$33</f>
        <v>20</v>
      </c>
      <c r="L4" s="14">
        <f>COST!J$33</f>
        <v>8</v>
      </c>
      <c r="M4" s="14">
        <f>COST!K$33</f>
        <v>1</v>
      </c>
      <c r="N4" s="14">
        <f>COST!L$33</f>
        <v>140</v>
      </c>
      <c r="O4" s="14">
        <f>COST!M$33</f>
        <v>0</v>
      </c>
      <c r="P4" s="29">
        <f>100*COST!O$22</f>
        <v>8.3616682143146708</v>
      </c>
      <c r="Q4" s="29">
        <f>100*COST!N$22</f>
        <v>30</v>
      </c>
      <c r="R4" s="29">
        <f>COST!Q$22</f>
        <v>44.025131691368202</v>
      </c>
      <c r="S4" s="14">
        <f>AVERAGE(10,R4,D4/(E4+G4)*2)</f>
        <v>37.306047069642155</v>
      </c>
    </row>
    <row r="5" spans="1:19" x14ac:dyDescent="0.3">
      <c r="A5" s="14" t="s">
        <v>73</v>
      </c>
      <c r="B5" s="14" t="s">
        <v>93</v>
      </c>
      <c r="C5" s="14" t="str">
        <f>ULTA!A33</f>
        <v>ULTA</v>
      </c>
      <c r="D5" s="14">
        <v>384</v>
      </c>
      <c r="E5" s="14">
        <f>ULTA!C$33</f>
        <v>26.03</v>
      </c>
      <c r="F5" s="14">
        <f>ULTA!D$33</f>
        <v>25.2</v>
      </c>
      <c r="G5" s="14">
        <f>ULTA!E$33</f>
        <v>25.78</v>
      </c>
      <c r="H5" s="14">
        <f>ULTA!F$33</f>
        <v>26.04</v>
      </c>
      <c r="I5" s="14">
        <f>ULTA!G$33</f>
        <v>26.45</v>
      </c>
      <c r="J5" s="14">
        <f>ULTA!H$33</f>
        <v>28.36</v>
      </c>
      <c r="K5" s="14">
        <f>ULTA!I$33</f>
        <v>29.32</v>
      </c>
      <c r="L5" s="14">
        <f>ULTA!J$33</f>
        <v>6</v>
      </c>
      <c r="M5" s="14">
        <f>ULTA!K$33</f>
        <v>1</v>
      </c>
      <c r="N5" s="14">
        <f>ULTA!L$33</f>
        <v>130</v>
      </c>
      <c r="O5" s="14">
        <f>ULTA!M$33</f>
        <v>0</v>
      </c>
      <c r="P5" s="29">
        <f>100*ULTA!O$22</f>
        <v>6.1149999999999993</v>
      </c>
      <c r="Q5" s="29">
        <f>100*ULTA!N$22</f>
        <v>30</v>
      </c>
      <c r="R5" s="29">
        <f>ULTA!Q$22</f>
        <v>20.493350493350487</v>
      </c>
      <c r="S5" s="14">
        <f t="shared" si="0"/>
        <v>15.105581220230897</v>
      </c>
    </row>
    <row r="6" spans="1:19" x14ac:dyDescent="0.3">
      <c r="A6" s="14" t="s">
        <v>73</v>
      </c>
      <c r="B6" s="14" t="s">
        <v>146</v>
      </c>
      <c r="C6" s="14" t="s">
        <v>147</v>
      </c>
      <c r="D6" s="14">
        <v>384</v>
      </c>
      <c r="E6" s="14">
        <f>BKNG!C$33</f>
        <v>152.22</v>
      </c>
      <c r="F6" s="14">
        <f>BKNG!D$33</f>
        <v>157.09</v>
      </c>
      <c r="G6" s="14">
        <f>BKNG!E$33</f>
        <v>174.76</v>
      </c>
      <c r="H6" s="14">
        <f>BKNG!F$33</f>
        <v>178.7</v>
      </c>
      <c r="I6" s="14">
        <f>BKNG!G$33</f>
        <v>176.16</v>
      </c>
      <c r="J6" s="14">
        <f>BKNG!H$33</f>
        <v>199.35</v>
      </c>
      <c r="K6" s="14">
        <f>BKNG!I$33</f>
        <v>211.37</v>
      </c>
      <c r="L6" s="29">
        <f>BKNG!J$33</f>
        <v>13</v>
      </c>
      <c r="M6" s="14">
        <f>BKNG!K$33</f>
        <v>1</v>
      </c>
      <c r="N6" s="29">
        <f>BKNG!L$33</f>
        <v>165</v>
      </c>
      <c r="O6" s="29">
        <f>BKNG!M$33</f>
        <v>0</v>
      </c>
      <c r="P6" s="29">
        <f>100*BKNG!O$22</f>
        <v>6</v>
      </c>
      <c r="Q6" s="29">
        <f>100*BKNG!N$22</f>
        <v>30</v>
      </c>
      <c r="R6" s="29">
        <f>BKNG!Q$22</f>
        <v>19.999999999999996</v>
      </c>
      <c r="S6" s="14">
        <f t="shared" si="0"/>
        <v>10.782922502905373</v>
      </c>
    </row>
    <row r="7" spans="1:19" x14ac:dyDescent="0.3">
      <c r="A7" s="14" t="s">
        <v>125</v>
      </c>
      <c r="B7" s="14" t="s">
        <v>126</v>
      </c>
      <c r="C7" s="14" t="s">
        <v>127</v>
      </c>
      <c r="D7" s="14">
        <v>278</v>
      </c>
      <c r="E7" s="14">
        <f>V!C$33</f>
        <v>8</v>
      </c>
      <c r="F7" s="14">
        <f>V!D$33</f>
        <v>9.85</v>
      </c>
      <c r="G7" s="14">
        <f>V!E$33</f>
        <v>9.92</v>
      </c>
      <c r="H7" s="14">
        <f>V!F$33</f>
        <v>9.9600000000000009</v>
      </c>
      <c r="I7" s="14">
        <f>V!G$33</f>
        <v>10.71</v>
      </c>
      <c r="J7" s="14">
        <f>V!H$33</f>
        <v>11.07</v>
      </c>
      <c r="K7" s="14">
        <f>V!I$33</f>
        <v>11.25</v>
      </c>
      <c r="L7" s="14">
        <f>V!J$33</f>
        <v>15</v>
      </c>
      <c r="M7" s="14">
        <f>V!K$33</f>
        <v>1</v>
      </c>
      <c r="N7" s="14">
        <f>V!L$33</f>
        <v>175</v>
      </c>
      <c r="O7" s="14">
        <f>V!M$33</f>
        <v>0</v>
      </c>
      <c r="P7" s="29">
        <f>100*V!O$22</f>
        <v>6</v>
      </c>
      <c r="Q7" s="29">
        <f>100*V!N$22</f>
        <v>30</v>
      </c>
      <c r="R7" s="29">
        <f>V!Q$22</f>
        <v>19.999999999999996</v>
      </c>
      <c r="S7" s="14">
        <f t="shared" si="0"/>
        <v>20.342261904761902</v>
      </c>
    </row>
    <row r="8" spans="1:19" x14ac:dyDescent="0.3">
      <c r="A8" s="14" t="s">
        <v>125</v>
      </c>
      <c r="B8" s="14" t="s">
        <v>126</v>
      </c>
      <c r="C8" s="14" t="s">
        <v>128</v>
      </c>
      <c r="D8" s="14">
        <v>499</v>
      </c>
      <c r="E8" s="14">
        <f>MA!C$33</f>
        <v>12.26</v>
      </c>
      <c r="F8" s="14">
        <f>MA!D$33</f>
        <v>13.98</v>
      </c>
      <c r="G8" s="14">
        <f>MA!E$33</f>
        <v>14.31</v>
      </c>
      <c r="H8" s="14">
        <f>MA!F$33</f>
        <v>14.65</v>
      </c>
      <c r="I8" s="14">
        <f>MA!G$33</f>
        <v>15.94</v>
      </c>
      <c r="J8" s="14">
        <f>MA!H$33</f>
        <v>16.64</v>
      </c>
      <c r="K8" s="14">
        <f>MA!I$33</f>
        <v>17.25</v>
      </c>
      <c r="L8" s="14">
        <f>MA!J$33</f>
        <v>14</v>
      </c>
      <c r="M8" s="14">
        <f>MA!K$33</f>
        <v>1</v>
      </c>
      <c r="N8" s="14">
        <f>MA!L$33</f>
        <v>170</v>
      </c>
      <c r="O8" s="14">
        <f>MA!M$33</f>
        <v>0</v>
      </c>
      <c r="P8" s="29">
        <f>100*MA!O$22</f>
        <v>6</v>
      </c>
      <c r="Q8" s="29">
        <f>100*MA!N$22</f>
        <v>30</v>
      </c>
      <c r="R8" s="29">
        <f>MA!Q$22</f>
        <v>19.999999999999996</v>
      </c>
      <c r="S8" s="14">
        <f t="shared" si="0"/>
        <v>22.520386400702545</v>
      </c>
    </row>
    <row r="9" spans="1:19" x14ac:dyDescent="0.3">
      <c r="A9" s="14" t="s">
        <v>109</v>
      </c>
      <c r="B9" s="14" t="s">
        <v>110</v>
      </c>
      <c r="C9" s="14" t="s">
        <v>101</v>
      </c>
      <c r="D9" s="14">
        <v>237</v>
      </c>
      <c r="E9" s="14">
        <f>FSLR!C$33</f>
        <v>7.74</v>
      </c>
      <c r="F9" s="14">
        <f>FSLR!D$33</f>
        <v>13.18</v>
      </c>
      <c r="G9" s="14">
        <f>FSLR!E$33</f>
        <v>13.55</v>
      </c>
      <c r="H9" s="14">
        <f>FSLR!F$33</f>
        <v>14</v>
      </c>
      <c r="I9" s="14">
        <f>FSLR!G$33</f>
        <v>15.03</v>
      </c>
      <c r="J9" s="14">
        <f>FSLR!H$33</f>
        <v>21.19</v>
      </c>
      <c r="K9" s="14">
        <f>FSLR!I$33</f>
        <v>23.63</v>
      </c>
      <c r="L9" s="14">
        <f>FSLR!J$33</f>
        <v>11</v>
      </c>
      <c r="M9" s="14">
        <f>FSLR!K$33</f>
        <v>1</v>
      </c>
      <c r="N9" s="14">
        <f>FSLR!L$33</f>
        <v>155</v>
      </c>
      <c r="O9" s="14">
        <f>FSLR!M$33</f>
        <v>0</v>
      </c>
      <c r="P9" s="29">
        <f>100*FSLR!O$22</f>
        <v>2</v>
      </c>
      <c r="Q9" s="29">
        <f>100*FSLR!N$22</f>
        <v>12.427097353073128</v>
      </c>
      <c r="R9" s="29">
        <f>FSLR!Q$22</f>
        <v>10.48826714801444</v>
      </c>
      <c r="S9" s="14">
        <f t="shared" si="0"/>
        <v>14.2507469481952</v>
      </c>
    </row>
    <row r="10" spans="1:19" x14ac:dyDescent="0.3">
      <c r="A10" s="14" t="s">
        <v>109</v>
      </c>
      <c r="B10" s="14" t="s">
        <v>110</v>
      </c>
      <c r="C10" s="14" t="s">
        <v>129</v>
      </c>
      <c r="D10" s="14">
        <v>26</v>
      </c>
      <c r="E10" s="14">
        <f>JKS!C$33</f>
        <v>10.15</v>
      </c>
      <c r="F10" s="14">
        <f>JKS!D$33</f>
        <v>-0.42</v>
      </c>
      <c r="G10" s="14">
        <f>JKS!E$33</f>
        <v>0.52</v>
      </c>
      <c r="H10" s="14">
        <f>JKS!F$33</f>
        <v>2.29</v>
      </c>
      <c r="I10" s="14">
        <f>JKS!G$33</f>
        <v>-0.04</v>
      </c>
      <c r="J10" s="14">
        <f>JKS!H$33</f>
        <v>2.27</v>
      </c>
      <c r="K10" s="14">
        <f>JKS!I$33</f>
        <v>6.37</v>
      </c>
      <c r="L10" s="14">
        <f>JKS!J$33</f>
        <v>3</v>
      </c>
      <c r="M10" s="14">
        <f>JKS!K$33</f>
        <v>1</v>
      </c>
      <c r="N10" s="14">
        <f>JKS!L$33</f>
        <v>115</v>
      </c>
      <c r="O10" s="14">
        <f>JKS!M$33</f>
        <v>11</v>
      </c>
      <c r="P10" s="29">
        <f>100*JKS!O$22</f>
        <v>0</v>
      </c>
      <c r="Q10" s="29">
        <f>100*JKS!N$22</f>
        <v>2.5780202344058223</v>
      </c>
      <c r="R10" s="29">
        <f>JKS!Q$22</f>
        <v>9.9999999999999982</v>
      </c>
      <c r="S10" s="14">
        <f t="shared" si="0"/>
        <v>8.2911590128084978</v>
      </c>
    </row>
    <row r="11" spans="1:19" x14ac:dyDescent="0.3">
      <c r="A11" s="14" t="s">
        <v>109</v>
      </c>
      <c r="B11" s="14" t="s">
        <v>110</v>
      </c>
      <c r="C11" s="14" t="s">
        <v>130</v>
      </c>
      <c r="D11" s="14">
        <v>15.33</v>
      </c>
      <c r="E11" s="14">
        <f>CSIQ!C$33</f>
        <v>3.87</v>
      </c>
      <c r="F11" s="14">
        <f>CSIQ!D$33</f>
        <v>1.47</v>
      </c>
      <c r="G11" s="14">
        <f>CSIQ!E$33</f>
        <v>2.84</v>
      </c>
      <c r="H11" s="14">
        <f>CSIQ!F$33</f>
        <v>4.66</v>
      </c>
      <c r="I11" s="14">
        <f>CSIQ!G$33</f>
        <v>1.71</v>
      </c>
      <c r="J11" s="14">
        <f>CSIQ!H$33</f>
        <v>4.6900000000000004</v>
      </c>
      <c r="K11" s="14">
        <f>CSIQ!I$33</f>
        <v>7.08</v>
      </c>
      <c r="L11" s="14">
        <f>CSIQ!J$33</f>
        <v>4</v>
      </c>
      <c r="M11" s="14">
        <f>CSIQ!K$33</f>
        <v>1</v>
      </c>
      <c r="N11" s="14">
        <f>CSIQ!L$33</f>
        <v>120</v>
      </c>
      <c r="O11" s="14">
        <f>CSIQ!M$33</f>
        <v>0</v>
      </c>
      <c r="P11" s="29">
        <f>100*CSIQ!O$22</f>
        <v>2</v>
      </c>
      <c r="Q11" s="29">
        <f>100*CSIQ!N$22</f>
        <v>7.0000000000000009</v>
      </c>
      <c r="R11" s="29">
        <f>CSIQ!Q$22</f>
        <v>8.928571428571427</v>
      </c>
      <c r="S11" s="14">
        <f t="shared" si="0"/>
        <v>7.8326236604925121</v>
      </c>
    </row>
    <row r="12" spans="1:19" x14ac:dyDescent="0.3">
      <c r="A12" s="14" t="s">
        <v>109</v>
      </c>
      <c r="B12" s="14" t="s">
        <v>111</v>
      </c>
      <c r="C12" s="14" t="s">
        <v>121</v>
      </c>
      <c r="D12" s="14">
        <v>257.64999999999998</v>
      </c>
      <c r="E12" s="14">
        <f>TSLA!C$33</f>
        <v>3.12</v>
      </c>
      <c r="F12" s="14">
        <f>TSLA!D$33</f>
        <v>1.73</v>
      </c>
      <c r="G12" s="14">
        <f>TSLA!E$33</f>
        <v>2.56</v>
      </c>
      <c r="H12" s="14">
        <f>TSLA!F$33</f>
        <v>3.41</v>
      </c>
      <c r="I12" s="14">
        <f>TSLA!G$33</f>
        <v>1.65</v>
      </c>
      <c r="J12" s="14">
        <f>TSLA!H$33</f>
        <v>3.4</v>
      </c>
      <c r="K12" s="14">
        <f>TSLA!I$33</f>
        <v>5.84</v>
      </c>
      <c r="L12" s="14">
        <f>TSLA!J$33</f>
        <v>13</v>
      </c>
      <c r="M12" s="14">
        <f>TSLA!K$33</f>
        <v>1</v>
      </c>
      <c r="N12" s="14">
        <f>TSLA!L$33</f>
        <v>165</v>
      </c>
      <c r="O12" s="14">
        <f>TSLA!M$33</f>
        <v>0</v>
      </c>
      <c r="P12" s="29">
        <f>100*TSLA!O$22</f>
        <v>8.5113063536227571</v>
      </c>
      <c r="Q12" s="29">
        <f>100*TSLA!N$22</f>
        <v>23.947057508701345</v>
      </c>
      <c r="R12" s="29">
        <f>TSLA!Q$22</f>
        <v>43.298243307470216</v>
      </c>
      <c r="S12" s="14">
        <f t="shared" si="0"/>
        <v>48.006691431128566</v>
      </c>
    </row>
    <row r="13" spans="1:19" x14ac:dyDescent="0.3">
      <c r="A13" s="14" t="s">
        <v>109</v>
      </c>
      <c r="B13" s="14" t="s">
        <v>131</v>
      </c>
      <c r="C13" s="14" t="s">
        <v>107</v>
      </c>
      <c r="D13" s="14">
        <v>72.34</v>
      </c>
      <c r="E13" s="14">
        <f>ON!C$33</f>
        <v>5.16</v>
      </c>
      <c r="F13" s="14">
        <f>ON!D$33</f>
        <v>3.91</v>
      </c>
      <c r="G13" s="14">
        <f>ON!E$33</f>
        <v>4.01</v>
      </c>
      <c r="H13" s="14">
        <f>ON!F$33</f>
        <v>4.16</v>
      </c>
      <c r="I13" s="14">
        <f>ON!G$33</f>
        <v>3.5</v>
      </c>
      <c r="J13" s="14">
        <f>ON!H$33</f>
        <v>4.7699999999999996</v>
      </c>
      <c r="K13" s="14">
        <f>ON!I$33</f>
        <v>5.45</v>
      </c>
      <c r="L13" s="14">
        <f>ON!J$33</f>
        <v>9</v>
      </c>
      <c r="M13" s="14">
        <f>ON!K$33</f>
        <v>1</v>
      </c>
      <c r="N13" s="14">
        <f>ON!L$33</f>
        <v>145</v>
      </c>
      <c r="O13" s="14">
        <f>ON!M$33</f>
        <v>0</v>
      </c>
      <c r="P13" s="29">
        <f>100*ON!O$22</f>
        <v>7.2556531768113786</v>
      </c>
      <c r="Q13" s="29">
        <f>100*ON!N$22</f>
        <v>30</v>
      </c>
      <c r="R13" s="29">
        <f>ON!Q$22</f>
        <v>17.063862291109384</v>
      </c>
      <c r="S13" s="14">
        <f t="shared" si="0"/>
        <v>14.280465910922322</v>
      </c>
    </row>
    <row r="14" spans="1:19" x14ac:dyDescent="0.3">
      <c r="A14" s="14" t="s">
        <v>109</v>
      </c>
      <c r="B14" s="14" t="s">
        <v>114</v>
      </c>
      <c r="C14" s="14" t="s">
        <v>132</v>
      </c>
      <c r="D14" s="14">
        <v>78.78</v>
      </c>
      <c r="E14" s="14">
        <f>MCHP!C$33</f>
        <v>4.92</v>
      </c>
      <c r="F14" s="14">
        <f>MCHP!D$33</f>
        <v>2.38</v>
      </c>
      <c r="G14" s="14">
        <f>MCHP!E$33</f>
        <v>2.62</v>
      </c>
      <c r="H14" s="14">
        <f>MCHP!F$33</f>
        <v>2.98</v>
      </c>
      <c r="I14" s="14">
        <f>MCHP!G$33</f>
        <v>2.63</v>
      </c>
      <c r="J14" s="14">
        <f>MCHP!H$33</f>
        <v>4.1399999999999997</v>
      </c>
      <c r="K14" s="14">
        <f>MCHP!I$33</f>
        <v>5.17</v>
      </c>
      <c r="L14" s="14">
        <f>MCHP!J$33</f>
        <v>0</v>
      </c>
      <c r="M14" s="14">
        <f>MCHP!K$33</f>
        <v>1</v>
      </c>
      <c r="N14" s="14">
        <f>MCHP!L$33</f>
        <v>100</v>
      </c>
      <c r="O14" s="14">
        <f>MCHP!M$33</f>
        <v>2</v>
      </c>
      <c r="P14" s="29">
        <f>100*MCHP!O$22</f>
        <v>6</v>
      </c>
      <c r="Q14" s="29">
        <f>100*MCHP!N$22</f>
        <v>30</v>
      </c>
      <c r="R14" s="29">
        <f>MCHP!Q$22</f>
        <v>19.999999999999996</v>
      </c>
      <c r="S14" s="14">
        <f t="shared" si="0"/>
        <v>16.96551724137931</v>
      </c>
    </row>
    <row r="15" spans="1:19" x14ac:dyDescent="0.3">
      <c r="A15" s="14" t="s">
        <v>120</v>
      </c>
      <c r="B15" s="14" t="s">
        <v>119</v>
      </c>
      <c r="C15" s="14" t="s">
        <v>122</v>
      </c>
      <c r="D15" s="14">
        <v>285</v>
      </c>
      <c r="E15" s="14">
        <f>CRM!C$33</f>
        <v>8.2200000000000006</v>
      </c>
      <c r="F15" s="14">
        <f>CRM!D$33</f>
        <v>10.01</v>
      </c>
      <c r="G15" s="14">
        <f>CRM!E$33</f>
        <v>10.039999999999999</v>
      </c>
      <c r="H15" s="14">
        <f>CRM!F$33</f>
        <v>10.26</v>
      </c>
      <c r="I15" s="14">
        <f>CRM!G$33</f>
        <v>10.53</v>
      </c>
      <c r="J15" s="14">
        <f>CRM!H$33</f>
        <v>11.13</v>
      </c>
      <c r="K15" s="14">
        <f>CRM!I$33</f>
        <v>11.96</v>
      </c>
      <c r="L15" s="14">
        <f>CRM!J$33</f>
        <v>13</v>
      </c>
      <c r="M15" s="14">
        <f>CRM!K$33</f>
        <v>1</v>
      </c>
      <c r="N15" s="14">
        <f>CRM!L$33</f>
        <v>165</v>
      </c>
      <c r="O15" s="14">
        <f>CRM!M$33</f>
        <v>0</v>
      </c>
      <c r="P15" s="29">
        <f>100*CRM!O$22</f>
        <v>6</v>
      </c>
      <c r="Q15" s="29">
        <f>100*CRM!N$22</f>
        <v>12.55524246845135</v>
      </c>
      <c r="R15" s="29">
        <f>CRM!Q$22</f>
        <v>17.4977295741527</v>
      </c>
      <c r="S15" s="14">
        <f t="shared" si="0"/>
        <v>19.571167251260103</v>
      </c>
    </row>
    <row r="16" spans="1:19" x14ac:dyDescent="0.3">
      <c r="A16" s="14" t="s">
        <v>120</v>
      </c>
      <c r="B16" s="14" t="s">
        <v>119</v>
      </c>
      <c r="C16" s="14" t="s">
        <v>133</v>
      </c>
      <c r="D16" s="14">
        <v>505</v>
      </c>
      <c r="E16" s="14">
        <f>ADBE!C$33</f>
        <v>14.81</v>
      </c>
      <c r="F16" s="14">
        <f>ADBE!D$33</f>
        <v>16.77</v>
      </c>
      <c r="G16" s="14">
        <f>ADBE!E$33</f>
        <v>16.920000000000002</v>
      </c>
      <c r="H16" s="14">
        <f>ADBE!F$33</f>
        <v>17.3</v>
      </c>
      <c r="I16" s="14">
        <f>ADBE!G$33</f>
        <v>18.489999999999998</v>
      </c>
      <c r="J16" s="14">
        <f>ADBE!H$33</f>
        <v>19.170000000000002</v>
      </c>
      <c r="K16" s="14">
        <f>ADBE!I$33</f>
        <v>20.079999999999998</v>
      </c>
      <c r="L16" s="14">
        <f>ADBE!J$33</f>
        <v>14</v>
      </c>
      <c r="M16" s="14">
        <f>ADBE!K$33</f>
        <v>1</v>
      </c>
      <c r="N16" s="14">
        <f>ADBE!L$33</f>
        <v>170</v>
      </c>
      <c r="O16" s="14">
        <f>ADBE!M$33</f>
        <v>0</v>
      </c>
      <c r="P16" s="29">
        <f>100*ADBE!O$22</f>
        <v>6</v>
      </c>
      <c r="Q16" s="29">
        <f>100*ADBE!N$22</f>
        <v>30</v>
      </c>
      <c r="R16" s="29">
        <f>ADBE!Q$22</f>
        <v>19.999999999999996</v>
      </c>
      <c r="S16" s="14">
        <f t="shared" si="0"/>
        <v>20.610358230906606</v>
      </c>
    </row>
    <row r="17" spans="1:19" x14ac:dyDescent="0.3">
      <c r="A17" s="14" t="s">
        <v>120</v>
      </c>
      <c r="B17" s="14" t="s">
        <v>86</v>
      </c>
      <c r="C17" s="14" t="s">
        <v>134</v>
      </c>
      <c r="D17" s="14">
        <v>420</v>
      </c>
      <c r="E17" s="14">
        <f>MSFT!C$33</f>
        <v>11.8</v>
      </c>
      <c r="F17" s="14">
        <f>MSFT!D$33</f>
        <v>12.74</v>
      </c>
      <c r="G17" s="14">
        <f>MSFT!E$33</f>
        <v>13.08</v>
      </c>
      <c r="H17" s="14">
        <f>MSFT!F$33</f>
        <v>13.64</v>
      </c>
      <c r="I17" s="14">
        <f>MSFT!G$33</f>
        <v>14.23</v>
      </c>
      <c r="J17" s="14">
        <f>MSFT!H$33</f>
        <v>15.22</v>
      </c>
      <c r="K17" s="14">
        <f>MSFT!I$33</f>
        <v>16.260000000000002</v>
      </c>
      <c r="L17" s="14">
        <f>MSFT!J$33</f>
        <v>14</v>
      </c>
      <c r="M17" s="14">
        <f>MSFT!K$33</f>
        <v>1</v>
      </c>
      <c r="N17" s="14">
        <f>MSFT!L$33</f>
        <v>170</v>
      </c>
      <c r="O17" s="14">
        <f>MSFT!M$33</f>
        <v>0</v>
      </c>
      <c r="P17" s="29">
        <f>100*MSFT!O$22</f>
        <v>6</v>
      </c>
      <c r="Q17" s="29">
        <f>100*MSFT!N$22</f>
        <v>30</v>
      </c>
      <c r="R17" s="29">
        <f>MSFT!Q$22</f>
        <v>19.999999999999996</v>
      </c>
      <c r="S17" s="14">
        <f t="shared" si="0"/>
        <v>21.2540192926045</v>
      </c>
    </row>
    <row r="18" spans="1:19" x14ac:dyDescent="0.3">
      <c r="A18" s="14" t="s">
        <v>120</v>
      </c>
      <c r="B18" s="14" t="s">
        <v>86</v>
      </c>
      <c r="C18" s="14" t="s">
        <v>135</v>
      </c>
      <c r="D18" s="14">
        <v>169</v>
      </c>
      <c r="E18" s="14">
        <f>GOOG!C$33</f>
        <v>5.8</v>
      </c>
      <c r="F18" s="14">
        <f>GOOG!D$33</f>
        <v>7.24</v>
      </c>
      <c r="G18" s="14">
        <f>GOOG!E$33</f>
        <v>7.65</v>
      </c>
      <c r="H18" s="14">
        <f>GOOG!F$33</f>
        <v>7.98</v>
      </c>
      <c r="I18" s="14">
        <f>GOOG!G$33</f>
        <v>8.02</v>
      </c>
      <c r="J18" s="14">
        <f>GOOG!H$33</f>
        <v>8.69</v>
      </c>
      <c r="K18" s="14">
        <f>GOOG!I$33</f>
        <v>9.8000000000000007</v>
      </c>
      <c r="L18" s="14">
        <f>GOOG!J$33</f>
        <v>14</v>
      </c>
      <c r="M18" s="14">
        <f>GOOG!K$33</f>
        <v>1</v>
      </c>
      <c r="N18" s="14">
        <f>GOOG!L$33</f>
        <v>170</v>
      </c>
      <c r="O18" s="14">
        <f>GOOG!M$33</f>
        <v>0</v>
      </c>
      <c r="P18" s="29">
        <f>100*GOOG!O$22</f>
        <v>6</v>
      </c>
      <c r="Q18" s="29">
        <f>100*GOOG!N$22</f>
        <v>30</v>
      </c>
      <c r="R18" s="29">
        <f>GOOG!Q$22</f>
        <v>19.6551724137931</v>
      </c>
      <c r="S18" s="14">
        <f t="shared" si="0"/>
        <v>18.261761312652222</v>
      </c>
    </row>
    <row r="19" spans="1:19" x14ac:dyDescent="0.3">
      <c r="A19" s="14" t="s">
        <v>120</v>
      </c>
      <c r="B19" s="14" t="s">
        <v>86</v>
      </c>
      <c r="C19" s="14" t="s">
        <v>136</v>
      </c>
      <c r="D19" s="14">
        <v>227</v>
      </c>
      <c r="E19" s="14">
        <f>APPL!C$33</f>
        <v>5.73</v>
      </c>
      <c r="F19" s="14">
        <f>APPL!D$33</f>
        <v>6.46</v>
      </c>
      <c r="G19" s="14">
        <f>APPL!E$33</f>
        <v>6.59</v>
      </c>
      <c r="H19" s="14">
        <f>APPL!F$33</f>
        <v>6.92</v>
      </c>
      <c r="I19" s="14">
        <f>APPL!G$33</f>
        <v>6.4</v>
      </c>
      <c r="J19" s="14">
        <f>APPL!H$33</f>
        <v>7.29</v>
      </c>
      <c r="K19" s="14">
        <f>APPL!I$33</f>
        <v>8.1</v>
      </c>
      <c r="L19" s="14">
        <f>APPL!J$33</f>
        <v>11</v>
      </c>
      <c r="M19" s="14">
        <f>APPL!K$33</f>
        <v>1</v>
      </c>
      <c r="N19" s="14">
        <f>APPL!L$33</f>
        <v>155</v>
      </c>
      <c r="O19" s="14">
        <f>APPL!M$33</f>
        <v>0</v>
      </c>
      <c r="P19" s="29">
        <f>100*APPL!O$22</f>
        <v>6</v>
      </c>
      <c r="Q19" s="29">
        <f>100*APPL!N$22</f>
        <v>30</v>
      </c>
      <c r="R19" s="29">
        <f>APPL!Q$22</f>
        <v>19.999999999999996</v>
      </c>
      <c r="S19" s="14">
        <f t="shared" si="0"/>
        <v>22.283549783549784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E0D19-3C1A-4984-8947-C668F9269F15}">
  <dimension ref="A1:T39"/>
  <sheetViews>
    <sheetView topLeftCell="A14" workbookViewId="0">
      <selection activeCell="B38" sqref="B38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10467</v>
      </c>
      <c r="C4" s="1">
        <v>16071</v>
      </c>
      <c r="D4" s="1">
        <v>21747</v>
      </c>
      <c r="E4" s="1">
        <v>52961</v>
      </c>
      <c r="F4" s="1">
        <v>2823</v>
      </c>
      <c r="G4" s="1">
        <v>140976</v>
      </c>
      <c r="H4" s="1">
        <v>8704</v>
      </c>
      <c r="I4" s="1">
        <v>131737</v>
      </c>
      <c r="J4" s="2">
        <v>1.6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1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0.41062291119880667</v>
      </c>
      <c r="C10" s="5">
        <f>C4/E4</f>
        <v>0.30344970827590112</v>
      </c>
      <c r="D10" s="6">
        <f>B4/E4</f>
        <v>0.19763599629916354</v>
      </c>
      <c r="E10" s="7">
        <f>B4/F4</f>
        <v>3.7077577045696066</v>
      </c>
      <c r="G10" s="5">
        <f>B4/G4</f>
        <v>7.4246680286006131E-2</v>
      </c>
      <c r="H10" s="5">
        <f>C4/G4</f>
        <v>0.11399812734082397</v>
      </c>
      <c r="I10" s="5">
        <f>B4/H4</f>
        <v>1.2025505514705883</v>
      </c>
      <c r="J10" s="19">
        <f>E4/G4</f>
        <v>0.375673873567132</v>
      </c>
      <c r="K10" s="2">
        <f>G4/H4</f>
        <v>16.196691176470587</v>
      </c>
      <c r="L10" s="2">
        <f>(H10-K4)/K27/N4</f>
        <v>2.1072275227429302</v>
      </c>
      <c r="M10" s="5">
        <f>H27*F4/1000/H28*J10*L10+K4*(1-L10)</f>
        <v>0.19449111382011888</v>
      </c>
      <c r="N10" s="5">
        <f>MIN(M10,N22)/K10+K4*(K10-1)/K10</f>
        <v>5.8921026661916315E-2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/>
      <c r="E16" s="5"/>
      <c r="F16" s="8"/>
      <c r="G16" s="17">
        <f>E27*$F4/1000/E28</f>
        <v>0.30467535831462617</v>
      </c>
      <c r="H16" s="17">
        <f>H27*$F4/1000/H28</f>
        <v>0.31561763333851661</v>
      </c>
      <c r="I16" s="8">
        <f>H16-G16</f>
        <v>1.0942275023890446E-2</v>
      </c>
      <c r="J16" s="3">
        <f>J4/E27</f>
        <v>0.25600000000000001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0.1061</v>
      </c>
      <c r="C22" s="9">
        <v>9.01E-2</v>
      </c>
      <c r="D22" s="3">
        <f>C22</f>
        <v>9.01E-2</v>
      </c>
      <c r="F22" s="3">
        <f>J28</f>
        <v>0.10195856946699777</v>
      </c>
      <c r="G22" s="3">
        <v>0</v>
      </c>
      <c r="H22" s="3">
        <f>MAX((MIN(I10,N22)*(1-J16)-SUM(F22:G22))*N10,0)</f>
        <v>7.1436695609638978E-3</v>
      </c>
      <c r="I22" s="3">
        <f>SUM(F22:H22)</f>
        <v>0.10910223902796166</v>
      </c>
      <c r="J22" s="5">
        <f>J4/B33</f>
        <v>1.1111111111111112E-2</v>
      </c>
      <c r="L22" s="3">
        <f>OI!C14</f>
        <v>0.15</v>
      </c>
      <c r="N22" s="10">
        <v>0.3</v>
      </c>
      <c r="O22" s="3">
        <f>OI!D14</f>
        <v>0.06</v>
      </c>
      <c r="P22" s="3">
        <f>N22-O22</f>
        <v>0.24</v>
      </c>
      <c r="Q22" s="13">
        <f>P22/(L4-O22)/N22</f>
        <v>19.999999999999996</v>
      </c>
      <c r="S22" s="5">
        <f>SUM(D22,I22,L22)/3</f>
        <v>0.11640074634265389</v>
      </c>
      <c r="T22" s="3">
        <f>J22</f>
        <v>1.1111111111111112E-2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tr">
        <f>A33</f>
        <v>ORCL</v>
      </c>
      <c r="C27" s="1">
        <v>5.56</v>
      </c>
      <c r="D27" s="1">
        <v>6.04</v>
      </c>
      <c r="E27" s="1">
        <v>6.25</v>
      </c>
      <c r="F27" s="1">
        <v>6.59</v>
      </c>
      <c r="G27" s="1">
        <v>6.54</v>
      </c>
      <c r="H27" s="1">
        <v>7.19</v>
      </c>
      <c r="I27" s="1">
        <v>7.8</v>
      </c>
      <c r="J27" s="5">
        <f>(H27/C27)^0.5-1</f>
        <v>0.13717433475518592</v>
      </c>
      <c r="K27" s="11">
        <f>(H27-G27)/G4*F4</f>
        <v>1.3016045284303718E-2</v>
      </c>
    </row>
    <row r="28" spans="1:20" x14ac:dyDescent="0.3">
      <c r="A28" s="1" t="s">
        <v>117</v>
      </c>
      <c r="C28" s="1">
        <v>52.96</v>
      </c>
      <c r="D28" s="1">
        <v>56.54</v>
      </c>
      <c r="E28" s="1">
        <v>57.91</v>
      </c>
      <c r="F28" s="1">
        <v>58.37</v>
      </c>
      <c r="G28" s="1">
        <v>61.19</v>
      </c>
      <c r="H28" s="1">
        <v>64.31</v>
      </c>
      <c r="I28" s="1">
        <v>65.53</v>
      </c>
      <c r="J28" s="5">
        <f>(H28/C28)^0.5-1</f>
        <v>0.10195856946699777</v>
      </c>
      <c r="K28" s="11">
        <f>(H28-G28)/G4*1000</f>
        <v>2.2131426625808682E-2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141</v>
      </c>
      <c r="B33" s="1">
        <v>144</v>
      </c>
      <c r="C33" s="1">
        <f>C27</f>
        <v>5.56</v>
      </c>
      <c r="D33" s="1">
        <f t="shared" ref="D33:I33" si="0">D27</f>
        <v>6.04</v>
      </c>
      <c r="E33" s="1">
        <f t="shared" si="0"/>
        <v>6.25</v>
      </c>
      <c r="F33" s="1">
        <f t="shared" si="0"/>
        <v>6.59</v>
      </c>
      <c r="G33" s="1">
        <f t="shared" si="0"/>
        <v>6.54</v>
      </c>
      <c r="H33" s="1">
        <f t="shared" si="0"/>
        <v>7.19</v>
      </c>
      <c r="I33" s="1">
        <f t="shared" si="0"/>
        <v>7.8</v>
      </c>
      <c r="J33" s="13">
        <f>INT(S22*100)</f>
        <v>11</v>
      </c>
      <c r="K33" s="1">
        <v>1</v>
      </c>
      <c r="L33" s="15">
        <f>100+J33*5</f>
        <v>155</v>
      </c>
      <c r="M33" s="13">
        <f>INT(T22*100)</f>
        <v>1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H27*(1+S22+T22)^10/(1+L4)^12*Q22</f>
        <v>152.14505529254649</v>
      </c>
    </row>
    <row r="38" spans="1:13" x14ac:dyDescent="0.3">
      <c r="A38" s="3">
        <v>0.8</v>
      </c>
      <c r="B38" s="13">
        <f>B37*A38</f>
        <v>121.7160442340372</v>
      </c>
    </row>
    <row r="39" spans="1:13" x14ac:dyDescent="0.3">
      <c r="A39" s="1" t="s">
        <v>70</v>
      </c>
      <c r="B39" s="13">
        <f>G27*(1+S22+T22)^10/(1+L4)^12*Q22</f>
        <v>138.39063443856105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4C19-7A83-4D11-A083-B306AC5F2A73}">
  <dimension ref="A1:T39"/>
  <sheetViews>
    <sheetView topLeftCell="A7" workbookViewId="0">
      <selection activeCell="B37" sqref="B37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73795</v>
      </c>
      <c r="C4" s="1">
        <v>84293</v>
      </c>
      <c r="D4" s="1">
        <v>174062</v>
      </c>
      <c r="E4" s="1">
        <v>307394</v>
      </c>
      <c r="F4" s="1">
        <v>12722</v>
      </c>
      <c r="G4" s="1">
        <v>402392</v>
      </c>
      <c r="H4" s="1">
        <v>283379</v>
      </c>
      <c r="I4" s="1">
        <v>119013</v>
      </c>
      <c r="J4" s="2">
        <v>0.8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1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0.56625047984020505</v>
      </c>
      <c r="C10" s="5">
        <f>C4/E4</f>
        <v>0.27421810445226646</v>
      </c>
      <c r="D10" s="6">
        <f>B4/E4</f>
        <v>0.24006649446638517</v>
      </c>
      <c r="E10" s="7">
        <f>B4/F4</f>
        <v>5.800581669548813</v>
      </c>
      <c r="G10" s="5">
        <f>B4/G4</f>
        <v>0.18339082287918249</v>
      </c>
      <c r="H10" s="5">
        <f>C4/G4</f>
        <v>0.2094798107318237</v>
      </c>
      <c r="I10" s="5">
        <f>B4/H4</f>
        <v>0.26041096905557576</v>
      </c>
      <c r="J10" s="19">
        <f>E4/G4</f>
        <v>0.76391677766953614</v>
      </c>
      <c r="K10" s="2">
        <f>G4/H4</f>
        <v>1.4199781917502707</v>
      </c>
      <c r="L10" s="2">
        <f>(H10-K4)/K27/N4</f>
        <v>3.2266218484240157</v>
      </c>
      <c r="M10" s="5">
        <f>H27*F4/1000/H28*J10*L10+K4*(1-L10)</f>
        <v>0.59803177141456021</v>
      </c>
      <c r="N10" s="5">
        <f>MIN(M10,N22)/K10+K4*(K10-1)/K10</f>
        <v>0.22605904192926302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/>
      <c r="E16" s="5"/>
      <c r="F16" s="8"/>
      <c r="G16" s="17">
        <f>E27*$F4/1000/E28</f>
        <v>0.28090775269872426</v>
      </c>
      <c r="H16" s="17">
        <f>H27*$F4/1000/H28</f>
        <v>0.28778909280229076</v>
      </c>
      <c r="I16" s="8">
        <f>H16-G16</f>
        <v>6.8813401035665023E-3</v>
      </c>
      <c r="J16" s="3">
        <f>J4/E27</f>
        <v>0.10457516339869281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149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0.23699999999999999</v>
      </c>
      <c r="C22" s="9">
        <v>0.19700000000000001</v>
      </c>
      <c r="D22" s="3">
        <v>0.15</v>
      </c>
      <c r="F22" s="3">
        <f>J28</f>
        <v>0.1179066800617945</v>
      </c>
      <c r="G22" s="3">
        <v>0</v>
      </c>
      <c r="H22" s="3">
        <f>MAX((MIN(I10,N22)*(1-J16)-SUM(F22:G22))*N10,0)</f>
        <v>2.6058225741652268E-2</v>
      </c>
      <c r="I22" s="3">
        <f>SUM(F22:H22)</f>
        <v>0.14396490580344676</v>
      </c>
      <c r="J22" s="5">
        <f>J4/B33</f>
        <v>4.7619047619047623E-3</v>
      </c>
      <c r="L22" s="3">
        <f>OI!C14</f>
        <v>0.15</v>
      </c>
      <c r="N22" s="10">
        <v>0.3</v>
      </c>
      <c r="O22" s="3">
        <f>OI!D14</f>
        <v>0.06</v>
      </c>
      <c r="P22" s="3">
        <f>N22-O22</f>
        <v>0.24</v>
      </c>
      <c r="Q22" s="13">
        <f>(P22/(L4-O22)/N22+10+B33/C33)/3</f>
        <v>19.6551724137931</v>
      </c>
      <c r="S22" s="5">
        <f>SUM(D22,I22,L22)/3</f>
        <v>0.14798830193448223</v>
      </c>
      <c r="T22" s="3">
        <f>J22</f>
        <v>4.7619047619047623E-3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">
        <v>135</v>
      </c>
      <c r="C27" s="1">
        <v>5.8</v>
      </c>
      <c r="D27" s="1">
        <v>7.24</v>
      </c>
      <c r="E27" s="1">
        <v>7.65</v>
      </c>
      <c r="F27" s="1">
        <v>7.98</v>
      </c>
      <c r="G27" s="1">
        <v>8.02</v>
      </c>
      <c r="H27" s="1">
        <v>8.69</v>
      </c>
      <c r="I27" s="1">
        <v>9.8000000000000007</v>
      </c>
      <c r="J27" s="5">
        <f>(H27/C27)^0.5-1</f>
        <v>0.22404079264907084</v>
      </c>
      <c r="K27" s="11">
        <f>(H27-G27)/G4*F4</f>
        <v>2.1182677588023616E-2</v>
      </c>
    </row>
    <row r="28" spans="1:20" x14ac:dyDescent="0.3">
      <c r="A28" s="1" t="s">
        <v>117</v>
      </c>
      <c r="C28" s="1">
        <v>307.39</v>
      </c>
      <c r="D28" s="1">
        <v>341.65</v>
      </c>
      <c r="E28" s="1">
        <v>346.46</v>
      </c>
      <c r="F28" s="1">
        <v>353.69</v>
      </c>
      <c r="G28" s="1">
        <v>374.64</v>
      </c>
      <c r="H28" s="1">
        <v>384.15</v>
      </c>
      <c r="I28" s="1">
        <v>406.27</v>
      </c>
      <c r="J28" s="5">
        <f>(H28/C28)^0.5-1</f>
        <v>0.1179066800617945</v>
      </c>
      <c r="K28" s="11">
        <f>(H28-G28)/G4*1000</f>
        <v>2.3633670649515874E-2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135</v>
      </c>
      <c r="B33" s="1">
        <v>168</v>
      </c>
      <c r="C33" s="1">
        <f>C27</f>
        <v>5.8</v>
      </c>
      <c r="D33" s="1">
        <f t="shared" ref="D33:I33" si="0">D27</f>
        <v>7.24</v>
      </c>
      <c r="E33" s="1">
        <f t="shared" si="0"/>
        <v>7.65</v>
      </c>
      <c r="F33" s="1">
        <f t="shared" si="0"/>
        <v>7.98</v>
      </c>
      <c r="G33" s="1">
        <f t="shared" si="0"/>
        <v>8.02</v>
      </c>
      <c r="H33" s="1">
        <f t="shared" si="0"/>
        <v>8.69</v>
      </c>
      <c r="I33" s="1">
        <f t="shared" si="0"/>
        <v>9.8000000000000007</v>
      </c>
      <c r="J33" s="13">
        <f>INT(S22*100)</f>
        <v>14</v>
      </c>
      <c r="K33" s="1">
        <v>1</v>
      </c>
      <c r="L33" s="15">
        <f>100+J33*5</f>
        <v>170</v>
      </c>
      <c r="M33" s="13">
        <f>INT(T22*100)</f>
        <v>0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H27*(1+S22+T22)^10/(1+L4-J22)^12*Q22</f>
        <v>237.54518209218259</v>
      </c>
    </row>
    <row r="38" spans="1:13" x14ac:dyDescent="0.3">
      <c r="A38" s="3">
        <v>0.8</v>
      </c>
      <c r="B38" s="13">
        <f>B37*A38</f>
        <v>190.03614567374609</v>
      </c>
    </row>
    <row r="39" spans="1:13" x14ac:dyDescent="0.3">
      <c r="A39" s="1" t="s">
        <v>70</v>
      </c>
      <c r="B39" s="13">
        <f>G27*(1+S22+T22)^10/(1+L4-J22)^12*Q22</f>
        <v>219.2304212174113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877D-EC06-45E7-8654-CD8B72E17E3B}">
  <dimension ref="A1:T39"/>
  <sheetViews>
    <sheetView topLeftCell="A9" workbookViewId="0">
      <selection activeCell="C27" sqref="C27:I27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72361</v>
      </c>
      <c r="C4" s="1">
        <v>88523</v>
      </c>
      <c r="D4" s="1">
        <v>146052</v>
      </c>
      <c r="E4" s="1">
        <v>211915</v>
      </c>
      <c r="F4" s="1">
        <v>7472</v>
      </c>
      <c r="G4" s="1">
        <v>411976</v>
      </c>
      <c r="H4" s="1">
        <v>206223</v>
      </c>
      <c r="I4" s="1">
        <v>205753</v>
      </c>
      <c r="J4" s="2">
        <v>3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1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0.68920085883491022</v>
      </c>
      <c r="C10" s="5">
        <f>C4/E4</f>
        <v>0.41772880636104098</v>
      </c>
      <c r="D10" s="6">
        <f>B4/E4</f>
        <v>0.34146237878394642</v>
      </c>
      <c r="E10" s="7">
        <f>B4/F4</f>
        <v>9.6842880085653107</v>
      </c>
      <c r="G10" s="5">
        <f>B4/G4</f>
        <v>0.175643726819038</v>
      </c>
      <c r="H10" s="5">
        <f>C4/G4</f>
        <v>0.21487416742722876</v>
      </c>
      <c r="I10" s="5">
        <f>B4/H4</f>
        <v>0.35088714643856406</v>
      </c>
      <c r="J10" s="19">
        <f>E4/G4</f>
        <v>0.51438676039380937</v>
      </c>
      <c r="K10" s="2">
        <f>G4/H4</f>
        <v>1.9977209137681053</v>
      </c>
      <c r="L10" s="2">
        <f>(H10-K4)/K27/N4</f>
        <v>3.9352804582997289</v>
      </c>
      <c r="M10" s="5">
        <f>H27*F4/1000/H28*J10*L10+K4*(1-L10)</f>
        <v>0.73630086013512863</v>
      </c>
      <c r="N10" s="5">
        <f>MIN(M10,N22)/K10+K4*(K10-1)/K10</f>
        <v>0.175142605394489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/>
      <c r="E16" s="5"/>
      <c r="F16" s="8"/>
      <c r="G16" s="17">
        <f>E27*$F4/1000/E28</f>
        <v>0.42867564366858191</v>
      </c>
      <c r="H16" s="17">
        <f>H27*$F4/1000/H28</f>
        <v>0.43624166634700223</v>
      </c>
      <c r="I16" s="8">
        <f>H16-G16</f>
        <v>7.5660226784203255E-3</v>
      </c>
      <c r="J16" s="3">
        <f>J4/E27</f>
        <v>0.2293577981651376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0.19969999999999999</v>
      </c>
      <c r="C22" s="9">
        <v>0.15110000000000001</v>
      </c>
      <c r="D22" s="3">
        <v>0.15110000000000001</v>
      </c>
      <c r="F22" s="3">
        <f>J28</f>
        <v>0.1091402357989335</v>
      </c>
      <c r="G22" s="3">
        <v>0</v>
      </c>
      <c r="H22" s="3">
        <f>MAX((MIN(I10,N22)*(1-J16)-SUM(F22:G22))*N10,0)</f>
        <v>2.1376579665696945E-2</v>
      </c>
      <c r="I22" s="3">
        <f>SUM(F22:H22)</f>
        <v>0.13051681546463045</v>
      </c>
      <c r="J22" s="5">
        <f>J4/B33</f>
        <v>6.8181818181818179E-3</v>
      </c>
      <c r="L22" s="3">
        <f>OI!C14</f>
        <v>0.15</v>
      </c>
      <c r="N22" s="10">
        <v>0.3</v>
      </c>
      <c r="O22" s="3">
        <f>OI!D14</f>
        <v>0.06</v>
      </c>
      <c r="P22" s="3">
        <f>N22-O22</f>
        <v>0.24</v>
      </c>
      <c r="Q22" s="13">
        <f>P22/(L4-O22)/N22</f>
        <v>19.999999999999996</v>
      </c>
      <c r="S22" s="5">
        <f>SUM(D22,I22,L22)/3</f>
        <v>0.1438722718215435</v>
      </c>
      <c r="T22" s="3">
        <f>J22</f>
        <v>6.8181818181818179E-3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tr">
        <f>A33</f>
        <v>adbe</v>
      </c>
      <c r="C27" s="1">
        <v>11.8</v>
      </c>
      <c r="D27" s="1">
        <v>12.74</v>
      </c>
      <c r="E27" s="1">
        <v>13.08</v>
      </c>
      <c r="F27" s="1">
        <v>13.64</v>
      </c>
      <c r="G27" s="1">
        <v>14.23</v>
      </c>
      <c r="H27" s="1">
        <v>15.22</v>
      </c>
      <c r="I27" s="1">
        <v>16.260000000000002</v>
      </c>
      <c r="J27" s="5">
        <f>(H27/C27)^0.5-1</f>
        <v>0.13570705222543022</v>
      </c>
      <c r="K27" s="11">
        <f>(H27-G27)/G4*F4</f>
        <v>1.7955609064605711E-2</v>
      </c>
    </row>
    <row r="28" spans="1:20" x14ac:dyDescent="0.3">
      <c r="A28" s="1" t="s">
        <v>117</v>
      </c>
      <c r="C28" s="1">
        <v>211.91</v>
      </c>
      <c r="D28" s="1">
        <v>227.51</v>
      </c>
      <c r="E28" s="1">
        <v>227.99</v>
      </c>
      <c r="F28" s="1">
        <v>231.3</v>
      </c>
      <c r="G28" s="1">
        <v>252.6</v>
      </c>
      <c r="H28" s="1">
        <v>260.69</v>
      </c>
      <c r="I28" s="1">
        <v>273.42</v>
      </c>
      <c r="J28" s="5">
        <f>(H28/C28)^0.5-1</f>
        <v>0.1091402357989335</v>
      </c>
      <c r="K28" s="11">
        <f>(H28-G28)/G4*1000</f>
        <v>1.9637066236868176E-2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118</v>
      </c>
      <c r="B33" s="1">
        <v>440</v>
      </c>
      <c r="C33" s="1">
        <f>C27</f>
        <v>11.8</v>
      </c>
      <c r="D33" s="1">
        <f t="shared" ref="D33:I33" si="0">D27</f>
        <v>12.74</v>
      </c>
      <c r="E33" s="1">
        <f t="shared" si="0"/>
        <v>13.08</v>
      </c>
      <c r="F33" s="1">
        <f t="shared" si="0"/>
        <v>13.64</v>
      </c>
      <c r="G33" s="1">
        <f t="shared" si="0"/>
        <v>14.23</v>
      </c>
      <c r="H33" s="1">
        <f t="shared" si="0"/>
        <v>15.22</v>
      </c>
      <c r="I33" s="1">
        <f t="shared" si="0"/>
        <v>16.260000000000002</v>
      </c>
      <c r="J33" s="13">
        <f>INT(S22*100)</f>
        <v>14</v>
      </c>
      <c r="K33" s="1">
        <v>1</v>
      </c>
      <c r="L33" s="15">
        <f>100+J33*5</f>
        <v>170</v>
      </c>
      <c r="M33" s="13">
        <f>INT(T22*100)</f>
        <v>0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H27*(1+S22+T22)^10/(1+L4-J22)^12*Q22</f>
        <v>425.32503908576564</v>
      </c>
    </row>
    <row r="38" spans="1:13" x14ac:dyDescent="0.3">
      <c r="A38" s="3">
        <v>0.8</v>
      </c>
      <c r="B38" s="13">
        <f>B37*A38</f>
        <v>340.26003126861252</v>
      </c>
    </row>
    <row r="39" spans="1:13" x14ac:dyDescent="0.3">
      <c r="A39" s="1" t="s">
        <v>70</v>
      </c>
      <c r="B39" s="13">
        <f>G27*(1+S22+T22)^10/(1+L4-J22)^12*Q22</f>
        <v>397.65934994680981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BE95-07FB-42B3-B2CE-A1F18454A00F}">
  <dimension ref="A1:T39"/>
  <sheetViews>
    <sheetView topLeftCell="A16" workbookViewId="0">
      <selection activeCell="D22" sqref="D22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96995</v>
      </c>
      <c r="C4" s="1">
        <v>114301</v>
      </c>
      <c r="D4" s="1">
        <v>169148</v>
      </c>
      <c r="E4" s="1">
        <v>383285</v>
      </c>
      <c r="F4" s="1">
        <v>15813</v>
      </c>
      <c r="G4" s="1">
        <v>352583</v>
      </c>
      <c r="H4" s="1">
        <v>62146</v>
      </c>
      <c r="I4" s="1">
        <v>290437</v>
      </c>
      <c r="J4" s="2">
        <v>1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1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0.44131129577207562</v>
      </c>
      <c r="C10" s="5">
        <f>C4/E4</f>
        <v>0.29821412265024722</v>
      </c>
      <c r="D10" s="6">
        <f>B4/E4</f>
        <v>0.25306234264320282</v>
      </c>
      <c r="E10" s="7">
        <f>B4/F4</f>
        <v>6.1338771896540818</v>
      </c>
      <c r="G10" s="5">
        <f>B4/G4</f>
        <v>0.27509834563776475</v>
      </c>
      <c r="H10" s="5">
        <f>C4/G4</f>
        <v>0.32418182385424144</v>
      </c>
      <c r="I10" s="5">
        <f>B4/H4</f>
        <v>1.5607601454639075</v>
      </c>
      <c r="J10" s="19">
        <f>E4/G4</f>
        <v>1.0870773690166571</v>
      </c>
      <c r="K10" s="2">
        <f>G4/H4</f>
        <v>5.6734624915521517</v>
      </c>
      <c r="L10" s="2">
        <f>(H10-K4)/K27/N4</f>
        <v>2.9438722980127201</v>
      </c>
      <c r="M10" s="5">
        <f>H27*F4/1000/H28*J10*L10+K4*(1-L10)</f>
        <v>0.79331420265088171</v>
      </c>
      <c r="N10" s="5">
        <f>MIN(M10,N22)/K10+K4*(K10-1)/K10</f>
        <v>9.4064801762989148E-2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/>
      <c r="E16" s="5"/>
      <c r="F16" s="8"/>
      <c r="G16" s="17">
        <f>E27*$F4/1000/E28</f>
        <v>0.26928438162178919</v>
      </c>
      <c r="H16" s="17">
        <f>H27*$F4/1000/H28</f>
        <v>0.27826482728655227</v>
      </c>
      <c r="I16" s="8">
        <f>H16-G16</f>
        <v>8.9804456647630815E-3</v>
      </c>
      <c r="J16" s="3">
        <f>J4/E27</f>
        <v>0.15174506828528073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0.20150000000000001</v>
      </c>
      <c r="C22" s="9">
        <v>0.105</v>
      </c>
      <c r="D22" s="3">
        <f>C22</f>
        <v>0.105</v>
      </c>
      <c r="F22" s="3">
        <f>J28</f>
        <v>7.5677372071651039E-2</v>
      </c>
      <c r="G22" s="3">
        <v>0</v>
      </c>
      <c r="H22" s="3">
        <f>MAX((MIN(I10,N22)*(1-J16)-SUM(F22:G22))*N10,0)</f>
        <v>1.6818702597003063E-2</v>
      </c>
      <c r="I22" s="3">
        <f>SUM(F22:H22)</f>
        <v>9.2496074668654102E-2</v>
      </c>
      <c r="J22" s="5">
        <f>J4/B33</f>
        <v>4.7619047619047623E-3</v>
      </c>
      <c r="L22" s="3">
        <f>OI!C14</f>
        <v>0.15</v>
      </c>
      <c r="N22" s="10">
        <v>0.3</v>
      </c>
      <c r="O22" s="3">
        <f>OI!D14</f>
        <v>0.06</v>
      </c>
      <c r="P22" s="3">
        <f>N22-O22</f>
        <v>0.24</v>
      </c>
      <c r="Q22" s="13">
        <f>P22/(L4-O22)/N22</f>
        <v>19.999999999999996</v>
      </c>
      <c r="S22" s="5">
        <f>SUM(D22,I22,L22)/3</f>
        <v>0.11583202488955135</v>
      </c>
      <c r="T22" s="3">
        <f>J22</f>
        <v>4.7619047619047623E-3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tr">
        <f>A33</f>
        <v>adbe</v>
      </c>
      <c r="C27" s="1">
        <v>5.73</v>
      </c>
      <c r="D27" s="1">
        <v>6.46</v>
      </c>
      <c r="E27" s="1">
        <v>6.59</v>
      </c>
      <c r="F27" s="1">
        <v>6.92</v>
      </c>
      <c r="G27" s="1">
        <v>6.4</v>
      </c>
      <c r="H27" s="1">
        <v>7.29</v>
      </c>
      <c r="I27" s="1">
        <v>8.1</v>
      </c>
      <c r="J27" s="5">
        <f>(H27/C27)^0.5-1</f>
        <v>0.12794118148976352</v>
      </c>
      <c r="K27" s="11">
        <f>(H27-G27)/G4*F4</f>
        <v>3.9915622704441212E-2</v>
      </c>
    </row>
    <row r="28" spans="1:20" x14ac:dyDescent="0.3">
      <c r="A28" s="1" t="s">
        <v>117</v>
      </c>
      <c r="C28" s="1">
        <v>358.03</v>
      </c>
      <c r="D28" s="1">
        <v>382.01</v>
      </c>
      <c r="E28" s="1">
        <v>386.98</v>
      </c>
      <c r="F28" s="1">
        <v>393.73</v>
      </c>
      <c r="G28" s="1">
        <v>382.08</v>
      </c>
      <c r="H28" s="1">
        <v>414.27</v>
      </c>
      <c r="I28" s="1">
        <v>442.97</v>
      </c>
      <c r="J28" s="5">
        <f>(H28/C28)^0.5-1</f>
        <v>7.5677372071651039E-2</v>
      </c>
      <c r="K28" s="11">
        <f>(H28-G28)/G4*1000</f>
        <v>9.1297651900403592E-2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118</v>
      </c>
      <c r="B33" s="1">
        <v>210</v>
      </c>
      <c r="C33" s="1">
        <f>C27</f>
        <v>5.73</v>
      </c>
      <c r="D33" s="1">
        <f t="shared" ref="D33:I33" si="0">D27</f>
        <v>6.46</v>
      </c>
      <c r="E33" s="1">
        <f t="shared" si="0"/>
        <v>6.59</v>
      </c>
      <c r="F33" s="1">
        <f t="shared" si="0"/>
        <v>6.92</v>
      </c>
      <c r="G33" s="1">
        <f t="shared" si="0"/>
        <v>6.4</v>
      </c>
      <c r="H33" s="1">
        <f t="shared" si="0"/>
        <v>7.29</v>
      </c>
      <c r="I33" s="1">
        <f t="shared" si="0"/>
        <v>8.1</v>
      </c>
      <c r="J33" s="13">
        <f>INT(S22*100)</f>
        <v>11</v>
      </c>
      <c r="K33" s="1">
        <v>1</v>
      </c>
      <c r="L33" s="15">
        <f>100+J33*5</f>
        <v>155</v>
      </c>
      <c r="M33" s="13">
        <f>INT(T22*100)</f>
        <v>0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H27*(1+S22+T22)^10/(1+L4-J22)^12*Q22</f>
        <v>152.80504174920404</v>
      </c>
    </row>
    <row r="38" spans="1:13" x14ac:dyDescent="0.3">
      <c r="A38" s="3">
        <v>0.8</v>
      </c>
      <c r="B38" s="13">
        <f>B37*A38</f>
        <v>122.24403339936323</v>
      </c>
    </row>
    <row r="39" spans="1:13" x14ac:dyDescent="0.3">
      <c r="A39" s="1" t="s">
        <v>70</v>
      </c>
      <c r="B39" s="13">
        <f>G27*(1+S22+T22)^10/(1+L4-J22)^12*Q22</f>
        <v>134.1498308909336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855E-FC3C-46D9-8DB5-FA804353E1C0}">
  <dimension ref="A1:T39"/>
  <sheetViews>
    <sheetView topLeftCell="A12" workbookViewId="0">
      <selection activeCell="D23" sqref="D23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2119</v>
      </c>
      <c r="C4" s="1">
        <v>3359</v>
      </c>
      <c r="D4" s="1">
        <v>33542</v>
      </c>
      <c r="E4" s="1">
        <v>58496</v>
      </c>
      <c r="F4" s="1">
        <v>5643</v>
      </c>
      <c r="G4" s="1">
        <v>226501</v>
      </c>
      <c r="H4" s="1">
        <v>89014</v>
      </c>
      <c r="I4" s="1">
        <v>137213</v>
      </c>
      <c r="J4" s="2">
        <v>1.68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24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0.57340672866520792</v>
      </c>
      <c r="C10" s="5">
        <f>C4/E4</f>
        <v>5.7422729759299782E-2</v>
      </c>
      <c r="D10" s="6">
        <f>B4/E4</f>
        <v>3.6224699124726478E-2</v>
      </c>
      <c r="E10" s="7">
        <f>B4/F4</f>
        <v>0.37550948077263868</v>
      </c>
      <c r="G10" s="5">
        <f>B4/G4</f>
        <v>9.3553670844720334E-3</v>
      </c>
      <c r="H10" s="5">
        <f>C4/G4</f>
        <v>1.4829956600633109E-2</v>
      </c>
      <c r="I10" s="5">
        <f>B4/H4</f>
        <v>2.3805244118902644E-2</v>
      </c>
      <c r="J10" s="19">
        <f>E4/G4</f>
        <v>0.25825934543335349</v>
      </c>
      <c r="K10" s="2">
        <f>G4/H4</f>
        <v>2.5445547891342937</v>
      </c>
      <c r="L10" s="25">
        <f>(H10-K4)/K27/N4</f>
        <v>-1.7285746834619009</v>
      </c>
      <c r="M10" s="5">
        <f>H27*F4/1000/H28*J10*L10+K4*(1-L10)</f>
        <v>2.6865520414631888E-2</v>
      </c>
      <c r="N10" s="5">
        <f>MIN(M10,N22)/K10+K4*(K10-1)/K10</f>
        <v>3.8210118277623495E-2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/>
      <c r="E16" s="5"/>
      <c r="F16" s="8"/>
      <c r="G16" s="17">
        <f>E27*$F4/1000/E28</f>
        <v>0.21886532431094241</v>
      </c>
      <c r="H16" s="17">
        <f>H27*$F4/1000/H28</f>
        <v>0.24542599968137643</v>
      </c>
      <c r="I16" s="8">
        <f>H16-G16</f>
        <v>2.6560675370434023E-2</v>
      </c>
      <c r="J16" s="3">
        <f>J4/E27</f>
        <v>0.71489361702127652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-1.5299999999999999E-2</v>
      </c>
      <c r="C22" s="9">
        <v>0.14030000000000001</v>
      </c>
      <c r="D22" s="3">
        <v>7.0000000000000007E-2</v>
      </c>
      <c r="F22" s="3">
        <f>J28</f>
        <v>3.5853007425017402E-2</v>
      </c>
      <c r="G22" s="3">
        <v>0</v>
      </c>
      <c r="H22" s="3">
        <f>MAX((MIN(I10,N22)*(1-J16)-SUM(F22:G22))*N10,0)</f>
        <v>0</v>
      </c>
      <c r="I22" s="3">
        <f>SUM(F22:H22)</f>
        <v>3.5853007425017402E-2</v>
      </c>
      <c r="J22" s="5">
        <f>J4/B33</f>
        <v>0.06</v>
      </c>
      <c r="L22" s="3">
        <f>OI!C15</f>
        <v>0.05</v>
      </c>
      <c r="N22" s="10">
        <v>0.02</v>
      </c>
      <c r="O22" s="3">
        <v>0</v>
      </c>
      <c r="P22" s="3">
        <f>N22-O22</f>
        <v>0.02</v>
      </c>
      <c r="Q22" s="13">
        <f>P22/(L4-O22)/N22</f>
        <v>9.9999999999999982</v>
      </c>
      <c r="S22" s="5">
        <f>SUM(D22,I22,L22)/3</f>
        <v>5.1951002475005802E-2</v>
      </c>
      <c r="T22" s="3">
        <f>J22</f>
        <v>0.06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tr">
        <f>A33</f>
        <v>PFE</v>
      </c>
      <c r="C27" s="1">
        <v>1.84</v>
      </c>
      <c r="D27" s="1">
        <v>2.15</v>
      </c>
      <c r="E27" s="1">
        <v>2.35</v>
      </c>
      <c r="F27" s="1">
        <v>2.63</v>
      </c>
      <c r="G27" s="1">
        <v>2.38</v>
      </c>
      <c r="H27" s="1">
        <v>2.73</v>
      </c>
      <c r="I27" s="1">
        <v>3.13</v>
      </c>
      <c r="J27" s="5">
        <f>(H27/C27)^0.5-1</f>
        <v>0.21807046272944031</v>
      </c>
      <c r="K27" s="11">
        <f>(H27-G27)/G4*F4</f>
        <v>8.7198290515273693E-3</v>
      </c>
    </row>
    <row r="28" spans="1:20" x14ac:dyDescent="0.3">
      <c r="A28" s="1" t="s">
        <v>117</v>
      </c>
      <c r="C28" s="1">
        <v>58.5</v>
      </c>
      <c r="D28" s="1">
        <v>58.21</v>
      </c>
      <c r="E28" s="1">
        <v>60.59</v>
      </c>
      <c r="F28" s="1">
        <v>62.26</v>
      </c>
      <c r="G28" s="1">
        <v>58.77</v>
      </c>
      <c r="H28" s="1">
        <v>62.77</v>
      </c>
      <c r="I28" s="1">
        <v>64.5</v>
      </c>
      <c r="J28" s="5">
        <f>(H28/C28)^0.5-1</f>
        <v>3.5853007425017402E-2</v>
      </c>
      <c r="K28" s="11">
        <f>(H28-G28)/G4*1000</f>
        <v>1.7659966181164763E-2</v>
      </c>
    </row>
    <row r="29" spans="1:20" x14ac:dyDescent="0.3">
      <c r="I29" s="27">
        <f>I27/I28*F4/1000*J10</f>
        <v>7.0721378791592168E-2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139</v>
      </c>
      <c r="B33" s="1">
        <v>28</v>
      </c>
      <c r="C33" s="1">
        <f>C27</f>
        <v>1.84</v>
      </c>
      <c r="D33" s="1">
        <f t="shared" ref="D33:I33" si="0">D27</f>
        <v>2.15</v>
      </c>
      <c r="E33" s="1">
        <f t="shared" si="0"/>
        <v>2.35</v>
      </c>
      <c r="F33" s="1">
        <f t="shared" si="0"/>
        <v>2.63</v>
      </c>
      <c r="G33" s="1">
        <f t="shared" si="0"/>
        <v>2.38</v>
      </c>
      <c r="H33" s="1">
        <f t="shared" si="0"/>
        <v>2.73</v>
      </c>
      <c r="I33" s="1">
        <f t="shared" si="0"/>
        <v>3.13</v>
      </c>
      <c r="J33" s="13">
        <f>INT(S22*100)</f>
        <v>5</v>
      </c>
      <c r="K33" s="1">
        <v>1</v>
      </c>
      <c r="L33" s="15">
        <f>100+J33*5</f>
        <v>125</v>
      </c>
      <c r="M33" s="13">
        <f>INT(T22*100)</f>
        <v>6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H27*(1+S22+T22)^10/(1+L4-J22)^12*Q22</f>
        <v>49.274143345019077</v>
      </c>
    </row>
    <row r="38" spans="1:13" x14ac:dyDescent="0.3">
      <c r="A38" s="3">
        <v>0.8</v>
      </c>
      <c r="B38" s="13">
        <f>B37*A38</f>
        <v>39.419314676015262</v>
      </c>
    </row>
    <row r="39" spans="1:13" x14ac:dyDescent="0.3">
      <c r="A39" s="1" t="s">
        <v>70</v>
      </c>
      <c r="B39" s="13">
        <f>G27*(1+S22+T22)^10/(1+L4-J22)^12*Q22</f>
        <v>42.956945480273035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D6DC-B6DE-46E5-A1C2-C24247AF40BC}">
  <dimension ref="A1:T39"/>
  <sheetViews>
    <sheetView topLeftCell="A13" workbookViewId="0">
      <selection activeCell="C27" sqref="C27:I27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35153</v>
      </c>
      <c r="C4" s="1">
        <v>23409</v>
      </c>
      <c r="D4" s="1">
        <v>58606</v>
      </c>
      <c r="E4" s="1">
        <v>85159</v>
      </c>
      <c r="F4" s="1">
        <v>2561</v>
      </c>
      <c r="G4" s="1">
        <v>167558</v>
      </c>
      <c r="H4" s="1">
        <v>68774</v>
      </c>
      <c r="I4" s="1">
        <v>46282</v>
      </c>
      <c r="J4" s="2">
        <v>4.96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1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0.68819502342676642</v>
      </c>
      <c r="C10" s="5">
        <f>C4/E4</f>
        <v>0.27488580185300437</v>
      </c>
      <c r="D10" s="6">
        <f>B4/E4</f>
        <v>0.41279254101151963</v>
      </c>
      <c r="E10" s="7">
        <f>B4/F4</f>
        <v>13.726278797344786</v>
      </c>
      <c r="G10" s="5">
        <f>B4/G4</f>
        <v>0.20979601093352748</v>
      </c>
      <c r="H10" s="5">
        <f>C4/G4</f>
        <v>0.13970684777808282</v>
      </c>
      <c r="I10" s="5">
        <f>B4/H4</f>
        <v>0.51113793003169805</v>
      </c>
      <c r="J10" s="19">
        <f>E4/G4</f>
        <v>0.50823595411738021</v>
      </c>
      <c r="K10" s="2">
        <f>G4/H4</f>
        <v>2.4363567627301017</v>
      </c>
      <c r="L10" s="2">
        <f>(H10-K4)/K27/N4</f>
        <v>3.6454849498327784</v>
      </c>
      <c r="M10" s="5">
        <f>H27*F4/1000/H28*J10*L10+K4*(1-L10)</f>
        <v>0.43647153944739503</v>
      </c>
      <c r="N10" s="5">
        <f>MIN(M10,N22)/K10+K4*(K10-1)/K10</f>
        <v>0.15261222979505604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/>
      <c r="E16" s="5"/>
      <c r="F16" s="8"/>
      <c r="G16" s="17">
        <f>E27*$F4/1000/E28</f>
        <v>0.3074589645037305</v>
      </c>
      <c r="H16" s="17">
        <f>H27*$F4/1000/H28</f>
        <v>0.3069711052515931</v>
      </c>
      <c r="I16" s="8">
        <f>H16-G16</f>
        <v>-4.8785925213740144E-4</v>
      </c>
      <c r="J16" s="3">
        <f>J4/E27</f>
        <v>0.46704331450094166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5.4399999999999997E-2</v>
      </c>
      <c r="C22" s="9">
        <v>5.1999999999999998E-2</v>
      </c>
      <c r="D22" s="3">
        <f>C22</f>
        <v>5.1999999999999998E-2</v>
      </c>
      <c r="F22" s="3">
        <f>J28</f>
        <v>3.3833472403241194E-2</v>
      </c>
      <c r="G22" s="3">
        <v>0</v>
      </c>
      <c r="H22" s="3">
        <f>MAX((MIN(I10,N22)*(1-J16)-SUM(F22:G22))*N10,0)</f>
        <v>1.923731078228998E-2</v>
      </c>
      <c r="I22" s="3">
        <f>SUM(F22:H22)</f>
        <v>5.307078318553117E-2</v>
      </c>
      <c r="J22" s="5">
        <f>J4/B33</f>
        <v>3.3972602739726028E-2</v>
      </c>
      <c r="L22" s="3">
        <f>OI!C15</f>
        <v>0.05</v>
      </c>
      <c r="N22" s="10">
        <v>0.3</v>
      </c>
      <c r="O22" s="3">
        <f>OI!D15</f>
        <v>0.05</v>
      </c>
      <c r="P22" s="3">
        <f>N22-O22</f>
        <v>0.25</v>
      </c>
      <c r="Q22" s="13">
        <f>P22/(L4-O22)/N22</f>
        <v>16.666666666666668</v>
      </c>
      <c r="S22" s="5">
        <f>SUM(D22,I22,L22)/3</f>
        <v>5.1690261061843733E-2</v>
      </c>
      <c r="T22" s="3">
        <f>J22</f>
        <v>3.3972602739726028E-2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tr">
        <f>A33</f>
        <v>JNJ</v>
      </c>
      <c r="C27" s="1">
        <v>9.92</v>
      </c>
      <c r="D27" s="1">
        <v>10.47</v>
      </c>
      <c r="E27" s="1">
        <v>10.62</v>
      </c>
      <c r="F27" s="1">
        <v>10.85</v>
      </c>
      <c r="G27" s="1">
        <v>10.220000000000001</v>
      </c>
      <c r="H27" s="1">
        <v>10.91</v>
      </c>
      <c r="I27" s="1">
        <v>11.53</v>
      </c>
      <c r="J27" s="5">
        <f>(H27/C27)^0.5-1</f>
        <v>4.8712728585275755E-2</v>
      </c>
      <c r="K27" s="11">
        <f>(H27-G27)/G4*F4</f>
        <v>1.0546139247305403E-2</v>
      </c>
    </row>
    <row r="28" spans="1:20" x14ac:dyDescent="0.3">
      <c r="A28" s="1" t="s">
        <v>117</v>
      </c>
      <c r="C28" s="1">
        <v>85.16</v>
      </c>
      <c r="D28" s="1">
        <v>88</v>
      </c>
      <c r="E28" s="1">
        <v>88.46</v>
      </c>
      <c r="F28" s="1">
        <v>89.29</v>
      </c>
      <c r="G28" s="1">
        <v>88.61</v>
      </c>
      <c r="H28" s="1">
        <v>91.02</v>
      </c>
      <c r="I28" s="1">
        <v>92.95</v>
      </c>
      <c r="J28" s="5">
        <f>(H28/C28)^0.5-1</f>
        <v>3.3833472403241194E-2</v>
      </c>
      <c r="K28" s="11">
        <f>(H28-G28)/G4*1000</f>
        <v>1.4383079291946647E-2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140</v>
      </c>
      <c r="B33" s="1">
        <v>146</v>
      </c>
      <c r="C33" s="1">
        <f>C27</f>
        <v>9.92</v>
      </c>
      <c r="D33" s="1">
        <f t="shared" ref="D33:I33" si="0">D27</f>
        <v>10.47</v>
      </c>
      <c r="E33" s="1">
        <f t="shared" si="0"/>
        <v>10.62</v>
      </c>
      <c r="F33" s="1">
        <f t="shared" si="0"/>
        <v>10.85</v>
      </c>
      <c r="G33" s="1">
        <f t="shared" si="0"/>
        <v>10.220000000000001</v>
      </c>
      <c r="H33" s="1">
        <f t="shared" si="0"/>
        <v>10.91</v>
      </c>
      <c r="I33" s="1">
        <f t="shared" si="0"/>
        <v>11.53</v>
      </c>
      <c r="J33" s="13">
        <f>INT(S22*100)</f>
        <v>5</v>
      </c>
      <c r="K33" s="1">
        <v>1</v>
      </c>
      <c r="L33" s="15">
        <f>100+J33*5</f>
        <v>125</v>
      </c>
      <c r="M33" s="13">
        <f>INT(T22*100)</f>
        <v>3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H27*(1+S22+T22)^10/(1+L4-J22)^12*Q22</f>
        <v>192.04496704810023</v>
      </c>
    </row>
    <row r="38" spans="1:13" x14ac:dyDescent="0.3">
      <c r="A38" s="3">
        <v>0.8</v>
      </c>
      <c r="B38" s="13">
        <f>B37*A38</f>
        <v>153.63597363848021</v>
      </c>
    </row>
    <row r="39" spans="1:13" x14ac:dyDescent="0.3">
      <c r="A39" s="1" t="s">
        <v>70</v>
      </c>
      <c r="B39" s="13">
        <f>G27*(1+S22+T22)^10/(1+L4-J22)^12*Q22</f>
        <v>179.89913503497564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0D26-7838-4709-A37F-51E9401F6D32}">
  <dimension ref="A1:T39"/>
  <sheetViews>
    <sheetView topLeftCell="A18" workbookViewId="0">
      <selection activeCell="H46" sqref="H46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1858</v>
      </c>
      <c r="C4" s="1">
        <v>2727</v>
      </c>
      <c r="D4" s="1">
        <f>E4</f>
        <v>6555</v>
      </c>
      <c r="E4" s="1">
        <v>6555</v>
      </c>
      <c r="F4" s="1">
        <v>2085</v>
      </c>
      <c r="G4" s="1">
        <v>14349</v>
      </c>
      <c r="H4" s="1">
        <v>2519</v>
      </c>
      <c r="I4" s="1">
        <f>G4-H4</f>
        <v>11830</v>
      </c>
      <c r="J4" s="2">
        <v>3.4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1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1</v>
      </c>
      <c r="C10" s="5">
        <f>C4/E4</f>
        <v>0.41601830663615563</v>
      </c>
      <c r="D10" s="6">
        <f>B4/E4</f>
        <v>0.28344774980930587</v>
      </c>
      <c r="E10" s="7">
        <f>B4/F4</f>
        <v>0.89112709832134296</v>
      </c>
      <c r="G10" s="5">
        <f>B4/G4</f>
        <v>0.12948637535716775</v>
      </c>
      <c r="H10" s="5">
        <f>C4/G4</f>
        <v>0.19004808697470207</v>
      </c>
      <c r="I10" s="5">
        <f>B4/H4</f>
        <v>0.73759428344581179</v>
      </c>
      <c r="J10" s="19">
        <f>E4/G4</f>
        <v>0.45682625966966339</v>
      </c>
      <c r="K10" s="2">
        <f>G4/H4</f>
        <v>5.6963080587534733</v>
      </c>
      <c r="L10" s="2">
        <f>(H10-K4)/K27/N4</f>
        <v>0.45391504692635209</v>
      </c>
      <c r="M10" s="5">
        <f>H27*F4/1000/H28*J10*L10+K4*(1-L10)</f>
        <v>0.78806736556731816</v>
      </c>
      <c r="N10" s="5">
        <f>MIN(M10,N22)/K10+K4*(K10-1)/K10</f>
        <v>9.3888075824099235E-2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/>
      <c r="E16" s="5"/>
      <c r="F16" s="8"/>
      <c r="G16" s="17">
        <f>E27*$F4/1000/E28</f>
        <v>3.520370919881306</v>
      </c>
      <c r="H16" s="17">
        <f>H27*$F4/1000/H28</f>
        <v>3.668798076923077</v>
      </c>
      <c r="I16" s="8">
        <f>H16-G16</f>
        <v>0.14842715704177101</v>
      </c>
      <c r="J16" s="3">
        <f>J4/E27</f>
        <v>0.2987697715289982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2.8000000000000001E-2</v>
      </c>
      <c r="C22" s="9">
        <v>0.15490000000000001</v>
      </c>
      <c r="D22" s="3">
        <f>C22</f>
        <v>0.15490000000000001</v>
      </c>
      <c r="F22" s="3">
        <f>J28</f>
        <v>0.10893179669884567</v>
      </c>
      <c r="G22" s="3">
        <v>0</v>
      </c>
      <c r="H22" s="3">
        <f>MAX((MIN(I10,N22)*(1-J16)-SUM(F22:G22))*N10,0)</f>
        <v>9.5237502701341677E-3</v>
      </c>
      <c r="I22" s="3">
        <f>SUM(F22:H22)</f>
        <v>0.11845554696897984</v>
      </c>
      <c r="J22" s="5">
        <f>J4/B33</f>
        <v>1.2686567164179104E-2</v>
      </c>
      <c r="L22" s="3">
        <f>OI!C10</f>
        <v>0.15</v>
      </c>
      <c r="N22" s="10">
        <v>0.3</v>
      </c>
      <c r="O22" s="3">
        <f>OI!D10</f>
        <v>0.06</v>
      </c>
      <c r="P22" s="3">
        <f>N22-O22</f>
        <v>0.24</v>
      </c>
      <c r="Q22" s="13">
        <f>P22/(L4-O22)/N22</f>
        <v>19.999999999999996</v>
      </c>
      <c r="S22" s="5">
        <f>SUM(D22,I22,L22)/3</f>
        <v>0.1411185156563266</v>
      </c>
      <c r="T22" s="3">
        <f>J22</f>
        <v>1.2686567164179104E-2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tr">
        <f>A33</f>
        <v>mco</v>
      </c>
      <c r="C27" s="7">
        <v>9.9</v>
      </c>
      <c r="D27" s="1">
        <v>11.2</v>
      </c>
      <c r="E27" s="1">
        <v>11.38</v>
      </c>
      <c r="F27" s="1">
        <v>11.8</v>
      </c>
      <c r="G27" s="1">
        <v>11.9</v>
      </c>
      <c r="H27" s="1">
        <v>12.81</v>
      </c>
      <c r="I27" s="1">
        <v>13.85</v>
      </c>
      <c r="J27" s="5">
        <f>(H27/C27)^0.5-1</f>
        <v>0.13751456867127376</v>
      </c>
      <c r="K27" s="11">
        <f>(H27-G27)/G4*F4</f>
        <v>0.13222872674053943</v>
      </c>
    </row>
    <row r="28" spans="1:20" x14ac:dyDescent="0.3">
      <c r="A28" s="1" t="s">
        <v>117</v>
      </c>
      <c r="C28" s="1">
        <v>5.92</v>
      </c>
      <c r="D28" s="1">
        <v>6.68</v>
      </c>
      <c r="E28" s="1">
        <v>6.74</v>
      </c>
      <c r="F28" s="1">
        <v>6.89</v>
      </c>
      <c r="G28" s="1">
        <v>7.02</v>
      </c>
      <c r="H28" s="1">
        <v>7.28</v>
      </c>
      <c r="I28" s="1">
        <v>7.6</v>
      </c>
      <c r="J28" s="5">
        <f>(H28/C28)^0.5-1</f>
        <v>0.10893179669884567</v>
      </c>
      <c r="K28" s="11">
        <f>(H28-G28)/G4*1000</f>
        <v>1.8119729597881433E-2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142</v>
      </c>
      <c r="B33" s="1">
        <v>268</v>
      </c>
      <c r="C33" s="1">
        <f>C27</f>
        <v>9.9</v>
      </c>
      <c r="D33" s="1">
        <f t="shared" ref="D33:I33" si="0">D27</f>
        <v>11.2</v>
      </c>
      <c r="E33" s="1">
        <f t="shared" si="0"/>
        <v>11.38</v>
      </c>
      <c r="F33" s="1">
        <f t="shared" si="0"/>
        <v>11.8</v>
      </c>
      <c r="G33" s="1">
        <f t="shared" si="0"/>
        <v>11.9</v>
      </c>
      <c r="H33" s="1">
        <f t="shared" si="0"/>
        <v>12.81</v>
      </c>
      <c r="I33" s="1">
        <f t="shared" si="0"/>
        <v>13.85</v>
      </c>
      <c r="J33" s="13">
        <f>INT(S22*100)</f>
        <v>14</v>
      </c>
      <c r="K33" s="1">
        <v>1</v>
      </c>
      <c r="L33" s="15">
        <f>100+J33*5</f>
        <v>170</v>
      </c>
      <c r="M33" s="13">
        <f>INT(T22*100)</f>
        <v>1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H27*(1+S22+T22)^10/(1+L4-J22)^12*Q22</f>
        <v>392.32552325107775</v>
      </c>
    </row>
    <row r="38" spans="1:13" x14ac:dyDescent="0.3">
      <c r="A38" s="3">
        <v>0.8</v>
      </c>
      <c r="B38" s="13">
        <f>B37*A38</f>
        <v>313.8604186008622</v>
      </c>
    </row>
    <row r="39" spans="1:13" x14ac:dyDescent="0.3">
      <c r="A39" s="1" t="s">
        <v>70</v>
      </c>
      <c r="B39" s="13">
        <f>G27*(1+S22+T22)^10/(1+L4-J22)^12*Q22</f>
        <v>364.45540411302306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topLeftCell="A16" workbookViewId="0">
      <selection activeCell="N27" sqref="N27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10714</v>
      </c>
      <c r="C4" s="1">
        <v>13083</v>
      </c>
      <c r="D4" s="1">
        <v>27234</v>
      </c>
      <c r="E4" s="1">
        <v>45754</v>
      </c>
      <c r="F4" s="1">
        <v>4339</v>
      </c>
      <c r="G4" s="1">
        <v>97703</v>
      </c>
      <c r="H4" s="1">
        <v>25941</v>
      </c>
      <c r="I4" s="1">
        <v>70223</v>
      </c>
      <c r="J4" s="2">
        <v>1.94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8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" t="s">
        <v>27</v>
      </c>
      <c r="K9" s="1" t="s">
        <v>28</v>
      </c>
      <c r="L9" s="1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0.5952266468505486</v>
      </c>
      <c r="C10" s="5">
        <f>C4/E4</f>
        <v>0.28594221270271453</v>
      </c>
      <c r="D10" s="20">
        <f>B4/E4</f>
        <v>0.23416531887922368</v>
      </c>
      <c r="E10" s="7">
        <f>B4/F4</f>
        <v>2.4692325420603827</v>
      </c>
      <c r="G10" s="5">
        <f>B4/G4</f>
        <v>0.10965886410857395</v>
      </c>
      <c r="H10" s="5">
        <f>C4/G4</f>
        <v>0.13390581660747367</v>
      </c>
      <c r="I10" s="5">
        <f>B4/H4</f>
        <v>0.41301414748853166</v>
      </c>
      <c r="J10" s="2">
        <f>E4/G4</f>
        <v>0.46829677696693039</v>
      </c>
      <c r="K10" s="2">
        <f>G4/H4</f>
        <v>3.766354419644578</v>
      </c>
      <c r="L10" s="2">
        <f>(H10-K4)/K27/N4</f>
        <v>13.495291871069785</v>
      </c>
      <c r="M10" s="5">
        <f>H27*F4/1000/H28*J10*L10+K4*(1-L10)</f>
        <v>1.0973108239460942</v>
      </c>
      <c r="N10" s="5">
        <f>MIN(M10,N22)/K10+K4*(K10-1)/K10</f>
        <v>0.11637718391451644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/>
      <c r="E16" s="5"/>
      <c r="F16" s="8"/>
      <c r="G16" s="2">
        <f>E27*$F4/1000/E28</f>
        <v>0.26774573304157545</v>
      </c>
      <c r="H16" s="2">
        <f>H27*$F4/1000/H28</f>
        <v>0.27248883788858752</v>
      </c>
      <c r="I16" s="8">
        <f>H16-G16</f>
        <v>4.7431048470120696E-3</v>
      </c>
      <c r="J16" s="3">
        <f>J4/E27</f>
        <v>0.68794326241134751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7.0699999999999999E-2</v>
      </c>
      <c r="C22" s="9">
        <v>6.0400000000000002E-2</v>
      </c>
      <c r="D22" s="3">
        <v>0.06</v>
      </c>
      <c r="F22" s="3">
        <f>J28</f>
        <v>6.1962666896700824E-2</v>
      </c>
      <c r="G22" s="3">
        <v>0</v>
      </c>
      <c r="H22" s="3">
        <f>MAX((MIN(I10,N22)*(1-J16)-SUM(F22:G22))*N10,0)</f>
        <v>3.6838446213643098E-3</v>
      </c>
      <c r="I22" s="3">
        <f>SUM(F22:H22)</f>
        <v>6.5646511518065137E-2</v>
      </c>
      <c r="J22" s="5">
        <f>J4/B33</f>
        <v>3.0793650793650793E-2</v>
      </c>
      <c r="L22" s="3">
        <f>OI!C8</f>
        <v>0.06</v>
      </c>
      <c r="N22" s="10">
        <v>0.3</v>
      </c>
      <c r="O22" s="3">
        <f>AVERAGE(L22,D22)</f>
        <v>0.06</v>
      </c>
      <c r="P22" s="3">
        <f>N22-O22</f>
        <v>0.24</v>
      </c>
      <c r="Q22" s="13">
        <f>P22/(L4-O22)/N22</f>
        <v>19.999999999999996</v>
      </c>
      <c r="S22" s="5">
        <f>SUM(D22,I22,L22)/3</f>
        <v>6.1882170506021711E-2</v>
      </c>
      <c r="T22" s="3">
        <f>J22</f>
        <v>3.0793650793650793E-2</v>
      </c>
    </row>
    <row r="23" spans="1:20" x14ac:dyDescent="0.3">
      <c r="H23" s="1" t="s">
        <v>98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tr">
        <f>A33</f>
        <v>KO</v>
      </c>
      <c r="C27" s="1">
        <v>2.5</v>
      </c>
      <c r="D27" s="1">
        <v>2.8</v>
      </c>
      <c r="E27" s="1">
        <v>2.82</v>
      </c>
      <c r="F27" s="1">
        <v>2.86</v>
      </c>
      <c r="G27" s="1">
        <v>2.95</v>
      </c>
      <c r="H27" s="1">
        <v>3.01</v>
      </c>
      <c r="I27" s="1">
        <v>3.09</v>
      </c>
      <c r="J27" s="5">
        <f>(H27/C27)^0.5-1</f>
        <v>9.7269337947616163E-2</v>
      </c>
      <c r="K27" s="11">
        <f>(H27-G27)/G4*F4</f>
        <v>2.664605999815751E-3</v>
      </c>
    </row>
    <row r="28" spans="1:20" x14ac:dyDescent="0.3">
      <c r="A28" s="1" t="s">
        <v>62</v>
      </c>
      <c r="C28" s="1">
        <v>42.5</v>
      </c>
      <c r="D28" s="1">
        <v>45.04</v>
      </c>
      <c r="E28" s="1">
        <v>45.7</v>
      </c>
      <c r="F28" s="1">
        <v>46.28</v>
      </c>
      <c r="G28" s="1">
        <v>46.86</v>
      </c>
      <c r="H28" s="1">
        <v>47.93</v>
      </c>
      <c r="I28" s="1">
        <v>48.94</v>
      </c>
      <c r="J28" s="5">
        <f>(H28/C28)^0.5-1</f>
        <v>6.1962666896700824E-2</v>
      </c>
      <c r="K28" s="11">
        <f>(H28-G28)/G4*1000</f>
        <v>1.0951557270503468E-2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67</v>
      </c>
      <c r="B33" s="1">
        <v>63</v>
      </c>
      <c r="C33" s="1">
        <f>C27</f>
        <v>2.5</v>
      </c>
      <c r="D33" s="1">
        <f t="shared" ref="D33:I33" si="0">D27</f>
        <v>2.8</v>
      </c>
      <c r="E33" s="1">
        <f t="shared" si="0"/>
        <v>2.82</v>
      </c>
      <c r="F33" s="1">
        <f t="shared" si="0"/>
        <v>2.86</v>
      </c>
      <c r="G33" s="1">
        <f t="shared" si="0"/>
        <v>2.95</v>
      </c>
      <c r="H33" s="1">
        <f t="shared" si="0"/>
        <v>3.01</v>
      </c>
      <c r="I33" s="1">
        <f t="shared" si="0"/>
        <v>3.09</v>
      </c>
      <c r="J33" s="13">
        <f>INT(S22*100)</f>
        <v>6</v>
      </c>
      <c r="K33" s="1">
        <v>1</v>
      </c>
      <c r="L33" s="15">
        <f>100+J33*5</f>
        <v>130</v>
      </c>
      <c r="M33" s="13">
        <f>INT(T22*100)</f>
        <v>3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H27*(1+S22+T22)^10/(1+L4-J22)^12*Q22</f>
        <v>65.42917948633432</v>
      </c>
    </row>
    <row r="38" spans="1:13" x14ac:dyDescent="0.3">
      <c r="A38" s="3">
        <v>0.8</v>
      </c>
      <c r="B38" s="13">
        <f>B37*A38</f>
        <v>52.343343589067459</v>
      </c>
    </row>
    <row r="39" spans="1:13" x14ac:dyDescent="0.3">
      <c r="A39" s="1" t="s">
        <v>70</v>
      </c>
      <c r="B39" s="13">
        <f>G27*(1+S22+T22)^10/(1+L4-J22)^12*Q22</f>
        <v>64.124943350394105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99C1-E5FC-44A8-ACBA-0B18899D8C6C}">
  <dimension ref="A1:T39"/>
  <sheetViews>
    <sheetView topLeftCell="A13" workbookViewId="0">
      <selection activeCell="C28" sqref="C28:I28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9074</v>
      </c>
      <c r="C4" s="1">
        <v>12913</v>
      </c>
      <c r="D4" s="1">
        <v>49590</v>
      </c>
      <c r="E4" s="1">
        <v>91471</v>
      </c>
      <c r="F4" s="1">
        <v>1383</v>
      </c>
      <c r="G4" s="1">
        <v>100495</v>
      </c>
      <c r="H4" s="1">
        <v>18503</v>
      </c>
      <c r="I4" s="1">
        <v>81858</v>
      </c>
      <c r="J4" s="2">
        <v>5.42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1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0.54213903860239854</v>
      </c>
      <c r="C10" s="5">
        <f>C4/E4</f>
        <v>0.14117042559937029</v>
      </c>
      <c r="D10" s="6">
        <f>B4/E4</f>
        <v>9.920083961036831E-2</v>
      </c>
      <c r="E10" s="7">
        <f>B4/F4</f>
        <v>6.5610990600144614</v>
      </c>
      <c r="G10" s="5">
        <f>B4/G4</f>
        <v>9.0293049405443054E-2</v>
      </c>
      <c r="H10" s="5">
        <f>C4/G4</f>
        <v>0.12849395492313051</v>
      </c>
      <c r="I10" s="5">
        <f>B4/H4</f>
        <v>0.49040696103334597</v>
      </c>
      <c r="J10" s="19">
        <f>E4/G4</f>
        <v>0.91020448778546192</v>
      </c>
      <c r="K10" s="2">
        <f>G4/H4</f>
        <v>5.4312814138247854</v>
      </c>
      <c r="L10" s="2">
        <f>(H10-K4)/K27/N4</f>
        <v>18.803485018235445</v>
      </c>
      <c r="M10" s="5">
        <f>H27*F4/1000/H28*J10*L10+K4*(1-L10)</f>
        <v>1.2222847973069655</v>
      </c>
      <c r="N10" s="5">
        <f>MIN(M10,N22)/K10+K4*(K10-1)/K10</f>
        <v>9.6029653216577943E-2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/>
      <c r="E16" s="5"/>
      <c r="F16" s="8"/>
      <c r="G16" s="2">
        <f>E27*$F4/1000/E28</f>
        <v>0.11952935576007617</v>
      </c>
      <c r="H16" s="2">
        <f>H27*$F4/1000/H28</f>
        <v>0.12342722862340812</v>
      </c>
      <c r="I16" s="8">
        <f>H16-G16</f>
        <v>3.8978728633319443E-3</v>
      </c>
      <c r="J16" s="3">
        <f>J4/E27</f>
        <v>0.66340269277845776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8.9300000000000004E-2</v>
      </c>
      <c r="C22" s="9">
        <v>7.1499999999999994E-2</v>
      </c>
      <c r="D22" s="3">
        <v>7.0000000000000007E-2</v>
      </c>
      <c r="F22" s="3">
        <f>J28</f>
        <v>7.9523517453409687E-2</v>
      </c>
      <c r="G22" s="3">
        <v>0</v>
      </c>
      <c r="H22" s="3">
        <f>MAX((MIN(I10,N22)*(1-J16)-SUM(F22:G22))*N10,0)</f>
        <v>2.0603810022221786E-3</v>
      </c>
      <c r="I22" s="3">
        <f>SUM(F22:H22)</f>
        <v>8.1583898455631867E-2</v>
      </c>
      <c r="J22" s="5">
        <f>J4/B33</f>
        <v>3.2261904761904762E-2</v>
      </c>
      <c r="L22" s="3">
        <f>OI!C8</f>
        <v>0.06</v>
      </c>
      <c r="N22" s="10">
        <v>0.3</v>
      </c>
      <c r="O22" s="3">
        <f>OI!D8</f>
        <v>0.06</v>
      </c>
      <c r="P22" s="3">
        <f>N22-O22</f>
        <v>0.24</v>
      </c>
      <c r="Q22" s="13">
        <f>P22/(L4-O22)/N22</f>
        <v>19.999999999999996</v>
      </c>
      <c r="S22" s="5">
        <f>SUM(D22,I22,L22)/3</f>
        <v>7.0527966151877286E-2</v>
      </c>
      <c r="T22" s="3">
        <f>J22</f>
        <v>3.2261904761904762E-2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tr">
        <f>A33</f>
        <v>PEP</v>
      </c>
      <c r="C27" s="1">
        <v>7.07</v>
      </c>
      <c r="D27" s="1">
        <v>8.11</v>
      </c>
      <c r="E27" s="1">
        <v>8.17</v>
      </c>
      <c r="F27" s="1">
        <v>8.25</v>
      </c>
      <c r="G27" s="1">
        <v>8.6999999999999993</v>
      </c>
      <c r="H27" s="1">
        <v>8.83</v>
      </c>
      <c r="I27" s="1">
        <v>9</v>
      </c>
      <c r="J27" s="5">
        <f>(H27/C27)^0.5-1</f>
        <v>0.1175594747628641</v>
      </c>
      <c r="K27" s="11">
        <f>(H27-G27)/G4*F4</f>
        <v>1.7890442310562822E-3</v>
      </c>
    </row>
    <row r="28" spans="1:20" x14ac:dyDescent="0.3">
      <c r="A28" s="1" t="s">
        <v>91</v>
      </c>
      <c r="C28" s="1">
        <v>84.9</v>
      </c>
      <c r="D28" s="1">
        <v>93.37</v>
      </c>
      <c r="E28" s="1">
        <v>94.53</v>
      </c>
      <c r="F28" s="1">
        <v>95.13</v>
      </c>
      <c r="G28" s="1">
        <v>96.88</v>
      </c>
      <c r="H28" s="1">
        <v>98.94</v>
      </c>
      <c r="I28" s="1">
        <v>100.09</v>
      </c>
      <c r="J28" s="5">
        <f>(H28/C28)^0.5-1</f>
        <v>7.9523517453409687E-2</v>
      </c>
      <c r="K28" s="11">
        <f>(H28-G28)/G4*1000</f>
        <v>2.0498532265286855E-2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92</v>
      </c>
      <c r="B33" s="1">
        <v>168</v>
      </c>
      <c r="C33" s="1">
        <f>C27</f>
        <v>7.07</v>
      </c>
      <c r="D33" s="1">
        <f t="shared" ref="D33:I33" si="0">D27</f>
        <v>8.11</v>
      </c>
      <c r="E33" s="1">
        <f t="shared" si="0"/>
        <v>8.17</v>
      </c>
      <c r="F33" s="1">
        <f t="shared" si="0"/>
        <v>8.25</v>
      </c>
      <c r="G33" s="1">
        <f t="shared" si="0"/>
        <v>8.6999999999999993</v>
      </c>
      <c r="H33" s="1">
        <f t="shared" si="0"/>
        <v>8.83</v>
      </c>
      <c r="I33" s="1">
        <f t="shared" si="0"/>
        <v>9</v>
      </c>
      <c r="J33" s="13">
        <f>INT(S22*100)</f>
        <v>7</v>
      </c>
      <c r="K33" s="1">
        <v>1</v>
      </c>
      <c r="L33" s="15">
        <f>100+J33*5</f>
        <v>135</v>
      </c>
      <c r="M33" s="13">
        <f>INT(T22*100)</f>
        <v>3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H27*(1+S22+T22)^10/(1+L4-J22)^12*Q22</f>
        <v>213.96440409437585</v>
      </c>
    </row>
    <row r="38" spans="1:13" x14ac:dyDescent="0.3">
      <c r="A38" s="3">
        <v>0.8</v>
      </c>
      <c r="B38" s="13">
        <f>B37*A38</f>
        <v>171.1715232755007</v>
      </c>
    </row>
    <row r="39" spans="1:13" x14ac:dyDescent="0.3">
      <c r="A39" s="1" t="s">
        <v>70</v>
      </c>
      <c r="B39" s="13">
        <f>G27*(1+S22+T22)^10/(1+L4-J22)^12*Q22</f>
        <v>210.81430527984935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4E84-6C29-465F-BD7B-1D881B5FEFD1}">
  <dimension ref="A1:T39"/>
  <sheetViews>
    <sheetView workbookViewId="0">
      <selection activeCell="F30" sqref="F30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5030</v>
      </c>
      <c r="C4" s="1">
        <v>6359</v>
      </c>
      <c r="D4" s="1">
        <v>6359</v>
      </c>
      <c r="E4" s="1">
        <v>22399</v>
      </c>
      <c r="F4" s="1">
        <v>33.520000000000003</v>
      </c>
      <c r="G4" s="1">
        <v>24342</v>
      </c>
      <c r="H4" s="1">
        <v>-2744</v>
      </c>
      <c r="I4" s="1">
        <v>27086</v>
      </c>
      <c r="J4" s="2">
        <v>35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1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0.28389660252689852</v>
      </c>
      <c r="C10" s="5">
        <f>C4/E4</f>
        <v>0.28389660252689852</v>
      </c>
      <c r="D10" s="6">
        <f>B4/E4</f>
        <v>0.22456359658913344</v>
      </c>
      <c r="E10" s="7">
        <f>B4/F4</f>
        <v>150.05966587112169</v>
      </c>
      <c r="G10" s="5">
        <f>B4/G4</f>
        <v>0.20663873141073041</v>
      </c>
      <c r="H10" s="5">
        <f>C4/G4</f>
        <v>0.2612357242625914</v>
      </c>
      <c r="I10" s="5">
        <f>B4/H4</f>
        <v>-1.8330903790087463</v>
      </c>
      <c r="J10" s="19">
        <f>E4/G4</f>
        <v>0.92017911428806176</v>
      </c>
      <c r="K10" s="2">
        <f>G4/H4</f>
        <v>-8.8709912536443145</v>
      </c>
      <c r="L10" s="2">
        <f>(H10-K4)/K27/N4</f>
        <v>2.8349283193565298</v>
      </c>
      <c r="M10" s="5">
        <f>H27*F4/1000/H28*J10*L10+K4*(1-L10)</f>
        <v>0.34733413163834848</v>
      </c>
      <c r="N10" s="5">
        <f>MIN(M10,N22)/K10+K4*(K10-1)/K10</f>
        <v>2.1818256511379509E-2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/>
      <c r="E16" s="5"/>
      <c r="F16" s="8"/>
      <c r="G16" s="17">
        <f>E27*$F4/1000/E28</f>
        <v>0.16299263216471899</v>
      </c>
      <c r="H16" s="17">
        <f>H27*$F4/1000/H28</f>
        <v>0.16831768261964736</v>
      </c>
      <c r="I16" s="8">
        <f>H16-G16</f>
        <v>5.3250504549283706E-3</v>
      </c>
      <c r="J16" s="3">
        <f>J4/E27</f>
        <v>0.20027466239414055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0.158</v>
      </c>
      <c r="C22" s="9">
        <v>0.22059999999999999</v>
      </c>
      <c r="D22" s="3">
        <f>J27</f>
        <v>0.14438527544352442</v>
      </c>
      <c r="F22" s="3">
        <f>J28</f>
        <v>0.15460359840188387</v>
      </c>
      <c r="G22" s="3">
        <v>0</v>
      </c>
      <c r="H22" s="3">
        <f>MAX((MIN(I10,N22)*(1-J16)-SUM(F22:G22))*N10,0)</f>
        <v>0</v>
      </c>
      <c r="I22" s="3">
        <f>SUM(F22:H22)</f>
        <v>0.15460359840188387</v>
      </c>
      <c r="J22" s="5">
        <f>J4/B33</f>
        <v>8.7609511889862324E-3</v>
      </c>
      <c r="L22" s="3">
        <f>(OI!C9+OI!C14)/2</f>
        <v>0.105</v>
      </c>
      <c r="N22" s="10">
        <v>0.3</v>
      </c>
      <c r="O22" s="3">
        <f>OI!D10</f>
        <v>0.06</v>
      </c>
      <c r="P22" s="3">
        <f>N22-O22</f>
        <v>0.24</v>
      </c>
      <c r="Q22" s="13">
        <f>P22/(L4-O22)/N22</f>
        <v>19.999999999999996</v>
      </c>
      <c r="S22" s="5">
        <f>SUM(D22,I22,L22)/3</f>
        <v>0.13466295794846941</v>
      </c>
      <c r="T22" s="3">
        <f>J22</f>
        <v>8.7609511889862324E-3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tr">
        <f>A33</f>
        <v>V</v>
      </c>
      <c r="C27" s="7">
        <v>152.22</v>
      </c>
      <c r="D27" s="1">
        <v>157.09</v>
      </c>
      <c r="E27" s="1">
        <v>174.76</v>
      </c>
      <c r="F27" s="1">
        <v>178.7</v>
      </c>
      <c r="G27" s="1">
        <v>176.16</v>
      </c>
      <c r="H27" s="1">
        <v>199.35</v>
      </c>
      <c r="I27" s="1">
        <v>211.37</v>
      </c>
      <c r="J27" s="5">
        <f>(H27/C27)^0.5-1</f>
        <v>0.14438527544352442</v>
      </c>
      <c r="K27" s="11">
        <f>(H27-G27)/G4*F4</f>
        <v>3.1933645550899684E-2</v>
      </c>
    </row>
    <row r="28" spans="1:20" x14ac:dyDescent="0.3">
      <c r="A28" s="1" t="s">
        <v>117</v>
      </c>
      <c r="C28" s="1">
        <v>29.78</v>
      </c>
      <c r="D28" s="1">
        <v>35.47</v>
      </c>
      <c r="E28" s="1">
        <v>35.94</v>
      </c>
      <c r="F28" s="1">
        <v>36.450000000000003</v>
      </c>
      <c r="G28" s="1">
        <v>38.659999999999997</v>
      </c>
      <c r="H28" s="1">
        <v>39.700000000000003</v>
      </c>
      <c r="I28" s="1">
        <v>40.46</v>
      </c>
      <c r="J28" s="5">
        <f>(H28/C28)^0.5-1</f>
        <v>0.15460359840188387</v>
      </c>
      <c r="K28" s="11">
        <f>(H28-G28)/G4*1000</f>
        <v>4.2724509078958438E-2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127</v>
      </c>
      <c r="B33" s="1">
        <v>3995</v>
      </c>
      <c r="C33" s="1">
        <f>C27</f>
        <v>152.22</v>
      </c>
      <c r="D33" s="1">
        <f t="shared" ref="D33:I33" si="0">D27</f>
        <v>157.09</v>
      </c>
      <c r="E33" s="1">
        <f t="shared" si="0"/>
        <v>174.76</v>
      </c>
      <c r="F33" s="1">
        <f t="shared" si="0"/>
        <v>178.7</v>
      </c>
      <c r="G33" s="1">
        <f t="shared" si="0"/>
        <v>176.16</v>
      </c>
      <c r="H33" s="1">
        <f t="shared" si="0"/>
        <v>199.35</v>
      </c>
      <c r="I33" s="1">
        <f t="shared" si="0"/>
        <v>211.37</v>
      </c>
      <c r="J33" s="13">
        <f>INT(S22*100)</f>
        <v>13</v>
      </c>
      <c r="K33" s="1">
        <v>1</v>
      </c>
      <c r="L33" s="15">
        <f>100+J33*5</f>
        <v>165</v>
      </c>
      <c r="M33" s="13">
        <f>INT(T22*100)</f>
        <v>0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H27*(1+S22+T22)^10/(1+L4-J22)^12*Q22</f>
        <v>5341.7080335980363</v>
      </c>
    </row>
    <row r="38" spans="1:13" x14ac:dyDescent="0.3">
      <c r="A38" s="3">
        <v>0.8</v>
      </c>
      <c r="B38" s="13">
        <f>B37*A38</f>
        <v>4273.3664268784296</v>
      </c>
    </row>
    <row r="39" spans="1:13" x14ac:dyDescent="0.3">
      <c r="A39" s="1" t="s">
        <v>70</v>
      </c>
      <c r="B39" s="13">
        <f>G27*(1+S22+T22)^10/(1+L4-J22)^12*Q22</f>
        <v>4720.3174677633815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E9BB-0952-4E5E-B73A-69AE1BF3DDBB}">
  <dimension ref="A1:T39"/>
  <sheetViews>
    <sheetView topLeftCell="F13" workbookViewId="0">
      <selection activeCell="P32" sqref="P32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6292</v>
      </c>
      <c r="C4" s="1">
        <v>8114</v>
      </c>
      <c r="D4" s="1">
        <v>29704</v>
      </c>
      <c r="E4" s="1">
        <v>242290</v>
      </c>
      <c r="F4" s="1">
        <v>445</v>
      </c>
      <c r="G4" s="1">
        <v>68994</v>
      </c>
      <c r="H4" s="1">
        <v>25058</v>
      </c>
      <c r="I4" s="1">
        <v>43936</v>
      </c>
      <c r="J4" s="2">
        <v>4.6399999999999997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1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0.12259688802674482</v>
      </c>
      <c r="C10" s="5">
        <f>C4/E4</f>
        <v>3.3488794419910026E-2</v>
      </c>
      <c r="D10" s="6">
        <f>B4/E4</f>
        <v>2.5968880267448098E-2</v>
      </c>
      <c r="E10" s="7">
        <f>B4/F4</f>
        <v>14.139325842696628</v>
      </c>
      <c r="G10" s="5">
        <f>B4/G4</f>
        <v>9.1196335913267826E-2</v>
      </c>
      <c r="H10" s="5">
        <f>C4/G4</f>
        <v>0.11760442937066991</v>
      </c>
      <c r="I10" s="5">
        <f>B4/H4</f>
        <v>0.25109745390693589</v>
      </c>
      <c r="J10" s="19">
        <f>E4/G4</f>
        <v>3.5117546453314783</v>
      </c>
      <c r="K10" s="2">
        <f>G4/H4</f>
        <v>2.7533721765504029</v>
      </c>
      <c r="L10" s="2">
        <f>(H10-K4)/K27/N4</f>
        <v>4.4921027287319415</v>
      </c>
      <c r="M10" s="5">
        <f>H27*F4/1000/H28*J10*L10+K4*(1-L10)</f>
        <v>0.27959651129032742</v>
      </c>
      <c r="N10" s="5">
        <f>MIN(M10,N22)/K10+K4*(K10-1)/K10</f>
        <v>0.13338738701790048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/>
      <c r="E16" s="5"/>
      <c r="F16" s="8"/>
      <c r="G16" s="17">
        <f>E27*$F4/1000/E28</f>
        <v>2.8473715182424478E-2</v>
      </c>
      <c r="H16" s="17">
        <f>H27*$F4/1000/H28</f>
        <v>2.879220065909923E-2</v>
      </c>
      <c r="I16" s="8">
        <f>H16-G16</f>
        <v>3.1848547667475205E-4</v>
      </c>
      <c r="J16" s="3">
        <f>J4/E27</f>
        <v>0.28448804414469653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8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0.156</v>
      </c>
      <c r="C22" s="9">
        <v>9.9199999999999997E-2</v>
      </c>
      <c r="D22" s="3">
        <f>((1+C22)^5/(1+J27)^2)^(1/3)-1</f>
        <v>8.7435318301457121E-2</v>
      </c>
      <c r="F22" s="3">
        <f>J28</f>
        <v>6.1678701760764287E-2</v>
      </c>
      <c r="G22" s="3">
        <v>0.03</v>
      </c>
      <c r="H22" s="3">
        <f>MAX((MIN(I10,N22)*(1-J16)-SUM(F22:G22))*N10,0)</f>
        <v>1.1736026367218676E-2</v>
      </c>
      <c r="I22" s="3">
        <f>SUM(F22:H22)</f>
        <v>0.10341472812798297</v>
      </c>
      <c r="J22" s="5">
        <f>J4/B33</f>
        <v>5.3828306264501156E-3</v>
      </c>
      <c r="L22" s="3">
        <f>OI!C9</f>
        <v>0.06</v>
      </c>
      <c r="N22" s="10">
        <v>0.3</v>
      </c>
      <c r="O22" s="23">
        <f>S22</f>
        <v>8.3616682143146701E-2</v>
      </c>
      <c r="P22" s="3">
        <f>N22-O22</f>
        <v>0.21638331785685327</v>
      </c>
      <c r="Q22" s="13">
        <f>P22/(L4-O22)/N22</f>
        <v>44.025131691368202</v>
      </c>
      <c r="S22" s="5">
        <f>SUM(D22,I22,L22)/3</f>
        <v>8.3616682143146701E-2</v>
      </c>
      <c r="T22" s="3">
        <f>J22</f>
        <v>5.3828306264501156E-3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tr">
        <f>A33</f>
        <v>COST</v>
      </c>
      <c r="C27" s="1">
        <v>14.16</v>
      </c>
      <c r="D27" s="1">
        <v>15.56</v>
      </c>
      <c r="E27" s="1">
        <v>16.309999999999999</v>
      </c>
      <c r="F27" s="1">
        <v>16.850000000000001</v>
      </c>
      <c r="G27" s="1">
        <v>16.670000000000002</v>
      </c>
      <c r="H27" s="1">
        <v>17.670000000000002</v>
      </c>
      <c r="I27" s="1">
        <v>20</v>
      </c>
      <c r="J27" s="5">
        <f>(H27/C27)^0.5-1</f>
        <v>0.11708610050085366</v>
      </c>
      <c r="K27" s="11">
        <f>(H27-G27)/G4*F4</f>
        <v>6.449836217642114E-3</v>
      </c>
    </row>
    <row r="28" spans="1:20" x14ac:dyDescent="0.3">
      <c r="A28" s="1" t="s">
        <v>94</v>
      </c>
      <c r="C28" s="1">
        <v>242.29</v>
      </c>
      <c r="D28" s="1">
        <v>253.28</v>
      </c>
      <c r="E28" s="1">
        <v>254.9</v>
      </c>
      <c r="F28" s="1">
        <v>257.64</v>
      </c>
      <c r="G28" s="1">
        <v>266.63</v>
      </c>
      <c r="H28" s="1">
        <v>273.10000000000002</v>
      </c>
      <c r="I28" s="1">
        <v>278.43</v>
      </c>
      <c r="J28" s="5">
        <f>(H28/C28)^0.5-1</f>
        <v>6.1678701760764287E-2</v>
      </c>
      <c r="K28" s="11">
        <f>(H28-G28)/G4*1000</f>
        <v>9.377627040032506E-2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95</v>
      </c>
      <c r="B33" s="1">
        <v>862</v>
      </c>
      <c r="C33" s="1">
        <f>C27</f>
        <v>14.16</v>
      </c>
      <c r="D33" s="1">
        <f t="shared" ref="D33:I33" si="0">D27</f>
        <v>15.56</v>
      </c>
      <c r="E33" s="1">
        <f t="shared" si="0"/>
        <v>16.309999999999999</v>
      </c>
      <c r="F33" s="1">
        <f t="shared" si="0"/>
        <v>16.850000000000001</v>
      </c>
      <c r="G33" s="1">
        <f t="shared" si="0"/>
        <v>16.670000000000002</v>
      </c>
      <c r="H33" s="1">
        <f t="shared" si="0"/>
        <v>17.670000000000002</v>
      </c>
      <c r="I33" s="1">
        <f t="shared" si="0"/>
        <v>20</v>
      </c>
      <c r="J33" s="13">
        <f>INT(S22*100)</f>
        <v>8</v>
      </c>
      <c r="K33" s="1">
        <v>1</v>
      </c>
      <c r="L33" s="15">
        <f>100+J33*5</f>
        <v>140</v>
      </c>
      <c r="M33" s="13">
        <f>INT(T22*100)</f>
        <v>0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H27*(1+S22+T22)^10/(1+L4-J22)^12*Q22</f>
        <v>616.69012909496644</v>
      </c>
    </row>
    <row r="38" spans="1:13" x14ac:dyDescent="0.3">
      <c r="A38" s="3">
        <v>0.8</v>
      </c>
      <c r="B38" s="13">
        <f>B37*A38</f>
        <v>493.35210327597315</v>
      </c>
    </row>
    <row r="39" spans="1:13" x14ac:dyDescent="0.3">
      <c r="A39" s="1" t="s">
        <v>70</v>
      </c>
      <c r="B39" s="13">
        <f>G27*(1+S22+T22)^10/(1+L4-J22)^12*Q22</f>
        <v>581.78972563741308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3789-32DF-43A5-B586-1CF471966F50}">
  <dimension ref="A1:T39"/>
  <sheetViews>
    <sheetView topLeftCell="A13" workbookViewId="0">
      <selection activeCell="C28" sqref="C28:I28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1291</v>
      </c>
      <c r="C4" s="1">
        <v>1687</v>
      </c>
      <c r="D4" s="1">
        <v>4381</v>
      </c>
      <c r="E4" s="1">
        <v>11207</v>
      </c>
      <c r="F4" s="1">
        <v>50</v>
      </c>
      <c r="G4" s="1">
        <v>5707</v>
      </c>
      <c r="H4" s="1">
        <v>2279</v>
      </c>
      <c r="I4" s="1">
        <v>1658</v>
      </c>
      <c r="J4" s="2">
        <v>0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1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0.39091639154100116</v>
      </c>
      <c r="C10" s="5">
        <f>C4/E4</f>
        <v>0.15053091817613992</v>
      </c>
      <c r="D10" s="6">
        <f>B4/E4</f>
        <v>0.11519585973052557</v>
      </c>
      <c r="E10" s="7">
        <f>B4/F4</f>
        <v>25.82</v>
      </c>
      <c r="G10" s="5">
        <f>B4/G4</f>
        <v>0.22621342211319431</v>
      </c>
      <c r="H10" s="5">
        <f>C4/G4</f>
        <v>0.29560189241282636</v>
      </c>
      <c r="I10" s="5">
        <f>B4/H4</f>
        <v>0.56647652479157529</v>
      </c>
      <c r="J10" s="19">
        <f>E4/G4</f>
        <v>1.963728754161556</v>
      </c>
      <c r="K10" s="2">
        <f>G4/H4</f>
        <v>2.5041684949539271</v>
      </c>
      <c r="L10" s="2">
        <f>(H10-K4)/K27/N4</f>
        <v>6.2901271503365743</v>
      </c>
      <c r="M10" s="5">
        <f>H27*F4/1000/H28*J10*L10+K4*(1-L10)</f>
        <v>1.1641464024645396</v>
      </c>
      <c r="N10" s="5">
        <f>MIN(M10,N22)/K10+K4*(K10-1)/K10</f>
        <v>0.14983353776064481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/>
      <c r="E16" s="5"/>
      <c r="F16" s="8"/>
      <c r="G16" s="17">
        <f>E27*$F4/1000/E28</f>
        <v>0.11150519031141867</v>
      </c>
      <c r="H16" s="17">
        <f>H27*$F4/1000/H28</f>
        <v>0.11566068515497553</v>
      </c>
      <c r="I16" s="8">
        <f>H16-G16</f>
        <v>4.1554948435568589E-3</v>
      </c>
      <c r="J16" s="3">
        <f>J4/E27</f>
        <v>0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0.29670000000000002</v>
      </c>
      <c r="C22" s="9">
        <v>6.2300000000000001E-2</v>
      </c>
      <c r="D22" s="3">
        <f>C22</f>
        <v>6.2300000000000001E-2</v>
      </c>
      <c r="F22" s="3">
        <f>J28</f>
        <v>4.5785049287430324E-2</v>
      </c>
      <c r="G22" s="3">
        <v>0</v>
      </c>
      <c r="H22" s="3">
        <f>MAX((MIN(I10,N22)*(1-J16)-SUM(F22:G22))*N10,0)</f>
        <v>3.8089925416912265E-2</v>
      </c>
      <c r="I22" s="3">
        <f>SUM(F22:H22)</f>
        <v>8.3874974704342589E-2</v>
      </c>
      <c r="J22" s="5">
        <f>J4/B33</f>
        <v>0</v>
      </c>
      <c r="L22" s="3">
        <f>OI!C9</f>
        <v>0.06</v>
      </c>
      <c r="N22" s="10">
        <v>0.3</v>
      </c>
      <c r="O22" s="3">
        <f>AVERAGE(L22,D22)</f>
        <v>6.1149999999999996E-2</v>
      </c>
      <c r="P22" s="3">
        <f>N22-O22</f>
        <v>0.23885000000000001</v>
      </c>
      <c r="Q22" s="13">
        <f>P22/(L4-O22)/N22</f>
        <v>20.493350493350487</v>
      </c>
      <c r="S22" s="5">
        <f>SUM(D22,I22,L22)/3</f>
        <v>6.8724991568114194E-2</v>
      </c>
      <c r="T22" s="3">
        <f>J22</f>
        <v>0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tr">
        <f>A33</f>
        <v>ULTA</v>
      </c>
      <c r="C27" s="1">
        <v>26.03</v>
      </c>
      <c r="D27" s="1">
        <v>25.2</v>
      </c>
      <c r="E27" s="1">
        <v>25.78</v>
      </c>
      <c r="F27" s="1">
        <v>26.04</v>
      </c>
      <c r="G27" s="1">
        <v>26.45</v>
      </c>
      <c r="H27" s="1">
        <v>28.36</v>
      </c>
      <c r="I27" s="1">
        <v>29.32</v>
      </c>
      <c r="J27" s="5">
        <f>(H27/C27)^0.5-1</f>
        <v>4.3796963696214553E-2</v>
      </c>
      <c r="K27" s="11">
        <f>(H27-G27)/G4*F4</f>
        <v>1.6733835640441563E-2</v>
      </c>
    </row>
    <row r="28" spans="1:20" x14ac:dyDescent="0.3">
      <c r="A28" s="1" t="s">
        <v>96</v>
      </c>
      <c r="C28" s="1">
        <v>11.21</v>
      </c>
      <c r="D28" s="1">
        <v>11.47</v>
      </c>
      <c r="E28" s="1">
        <v>11.56</v>
      </c>
      <c r="F28" s="1">
        <v>11.67</v>
      </c>
      <c r="G28" s="1">
        <v>11.93</v>
      </c>
      <c r="H28" s="1">
        <v>12.26</v>
      </c>
      <c r="I28" s="1">
        <v>12.45</v>
      </c>
      <c r="J28" s="5">
        <f>(H28/C28)^0.5-1</f>
        <v>4.5785049287430324E-2</v>
      </c>
      <c r="K28" s="11">
        <f>(H28-G28)/G4*1000</f>
        <v>5.7823725249693377E-2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97</v>
      </c>
      <c r="B33" s="1">
        <v>390</v>
      </c>
      <c r="C33" s="1">
        <f>C27</f>
        <v>26.03</v>
      </c>
      <c r="D33" s="1">
        <f t="shared" ref="D33:I33" si="0">D27</f>
        <v>25.2</v>
      </c>
      <c r="E33" s="1">
        <f t="shared" si="0"/>
        <v>25.78</v>
      </c>
      <c r="F33" s="1">
        <f t="shared" si="0"/>
        <v>26.04</v>
      </c>
      <c r="G33" s="1">
        <f t="shared" si="0"/>
        <v>26.45</v>
      </c>
      <c r="H33" s="1">
        <f t="shared" si="0"/>
        <v>28.36</v>
      </c>
      <c r="I33" s="1">
        <f t="shared" si="0"/>
        <v>29.32</v>
      </c>
      <c r="J33" s="13">
        <f>INT(S22*100)</f>
        <v>6</v>
      </c>
      <c r="K33" s="1">
        <v>1</v>
      </c>
      <c r="L33" s="15">
        <f>100+J33*5</f>
        <v>130</v>
      </c>
      <c r="M33" s="13">
        <f>INT(T22*100)</f>
        <v>0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H27*(1+S22+T22)^10/(1+L4-J22)^12*Q22</f>
        <v>359.97026264966286</v>
      </c>
    </row>
    <row r="38" spans="1:13" x14ac:dyDescent="0.3">
      <c r="A38" s="3">
        <v>0.8</v>
      </c>
      <c r="B38" s="13">
        <f>B37*A38</f>
        <v>287.9762101197303</v>
      </c>
    </row>
    <row r="39" spans="1:13" x14ac:dyDescent="0.3">
      <c r="A39" s="1" t="s">
        <v>70</v>
      </c>
      <c r="B39" s="13">
        <f>G27*(1+S22+T22)^10/(1+L4-J22)^12*Q22</f>
        <v>335.72684933298956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4FD1-1FBA-4550-B22C-742C698F8B1C}">
  <dimension ref="A1:T39"/>
  <sheetViews>
    <sheetView topLeftCell="A19" workbookViewId="0">
      <selection activeCell="C57" sqref="C57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17273</v>
      </c>
      <c r="C4" s="1">
        <v>21927</v>
      </c>
      <c r="D4" s="1">
        <v>26086</v>
      </c>
      <c r="E4" s="1">
        <v>32653</v>
      </c>
      <c r="F4" s="1">
        <v>2085</v>
      </c>
      <c r="G4" s="1">
        <v>90499</v>
      </c>
      <c r="H4" s="1">
        <v>38733</v>
      </c>
      <c r="I4" s="1">
        <v>51766</v>
      </c>
      <c r="J4" s="2">
        <v>2.08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1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0.79888524790983984</v>
      </c>
      <c r="C10" s="5">
        <f>C4/E4</f>
        <v>0.67151563409181392</v>
      </c>
      <c r="D10" s="6">
        <f>B4/E4</f>
        <v>0.52898661684990655</v>
      </c>
      <c r="E10" s="7">
        <f>B4/F4</f>
        <v>8.2844124700239803</v>
      </c>
      <c r="G10" s="5">
        <f>B4/G4</f>
        <v>0.19086398744737512</v>
      </c>
      <c r="H10" s="5">
        <f>C4/G4</f>
        <v>0.24228997005491773</v>
      </c>
      <c r="I10" s="5">
        <f>B4/H4</f>
        <v>0.44595048150156197</v>
      </c>
      <c r="J10" s="19">
        <f>E4/G4</f>
        <v>0.36081061669189712</v>
      </c>
      <c r="K10" s="2">
        <f>G4/H4</f>
        <v>2.3364831022642192</v>
      </c>
      <c r="L10" s="2">
        <f>(H10-K4)/K27/N4</f>
        <v>9.9360797076624578</v>
      </c>
      <c r="M10" s="5">
        <f>H27*F4/1000/H28*J10*L10+K4*(1-L10)</f>
        <v>1.637483150927596</v>
      </c>
      <c r="N10" s="5">
        <f>MIN(M10,N22)/K10+K4*(K10-1)/K10</f>
        <v>0.15699841987204277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/>
      <c r="E16" s="5"/>
      <c r="F16" s="8"/>
      <c r="G16" s="17">
        <f>E27*$F4/1000/E28</f>
        <v>0.57549248747913195</v>
      </c>
      <c r="H16" s="17">
        <f>H27*$F4/1000/H28</f>
        <v>0.58138413098236774</v>
      </c>
      <c r="I16" s="8">
        <f>H16-G16</f>
        <v>5.8916435032357883E-3</v>
      </c>
      <c r="J16" s="3">
        <f>J4/E27</f>
        <v>0.20967741935483872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0.15629999999999999</v>
      </c>
      <c r="C22" s="9">
        <v>0.1338</v>
      </c>
      <c r="D22" s="3">
        <v>0.1338</v>
      </c>
      <c r="F22" s="3">
        <f>J28</f>
        <v>0.15460359840188387</v>
      </c>
      <c r="G22" s="3">
        <v>0</v>
      </c>
      <c r="H22" s="3">
        <f>MAX((MIN(I10,N22)*(1-J16)-SUM(F22:G22))*N10,0)</f>
        <v>1.2951298249517976E-2</v>
      </c>
      <c r="I22" s="3">
        <f>SUM(F22:H22)</f>
        <v>0.16755489665140183</v>
      </c>
      <c r="J22" s="5">
        <f>J4/B33</f>
        <v>7.7611940298507468E-3</v>
      </c>
      <c r="L22" s="3">
        <f>OI!C10</f>
        <v>0.15</v>
      </c>
      <c r="N22" s="10">
        <v>0.3</v>
      </c>
      <c r="O22" s="3">
        <f>OI!D10</f>
        <v>0.06</v>
      </c>
      <c r="P22" s="3">
        <f>N22-O22</f>
        <v>0.24</v>
      </c>
      <c r="Q22" s="13">
        <f>P22/(L4-O22)/N22</f>
        <v>19.999999999999996</v>
      </c>
      <c r="S22" s="5">
        <f>SUM(D22,I22,L22)/3</f>
        <v>0.15045163221713395</v>
      </c>
      <c r="T22" s="3">
        <f>J22</f>
        <v>7.7611940298507468E-3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tr">
        <f>A33</f>
        <v>V</v>
      </c>
      <c r="C27" s="7">
        <v>8</v>
      </c>
      <c r="D27" s="1">
        <v>9.85</v>
      </c>
      <c r="E27" s="1">
        <v>9.92</v>
      </c>
      <c r="F27" s="1">
        <v>9.9600000000000009</v>
      </c>
      <c r="G27" s="1">
        <v>10.71</v>
      </c>
      <c r="H27" s="1">
        <v>11.07</v>
      </c>
      <c r="I27" s="1">
        <v>11.25</v>
      </c>
      <c r="J27" s="5">
        <f>(H27/C27)^0.5-1</f>
        <v>0.1763290356018592</v>
      </c>
      <c r="K27" s="11">
        <f>(H27-G27)/G4*F4</f>
        <v>8.2940142985005218E-3</v>
      </c>
    </row>
    <row r="28" spans="1:20" x14ac:dyDescent="0.3">
      <c r="A28" s="1" t="s">
        <v>117</v>
      </c>
      <c r="C28" s="1">
        <v>29.78</v>
      </c>
      <c r="D28" s="1">
        <v>35.47</v>
      </c>
      <c r="E28" s="1">
        <v>35.94</v>
      </c>
      <c r="F28" s="1">
        <v>36.450000000000003</v>
      </c>
      <c r="G28" s="1">
        <v>38.659999999999997</v>
      </c>
      <c r="H28" s="1">
        <v>39.700000000000003</v>
      </c>
      <c r="I28" s="1">
        <v>40.46</v>
      </c>
      <c r="J28" s="5">
        <f>(H28/C28)^0.5-1</f>
        <v>0.15460359840188387</v>
      </c>
      <c r="K28" s="11">
        <f>(H28-G28)/G4*1000</f>
        <v>1.149183968883641E-2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127</v>
      </c>
      <c r="B33" s="1">
        <v>268</v>
      </c>
      <c r="C33" s="1">
        <f>C27</f>
        <v>8</v>
      </c>
      <c r="D33" s="1">
        <f t="shared" ref="D33:I33" si="0">D27</f>
        <v>9.85</v>
      </c>
      <c r="E33" s="1">
        <f t="shared" si="0"/>
        <v>9.92</v>
      </c>
      <c r="F33" s="1">
        <f t="shared" si="0"/>
        <v>9.9600000000000009</v>
      </c>
      <c r="G33" s="1">
        <f t="shared" si="0"/>
        <v>10.71</v>
      </c>
      <c r="H33" s="1">
        <f t="shared" si="0"/>
        <v>11.07</v>
      </c>
      <c r="I33" s="1">
        <f t="shared" si="0"/>
        <v>11.25</v>
      </c>
      <c r="J33" s="13">
        <f>INT(S22*100)</f>
        <v>15</v>
      </c>
      <c r="K33" s="1">
        <v>1</v>
      </c>
      <c r="L33" s="15">
        <f>100+J33*5</f>
        <v>175</v>
      </c>
      <c r="M33" s="13">
        <f>INT(T22*100)</f>
        <v>0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H27*(1+S22+T22)^10/(1+L4-J22)^12*Q22</f>
        <v>333.61847121220586</v>
      </c>
    </row>
    <row r="38" spans="1:13" x14ac:dyDescent="0.3">
      <c r="A38" s="3">
        <v>0.8</v>
      </c>
      <c r="B38" s="13">
        <f>B37*A38</f>
        <v>266.89477696976468</v>
      </c>
    </row>
    <row r="39" spans="1:13" x14ac:dyDescent="0.3">
      <c r="A39" s="1" t="s">
        <v>70</v>
      </c>
      <c r="B39" s="13">
        <f>G27*(1+S22+T22)^10/(1+L4-J22)^12*Q22</f>
        <v>322.7690900345732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33B0-680B-4A16-B78C-2E4352AE55BE}">
  <dimension ref="A1:T39"/>
  <sheetViews>
    <sheetView topLeftCell="A16" workbookViewId="0">
      <selection activeCell="L15" sqref="L15"/>
    </sheetView>
  </sheetViews>
  <sheetFormatPr defaultColWidth="8.88671875" defaultRowHeight="15" x14ac:dyDescent="0.3"/>
  <cols>
    <col min="1" max="19" width="12.6640625" style="1" customWidth="1"/>
    <col min="20" max="16384" width="8.88671875" style="1"/>
  </cols>
  <sheetData>
    <row r="1" spans="1:15" x14ac:dyDescent="0.3">
      <c r="A1" s="1" t="s">
        <v>0</v>
      </c>
    </row>
    <row r="2" spans="1:15" x14ac:dyDescent="0.3">
      <c r="B2" s="1" t="s">
        <v>1</v>
      </c>
      <c r="F2" s="1" t="s">
        <v>2</v>
      </c>
      <c r="G2" s="1" t="s">
        <v>3</v>
      </c>
      <c r="J2" s="1" t="s">
        <v>4</v>
      </c>
    </row>
    <row r="3" spans="1:15" x14ac:dyDescent="0.3">
      <c r="B3" s="1" t="s">
        <v>5</v>
      </c>
      <c r="C3" s="1" t="s">
        <v>6</v>
      </c>
      <c r="D3" s="1" t="s">
        <v>7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</row>
    <row r="4" spans="1:15" x14ac:dyDescent="0.3">
      <c r="A4" s="1">
        <v>2023</v>
      </c>
      <c r="B4" s="1">
        <v>11195</v>
      </c>
      <c r="C4" s="1">
        <v>14630</v>
      </c>
      <c r="D4" s="1">
        <v>19076</v>
      </c>
      <c r="E4" s="1">
        <v>25098</v>
      </c>
      <c r="F4" s="1">
        <v>946</v>
      </c>
      <c r="G4" s="1">
        <v>42448</v>
      </c>
      <c r="H4" s="1">
        <v>6929</v>
      </c>
      <c r="I4" s="1">
        <v>35451</v>
      </c>
      <c r="J4" s="2">
        <v>2.64</v>
      </c>
      <c r="K4" s="3">
        <f>OI!A3</f>
        <v>0.05</v>
      </c>
      <c r="L4" s="3">
        <f>OI!B3</f>
        <v>0.1</v>
      </c>
      <c r="M4" s="3">
        <f>OI!C3</f>
        <v>0</v>
      </c>
      <c r="N4" s="3">
        <f>OI!D3</f>
        <v>2.3333333333333335</v>
      </c>
      <c r="O4" s="3">
        <f>OI!E3</f>
        <v>0</v>
      </c>
    </row>
    <row r="5" spans="1:15" x14ac:dyDescent="0.3">
      <c r="J5" s="3"/>
    </row>
    <row r="6" spans="1:15" s="4" customFormat="1" x14ac:dyDescent="0.3"/>
    <row r="7" spans="1:15" x14ac:dyDescent="0.3">
      <c r="A7" s="1" t="s">
        <v>18</v>
      </c>
    </row>
    <row r="8" spans="1:15" x14ac:dyDescent="0.3">
      <c r="B8" s="1" t="s">
        <v>19</v>
      </c>
      <c r="G8" s="1" t="s">
        <v>20</v>
      </c>
    </row>
    <row r="9" spans="1:15" x14ac:dyDescent="0.3">
      <c r="B9" s="1" t="s">
        <v>7</v>
      </c>
      <c r="C9" s="1" t="s">
        <v>6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8" t="s">
        <v>27</v>
      </c>
      <c r="K9" s="1" t="s">
        <v>28</v>
      </c>
      <c r="L9" s="1" t="s">
        <v>29</v>
      </c>
      <c r="M9" s="1" t="s">
        <v>30</v>
      </c>
      <c r="N9" s="1" t="s">
        <v>123</v>
      </c>
    </row>
    <row r="10" spans="1:15" x14ac:dyDescent="0.3">
      <c r="A10" s="1">
        <v>2023</v>
      </c>
      <c r="B10" s="5">
        <f>D4/E4</f>
        <v>0.76006056259462906</v>
      </c>
      <c r="C10" s="5">
        <f>C4/E4</f>
        <v>0.58291497330464581</v>
      </c>
      <c r="D10" s="6">
        <f>B4/E4</f>
        <v>0.44605147820543467</v>
      </c>
      <c r="E10" s="7">
        <f>B4/F4</f>
        <v>11.834038054968287</v>
      </c>
      <c r="G10" s="5">
        <f>B4/G4</f>
        <v>0.26373445156426689</v>
      </c>
      <c r="H10" s="5">
        <f>C4/G4</f>
        <v>0.34465699208443273</v>
      </c>
      <c r="I10" s="5">
        <f>B4/H4</f>
        <v>1.6156732573242891</v>
      </c>
      <c r="J10" s="19">
        <f>E4/G4</f>
        <v>0.59126460610629472</v>
      </c>
      <c r="K10" s="2">
        <f>G4/H4</f>
        <v>6.126136527637466</v>
      </c>
      <c r="L10" s="2">
        <f>(H10-K4)/K27/N4</f>
        <v>8.0948353971609652</v>
      </c>
      <c r="M10" s="5">
        <f>H27*F4/1000/H28*J10*L10+K4*(1-L10)</f>
        <v>2.0492632525542516</v>
      </c>
      <c r="N10" s="5">
        <f>MIN(M10,N22)/K10+K4*(K10-1)/K10</f>
        <v>9.0808754240482459E-2</v>
      </c>
    </row>
    <row r="11" spans="1:15" x14ac:dyDescent="0.3">
      <c r="B11" s="5"/>
      <c r="C11" s="5"/>
      <c r="D11" s="5"/>
      <c r="E11" s="7"/>
      <c r="G11" s="5"/>
      <c r="H11" s="5"/>
    </row>
    <row r="12" spans="1:15" s="4" customFormat="1" x14ac:dyDescent="0.3"/>
    <row r="13" spans="1:15" x14ac:dyDescent="0.3">
      <c r="A13" s="1" t="s">
        <v>31</v>
      </c>
    </row>
    <row r="14" spans="1:15" x14ac:dyDescent="0.3">
      <c r="B14" s="1" t="s">
        <v>80</v>
      </c>
      <c r="J14" s="1" t="s">
        <v>79</v>
      </c>
    </row>
    <row r="15" spans="1:15" x14ac:dyDescent="0.3">
      <c r="B15" s="1" t="s">
        <v>32</v>
      </c>
      <c r="C15" s="1" t="s">
        <v>32</v>
      </c>
      <c r="D15" s="1" t="s">
        <v>33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12</v>
      </c>
    </row>
    <row r="16" spans="1:15" x14ac:dyDescent="0.3">
      <c r="A16" s="1" t="s">
        <v>38</v>
      </c>
      <c r="B16" s="5"/>
      <c r="C16" s="5"/>
      <c r="D16" s="5"/>
      <c r="E16" s="5"/>
      <c r="F16" s="8"/>
      <c r="G16" s="17">
        <f>E27*$F4/1000/E28</f>
        <v>0.48607755834829441</v>
      </c>
      <c r="H16" s="17">
        <f>H27*$F4/1000/H28</f>
        <v>0.50227951499680923</v>
      </c>
      <c r="I16" s="8">
        <f>H16-G16</f>
        <v>1.6201956648514815E-2</v>
      </c>
      <c r="J16" s="3">
        <f>J4/E27</f>
        <v>0.18448637316561844</v>
      </c>
    </row>
    <row r="17" spans="1:20" x14ac:dyDescent="0.3">
      <c r="A17" s="1" t="s">
        <v>39</v>
      </c>
      <c r="B17" s="1">
        <v>2023</v>
      </c>
      <c r="C17" s="1" t="s">
        <v>40</v>
      </c>
      <c r="D17" s="1">
        <v>2023</v>
      </c>
      <c r="E17" s="1">
        <v>2020</v>
      </c>
      <c r="F17" s="1">
        <v>2025</v>
      </c>
    </row>
    <row r="19" spans="1:20" s="4" customFormat="1" x14ac:dyDescent="0.3"/>
    <row r="20" spans="1:20" x14ac:dyDescent="0.3">
      <c r="A20" s="1" t="s">
        <v>41</v>
      </c>
      <c r="C20" s="1" t="s">
        <v>76</v>
      </c>
      <c r="G20" s="1" t="s">
        <v>77</v>
      </c>
      <c r="L20" s="1" t="s">
        <v>81</v>
      </c>
      <c r="O20" s="1" t="s">
        <v>78</v>
      </c>
      <c r="S20" s="1" t="s">
        <v>49</v>
      </c>
    </row>
    <row r="21" spans="1:20" x14ac:dyDescent="0.3">
      <c r="B21" s="1" t="s">
        <v>42</v>
      </c>
      <c r="C21" s="1" t="s">
        <v>43</v>
      </c>
      <c r="D21" s="1" t="s">
        <v>44</v>
      </c>
      <c r="F21" s="1" t="s">
        <v>45</v>
      </c>
      <c r="G21" s="1" t="s">
        <v>46</v>
      </c>
      <c r="H21" s="1" t="s">
        <v>47</v>
      </c>
      <c r="I21" s="1" t="s">
        <v>48</v>
      </c>
      <c r="J21" s="1" t="s">
        <v>83</v>
      </c>
      <c r="L21" s="1" t="s">
        <v>82</v>
      </c>
      <c r="N21" s="1" t="str">
        <f>M9</f>
        <v>roe-pj</v>
      </c>
      <c r="O21" s="1" t="s">
        <v>71</v>
      </c>
      <c r="P21" s="1" t="s">
        <v>84</v>
      </c>
      <c r="Q21" s="1" t="s">
        <v>85</v>
      </c>
      <c r="S21" s="1" t="s">
        <v>71</v>
      </c>
      <c r="T21" s="1" t="s">
        <v>84</v>
      </c>
    </row>
    <row r="22" spans="1:20" x14ac:dyDescent="0.3">
      <c r="A22" s="1" t="s">
        <v>41</v>
      </c>
      <c r="B22" s="9">
        <v>0.192</v>
      </c>
      <c r="C22" s="9">
        <v>0.15440000000000001</v>
      </c>
      <c r="D22" s="3">
        <f>C22</f>
        <v>0.15440000000000001</v>
      </c>
      <c r="F22" s="3">
        <f>J28</f>
        <v>0.1174102101239467</v>
      </c>
      <c r="G22" s="3">
        <v>0</v>
      </c>
      <c r="H22" s="3">
        <f>MAX((MIN(I10,N22)*(1-J16)-SUM(F22:G22))*N10,0)</f>
        <v>1.1554858039221481E-2</v>
      </c>
      <c r="I22" s="3">
        <f>SUM(F22:H22)</f>
        <v>0.12896506816316819</v>
      </c>
      <c r="J22" s="5">
        <f>J4/B33</f>
        <v>5.959367945823928E-3</v>
      </c>
      <c r="L22" s="3">
        <f>OI!C10</f>
        <v>0.15</v>
      </c>
      <c r="N22" s="10">
        <v>0.3</v>
      </c>
      <c r="O22" s="3">
        <f>OI!D10</f>
        <v>0.06</v>
      </c>
      <c r="P22" s="3">
        <f>N22-O22</f>
        <v>0.24</v>
      </c>
      <c r="Q22" s="13">
        <f>P22/(L4-O22)/N22</f>
        <v>19.999999999999996</v>
      </c>
      <c r="S22" s="5">
        <f>SUM(D22,I22,L22)/3</f>
        <v>0.14445502272105606</v>
      </c>
      <c r="T22" s="3">
        <f>J22</f>
        <v>5.959367945823928E-3</v>
      </c>
    </row>
    <row r="24" spans="1:20" s="4" customFormat="1" x14ac:dyDescent="0.3"/>
    <row r="25" spans="1:20" x14ac:dyDescent="0.3">
      <c r="A25" s="1" t="s">
        <v>50</v>
      </c>
    </row>
    <row r="26" spans="1:20" x14ac:dyDescent="0.3">
      <c r="A26" s="1" t="s">
        <v>51</v>
      </c>
      <c r="B26" s="1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1" t="s">
        <v>57</v>
      </c>
      <c r="H26" s="1" t="s">
        <v>58</v>
      </c>
      <c r="I26" s="1" t="s">
        <v>59</v>
      </c>
      <c r="J26" s="1" t="s">
        <v>60</v>
      </c>
      <c r="K26" s="1" t="s">
        <v>61</v>
      </c>
    </row>
    <row r="27" spans="1:20" x14ac:dyDescent="0.3">
      <c r="A27" s="1" t="str">
        <f>A33</f>
        <v>MA</v>
      </c>
      <c r="C27" s="1">
        <v>12.26</v>
      </c>
      <c r="D27" s="1">
        <v>13.98</v>
      </c>
      <c r="E27" s="1">
        <v>14.31</v>
      </c>
      <c r="F27" s="1">
        <v>14.65</v>
      </c>
      <c r="G27" s="1">
        <v>15.94</v>
      </c>
      <c r="H27" s="1">
        <v>16.64</v>
      </c>
      <c r="I27" s="1">
        <v>17.25</v>
      </c>
      <c r="J27" s="5">
        <f>(H27/C27)^0.5-1</f>
        <v>0.1650147553133734</v>
      </c>
      <c r="K27" s="11">
        <f>(H27-G27)/G4*F4</f>
        <v>1.5600263852242769E-2</v>
      </c>
    </row>
    <row r="28" spans="1:20" x14ac:dyDescent="0.3">
      <c r="A28" s="1" t="s">
        <v>117</v>
      </c>
      <c r="C28" s="1">
        <v>25.1</v>
      </c>
      <c r="D28" s="1">
        <v>27.69</v>
      </c>
      <c r="E28" s="1">
        <v>27.85</v>
      </c>
      <c r="F28" s="1">
        <v>28.08</v>
      </c>
      <c r="G28" s="1">
        <v>30.8</v>
      </c>
      <c r="H28" s="1">
        <v>31.34</v>
      </c>
      <c r="I28" s="1">
        <v>31.9</v>
      </c>
      <c r="J28" s="5">
        <f>(H28/C28)^0.5-1</f>
        <v>0.1174102101239467</v>
      </c>
      <c r="K28" s="11">
        <f>(H28-G28)/G4*1000</f>
        <v>1.2721447418017319E-2</v>
      </c>
    </row>
    <row r="30" spans="1:20" s="4" customFormat="1" x14ac:dyDescent="0.3"/>
    <row r="31" spans="1:20" x14ac:dyDescent="0.3">
      <c r="A31" s="1" t="s">
        <v>63</v>
      </c>
    </row>
    <row r="32" spans="1:20" x14ac:dyDescent="0.3">
      <c r="A32" s="1" t="s">
        <v>51</v>
      </c>
      <c r="B32" s="1" t="s">
        <v>52</v>
      </c>
      <c r="C32" s="1" t="s">
        <v>53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59</v>
      </c>
      <c r="J32" s="1" t="s">
        <v>60</v>
      </c>
      <c r="K32" s="1" t="s">
        <v>64</v>
      </c>
      <c r="L32" s="1" t="s">
        <v>65</v>
      </c>
      <c r="M32" s="1" t="s">
        <v>66</v>
      </c>
    </row>
    <row r="33" spans="1:13" x14ac:dyDescent="0.3">
      <c r="A33" s="1" t="s">
        <v>128</v>
      </c>
      <c r="B33" s="1">
        <v>443</v>
      </c>
      <c r="C33" s="1">
        <f>C27</f>
        <v>12.26</v>
      </c>
      <c r="D33" s="1">
        <f t="shared" ref="D33:I33" si="0">D27</f>
        <v>13.98</v>
      </c>
      <c r="E33" s="1">
        <f t="shared" si="0"/>
        <v>14.31</v>
      </c>
      <c r="F33" s="1">
        <f t="shared" si="0"/>
        <v>14.65</v>
      </c>
      <c r="G33" s="1">
        <f t="shared" si="0"/>
        <v>15.94</v>
      </c>
      <c r="H33" s="1">
        <f t="shared" si="0"/>
        <v>16.64</v>
      </c>
      <c r="I33" s="1">
        <f t="shared" si="0"/>
        <v>17.25</v>
      </c>
      <c r="J33" s="13">
        <f>INT(S22*100)</f>
        <v>14</v>
      </c>
      <c r="K33" s="1">
        <v>1</v>
      </c>
      <c r="L33" s="15">
        <f>100+J33*5</f>
        <v>170</v>
      </c>
      <c r="M33" s="13">
        <f>INT(T22*100)</f>
        <v>0</v>
      </c>
    </row>
    <row r="35" spans="1:13" s="4" customFormat="1" x14ac:dyDescent="0.3">
      <c r="D35" s="12"/>
      <c r="E35" s="12"/>
    </row>
    <row r="36" spans="1:13" x14ac:dyDescent="0.3">
      <c r="A36" s="1" t="s">
        <v>68</v>
      </c>
    </row>
    <row r="37" spans="1:13" x14ac:dyDescent="0.3">
      <c r="A37" s="1" t="s">
        <v>69</v>
      </c>
      <c r="B37" s="13">
        <f>H27*(1+S22+T22)^10/(1+L4-J22)^12*Q22</f>
        <v>459.54172881827583</v>
      </c>
    </row>
    <row r="38" spans="1:13" x14ac:dyDescent="0.3">
      <c r="A38" s="3">
        <v>0.8</v>
      </c>
      <c r="B38" s="13">
        <f>B37*A38</f>
        <v>367.63338305462071</v>
      </c>
    </row>
    <row r="39" spans="1:13" x14ac:dyDescent="0.3">
      <c r="A39" s="1" t="s">
        <v>70</v>
      </c>
      <c r="B39" s="13">
        <f>G27*(1+S22+T22)^10/(1+L4-J22)^12*Q22</f>
        <v>440.21004551462232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OI</vt:lpstr>
      <vt:lpstr>SUM</vt:lpstr>
      <vt:lpstr>KO</vt:lpstr>
      <vt:lpstr>PEP</vt:lpstr>
      <vt:lpstr>BKNG</vt:lpstr>
      <vt:lpstr>COST</vt:lpstr>
      <vt:lpstr>ULTA</vt:lpstr>
      <vt:lpstr>V</vt:lpstr>
      <vt:lpstr>MA</vt:lpstr>
      <vt:lpstr>BRK</vt:lpstr>
      <vt:lpstr>FSLR</vt:lpstr>
      <vt:lpstr>ENPH</vt:lpstr>
      <vt:lpstr>JKS</vt:lpstr>
      <vt:lpstr>CSIQ</vt:lpstr>
      <vt:lpstr>TSLA</vt:lpstr>
      <vt:lpstr>ON</vt:lpstr>
      <vt:lpstr>MCHP</vt:lpstr>
      <vt:lpstr>CRM</vt:lpstr>
      <vt:lpstr>ADBE</vt:lpstr>
      <vt:lpstr>ORCL</vt:lpstr>
      <vt:lpstr>GOOG</vt:lpstr>
      <vt:lpstr>MSFT</vt:lpstr>
      <vt:lpstr>APPL</vt:lpstr>
      <vt:lpstr>PFE</vt:lpstr>
      <vt:lpstr>JNJ</vt:lpstr>
      <vt:lpstr>MCO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2024-10-29T06:38:43Z</dcterms:modified>
</cp:coreProperties>
</file>