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inputs/"/>
    </mc:Choice>
  </mc:AlternateContent>
  <xr:revisionPtr revIDLastSave="188" documentId="13_ncr:1_{ABD80D8B-416D-4893-BF26-ADDC3D3C777A}" xr6:coauthVersionLast="47" xr6:coauthVersionMax="47" xr10:uidLastSave="{BE1C9977-9BDF-4D56-999D-EF14C5905778}"/>
  <bookViews>
    <workbookView xWindow="15768" yWindow="276" windowWidth="23760" windowHeight="16284" activeTab="1" xr2:uid="{00000000-000D-0000-FFFF-FFFF00000000}"/>
  </bookViews>
  <sheets>
    <sheet name="Summary" sheetId="1" r:id="rId1"/>
    <sheet name="Simple" sheetId="4" r:id="rId2"/>
    <sheet name="Growth_assumption" sheetId="2" r:id="rId3"/>
    <sheet name="Overall_assum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4" l="1"/>
  <c r="AE23" i="4"/>
  <c r="AG23" i="4" s="1"/>
  <c r="AD23" i="4"/>
  <c r="AG33" i="4"/>
  <c r="AG5" i="4"/>
  <c r="AF33" i="4"/>
  <c r="AF5" i="4"/>
  <c r="AE33" i="4"/>
  <c r="AD33" i="4"/>
  <c r="AE5" i="4"/>
  <c r="AD5" i="4"/>
  <c r="T23" i="4"/>
  <c r="T31" i="4"/>
  <c r="T32" i="4"/>
  <c r="T33" i="4"/>
  <c r="P33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U31" i="4" s="1"/>
  <c r="S32" i="4"/>
  <c r="U32" i="4" s="1"/>
  <c r="S33" i="4"/>
  <c r="L6" i="4"/>
  <c r="S6" i="4" s="1"/>
  <c r="L7" i="4"/>
  <c r="S7" i="4" s="1"/>
  <c r="L8" i="4"/>
  <c r="S8" i="4" s="1"/>
  <c r="L9" i="4"/>
  <c r="S9" i="4" s="1"/>
  <c r="L5" i="4"/>
  <c r="S5" i="4" s="1"/>
  <c r="U33" i="4" l="1"/>
  <c r="M7" i="1"/>
  <c r="O7" i="1" s="1"/>
  <c r="M6" i="1"/>
  <c r="O6" i="1" s="1"/>
  <c r="Q6" i="1"/>
  <c r="S6" i="1"/>
  <c r="T6" i="1"/>
  <c r="V6" i="1"/>
  <c r="X6" i="1" s="1"/>
  <c r="J6" i="1"/>
  <c r="H6" i="1"/>
  <c r="X7" i="1"/>
  <c r="V7" i="1"/>
  <c r="S7" i="1"/>
  <c r="Q7" i="1"/>
  <c r="T7" i="1"/>
  <c r="J7" i="1"/>
  <c r="H7" i="1"/>
  <c r="M9" i="1"/>
  <c r="M8" i="1"/>
  <c r="M5" i="1"/>
  <c r="O5" i="1" s="1"/>
  <c r="V9" i="1"/>
  <c r="X9" i="1" s="1"/>
  <c r="T9" i="1"/>
  <c r="S9" i="1"/>
  <c r="Q9" i="1"/>
  <c r="N9" i="1"/>
  <c r="O9" i="1" s="1"/>
  <c r="J9" i="1"/>
  <c r="H9" i="1"/>
  <c r="N8" i="1"/>
  <c r="V8" i="1"/>
  <c r="X8" i="1" s="1"/>
  <c r="S8" i="1"/>
  <c r="T8" i="1"/>
  <c r="Q8" i="1"/>
  <c r="Q5" i="1"/>
  <c r="J8" i="1"/>
  <c r="H8" i="1"/>
  <c r="H3" i="2"/>
  <c r="K3" i="2" s="1"/>
  <c r="D3" i="2" s="1"/>
  <c r="E3" i="2"/>
  <c r="M3" i="2"/>
  <c r="T3" i="2"/>
  <c r="U3" i="2" s="1"/>
  <c r="C3" i="2" s="1"/>
  <c r="S3" i="2"/>
  <c r="O3" i="2"/>
  <c r="P3" i="2" s="1"/>
  <c r="T5" i="1" s="1"/>
  <c r="J3" i="2"/>
  <c r="N3" i="2"/>
  <c r="I3" i="2"/>
  <c r="V5" i="1"/>
  <c r="X5" i="1" s="1"/>
  <c r="B8" i="3"/>
  <c r="J5" i="1"/>
  <c r="H5" i="1"/>
  <c r="R7" i="1" l="1"/>
  <c r="Y7" i="1" s="1"/>
  <c r="Z7" i="1" s="1"/>
  <c r="AA7" i="1" s="1"/>
  <c r="R6" i="1"/>
  <c r="Y6" i="1" s="1"/>
  <c r="Z6" i="1" s="1"/>
  <c r="AA6" i="1" s="1"/>
  <c r="O8" i="1"/>
  <c r="R8" i="1" s="1"/>
  <c r="Y8" i="1" s="1"/>
  <c r="Z8" i="1" s="1"/>
  <c r="AA8" i="1" s="1"/>
  <c r="R9" i="1"/>
  <c r="Y9" i="1" s="1"/>
  <c r="Z9" i="1" s="1"/>
  <c r="AA9" i="1" s="1"/>
  <c r="R5" i="1"/>
  <c r="S5" i="1"/>
  <c r="Y5" i="1" l="1"/>
  <c r="Z5" i="1" s="1"/>
  <c r="AA5" i="1" s="1"/>
</calcChain>
</file>

<file path=xl/sharedStrings.xml><?xml version="1.0" encoding="utf-8"?>
<sst xmlns="http://schemas.openxmlformats.org/spreadsheetml/2006/main" count="202" uniqueCount="131">
  <si>
    <t>EV</t>
  </si>
  <si>
    <t>Inflation</t>
  </si>
  <si>
    <t>Solar</t>
  </si>
  <si>
    <t>Popluation growth</t>
  </si>
  <si>
    <t>Residential Solar</t>
  </si>
  <si>
    <t>Renewable</t>
  </si>
  <si>
    <t>Estimation</t>
  </si>
  <si>
    <t>Power Electronic</t>
  </si>
  <si>
    <t>WACC</t>
  </si>
  <si>
    <t>Semiconductor T</t>
  </si>
  <si>
    <t>Tax rate</t>
  </si>
  <si>
    <t>Resource</t>
  </si>
  <si>
    <t>Dividend value</t>
  </si>
  <si>
    <t>Tech</t>
  </si>
  <si>
    <t>Tech - support</t>
  </si>
  <si>
    <t>Entertainment</t>
  </si>
  <si>
    <t>Health</t>
  </si>
  <si>
    <t>Oil &amp; Gas</t>
  </si>
  <si>
    <t>Sectors</t>
  </si>
  <si>
    <t>Low</t>
  </si>
  <si>
    <t>Growth</t>
  </si>
  <si>
    <t>Cap</t>
  </si>
  <si>
    <t>Sector</t>
  </si>
  <si>
    <t>Energy System</t>
  </si>
  <si>
    <t>Manufacture</t>
  </si>
  <si>
    <t>Sector/Code</t>
  </si>
  <si>
    <t>Detail/Name</t>
  </si>
  <si>
    <t>ROA</t>
  </si>
  <si>
    <t>ROE</t>
  </si>
  <si>
    <t>Bussiness</t>
  </si>
  <si>
    <t>Current</t>
  </si>
  <si>
    <t>Next</t>
  </si>
  <si>
    <t>Stage 1</t>
  </si>
  <si>
    <t>Past</t>
  </si>
  <si>
    <t>Future</t>
  </si>
  <si>
    <t>Avgerage</t>
  </si>
  <si>
    <t>Stage 2</t>
  </si>
  <si>
    <t>S2 low</t>
  </si>
  <si>
    <t>S2 high</t>
  </si>
  <si>
    <t>S3 low</t>
  </si>
  <si>
    <t>S3 high</t>
  </si>
  <si>
    <t>Stage 3</t>
  </si>
  <si>
    <t>Least-cost VRE, suitable for sector-coupling</t>
  </si>
  <si>
    <t>Profit margin</t>
  </si>
  <si>
    <t>Thesis/EPS 2023</t>
  </si>
  <si>
    <t>EPS 2024</t>
  </si>
  <si>
    <t>EPS 2025</t>
  </si>
  <si>
    <t>S3 mid</t>
  </si>
  <si>
    <t>P/E-S3</t>
  </si>
  <si>
    <t>P/E-Current</t>
  </si>
  <si>
    <t>Growth - Estimation</t>
  </si>
  <si>
    <t>factor 1</t>
  </si>
  <si>
    <t>factor 2</t>
  </si>
  <si>
    <t>Moderate - IEA 2023 manufacture capacity addition ~9%, cost reduction ~2%</t>
  </si>
  <si>
    <t>factor 3</t>
  </si>
  <si>
    <t>Optimistic - Full electrification</t>
  </si>
  <si>
    <t>Pessimistic - no growth current capacity is sufficient</t>
  </si>
  <si>
    <t>Sub-sector</t>
  </si>
  <si>
    <t>Value</t>
  </si>
  <si>
    <t>Note</t>
  </si>
  <si>
    <t>Impact</t>
  </si>
  <si>
    <t>Prob</t>
  </si>
  <si>
    <t>Adj Factor</t>
  </si>
  <si>
    <t>Chinese solar PV banned</t>
  </si>
  <si>
    <t>First Solar, Inc. (FSLR)</t>
  </si>
  <si>
    <t>JinkoSolar Holding Co., Ltd. (JKS)</t>
  </si>
  <si>
    <t>80% Value</t>
  </si>
  <si>
    <t>Canadian Solar Inc. (CSIQ)</t>
  </si>
  <si>
    <t>SolarEdge Technologies, Inc. (SEDG)</t>
  </si>
  <si>
    <t>Enphase Energy, Inc. (ENPH)</t>
  </si>
  <si>
    <t>i</t>
  </si>
  <si>
    <t>FSLR</t>
  </si>
  <si>
    <t>ENPH</t>
  </si>
  <si>
    <t>SEDG</t>
  </si>
  <si>
    <t>JKS</t>
  </si>
  <si>
    <t>CSIQ</t>
  </si>
  <si>
    <t>index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</si>
  <si>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</si>
  <si>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</si>
  <si>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</si>
  <si>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</si>
  <si>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</si>
  <si>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</si>
  <si>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</si>
  <si>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</si>
  <si>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Software Licence</t>
  </si>
  <si>
    <t>Software</t>
  </si>
  <si>
    <t>ADBE</t>
  </si>
  <si>
    <t>CRM</t>
  </si>
  <si>
    <t>MCHP</t>
  </si>
  <si>
    <t>ON</t>
  </si>
  <si>
    <t>Semiconductor - Microchips</t>
  </si>
  <si>
    <t>Semiconductor - EV &amp; Power</t>
  </si>
  <si>
    <t>Solar &amp; battery</t>
  </si>
  <si>
    <t>Solar &amp; inverter</t>
  </si>
  <si>
    <t>Electric Vechicle</t>
  </si>
  <si>
    <t>TSLA</t>
  </si>
  <si>
    <t>EV &amp; auto-mobile</t>
  </si>
  <si>
    <t>LII</t>
  </si>
  <si>
    <t>EMR</t>
  </si>
  <si>
    <t>XYL</t>
  </si>
  <si>
    <t>Heat Pump</t>
  </si>
  <si>
    <t>Pharmaceutical</t>
  </si>
  <si>
    <t>PFE</t>
  </si>
  <si>
    <t>JNJ</t>
  </si>
  <si>
    <t>LLY</t>
  </si>
  <si>
    <t>Medical</t>
  </si>
  <si>
    <t>Consumption</t>
  </si>
  <si>
    <t>ULTA</t>
  </si>
  <si>
    <t>Comestic shopping</t>
  </si>
  <si>
    <t>Shopping</t>
  </si>
  <si>
    <t>TGT</t>
  </si>
  <si>
    <t>COST</t>
  </si>
  <si>
    <t>x_div</t>
  </si>
  <si>
    <t>Media</t>
  </si>
  <si>
    <t>Customer relationship</t>
  </si>
  <si>
    <t>iv_cap</t>
  </si>
  <si>
    <t>i_cost</t>
  </si>
  <si>
    <t>x_div_adj</t>
  </si>
  <si>
    <t>x_roe</t>
  </si>
  <si>
    <t>simple</t>
  </si>
  <si>
    <t>Net income m$</t>
  </si>
  <si>
    <t>EBIT m$</t>
  </si>
  <si>
    <t>Asset m$</t>
  </si>
  <si>
    <t>Equity m$</t>
  </si>
  <si>
    <t>Share Number m</t>
  </si>
  <si>
    <t>Revenue m$</t>
  </si>
  <si>
    <t>Debt m$</t>
  </si>
  <si>
    <t>ROA_BIT</t>
  </si>
  <si>
    <t>iii_std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</si>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</sst>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%"/>
    <numFmt numFmtId="165" formatCode="_-&quot;$&quot;* #,##0_-;\-&quot;$&quot;* #,##0_-;_-&quot;$&quot;* &quot;-&quot;??_-;_-@_-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b/>
      <sz val="10"/>
      <color theme="0"/>
      <name val="Comic Sans MS"/>
      <family val="4"/>
    </font>
    <font>
      <sz val="10"/>
      <color rgb="FFFF0000"/>
      <name val="Comic Sans MS"/>
      <family val="4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9" fontId="3" fillId="0" borderId="0" xfId="1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2" fontId="3" fillId="0" borderId="0" xfId="0" applyNumberFormat="1" applyFont="1" applyAlignment="1">
      <alignment wrapText="1"/>
    </xf>
    <xf numFmtId="0" fontId="3" fillId="4" borderId="0" xfId="0" applyFont="1" applyFill="1"/>
    <xf numFmtId="9" fontId="3" fillId="4" borderId="0" xfId="1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9" fontId="2" fillId="7" borderId="0" xfId="0" applyNumberFormat="1" applyFont="1" applyFill="1"/>
    <xf numFmtId="9" fontId="3" fillId="5" borderId="0" xfId="1" applyFont="1" applyFill="1"/>
    <xf numFmtId="9" fontId="3" fillId="7" borderId="0" xfId="1" applyFont="1" applyFill="1"/>
    <xf numFmtId="164" fontId="3" fillId="5" borderId="0" xfId="1" applyNumberFormat="1" applyFont="1" applyFill="1"/>
    <xf numFmtId="0" fontId="5" fillId="8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2" fontId="3" fillId="5" borderId="1" xfId="1" applyNumberFormat="1" applyFont="1" applyFill="1" applyBorder="1" applyAlignment="1">
      <alignment horizontal="center" vertical="center"/>
    </xf>
    <xf numFmtId="2" fontId="3" fillId="5" borderId="0" xfId="1" applyNumberFormat="1" applyFont="1" applyFill="1" applyBorder="1" applyAlignment="1">
      <alignment horizontal="center" vertical="center"/>
    </xf>
    <xf numFmtId="9" fontId="3" fillId="5" borderId="0" xfId="1" applyFont="1" applyFill="1" applyAlignment="1">
      <alignment horizontal="center" vertical="center"/>
    </xf>
    <xf numFmtId="9" fontId="3" fillId="5" borderId="0" xfId="0" applyNumberFormat="1" applyFont="1" applyFill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9" fontId="3" fillId="5" borderId="0" xfId="0" applyNumberFormat="1" applyFont="1" applyFill="1"/>
    <xf numFmtId="1" fontId="3" fillId="5" borderId="1" xfId="0" applyNumberFormat="1" applyFont="1" applyFill="1" applyBorder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9" fontId="3" fillId="9" borderId="0" xfId="1" applyFont="1" applyFill="1"/>
    <xf numFmtId="9" fontId="3" fillId="10" borderId="0" xfId="1" applyFont="1" applyFill="1"/>
    <xf numFmtId="9" fontId="6" fillId="5" borderId="0" xfId="0" applyNumberFormat="1" applyFont="1" applyFill="1"/>
    <xf numFmtId="0" fontId="8" fillId="8" borderId="0" xfId="0" applyFont="1" applyFill="1"/>
    <xf numFmtId="0" fontId="4" fillId="11" borderId="0" xfId="0" applyFont="1" applyFill="1"/>
    <xf numFmtId="0" fontId="3" fillId="11" borderId="0" xfId="0" applyFont="1" applyFill="1"/>
    <xf numFmtId="0" fontId="0" fillId="11" borderId="0" xfId="0" applyFill="1"/>
    <xf numFmtId="0" fontId="0" fillId="5" borderId="0" xfId="0" applyFill="1"/>
    <xf numFmtId="0" fontId="3" fillId="12" borderId="0" xfId="0" applyFont="1" applyFill="1"/>
    <xf numFmtId="0" fontId="0" fillId="12" borderId="0" xfId="0" applyFill="1"/>
    <xf numFmtId="0" fontId="4" fillId="12" borderId="0" xfId="0" applyFont="1" applyFill="1"/>
    <xf numFmtId="0" fontId="7" fillId="12" borderId="0" xfId="0" applyFont="1" applyFill="1"/>
    <xf numFmtId="0" fontId="0" fillId="4" borderId="0" xfId="0" applyFill="1"/>
    <xf numFmtId="0" fontId="3" fillId="13" borderId="0" xfId="0" applyFont="1" applyFill="1"/>
    <xf numFmtId="0" fontId="0" fillId="13" borderId="0" xfId="0" applyFill="1"/>
    <xf numFmtId="0" fontId="3" fillId="9" borderId="0" xfId="0" applyFont="1" applyFill="1"/>
    <xf numFmtId="0" fontId="0" fillId="9" borderId="0" xfId="0" applyFill="1"/>
    <xf numFmtId="0" fontId="2" fillId="9" borderId="0" xfId="0" applyFont="1" applyFill="1"/>
    <xf numFmtId="0" fontId="2" fillId="9" borderId="1" xfId="0" applyFont="1" applyFill="1" applyBorder="1"/>
    <xf numFmtId="0" fontId="4" fillId="13" borderId="0" xfId="0" applyFont="1" applyFill="1"/>
    <xf numFmtId="0" fontId="2" fillId="14" borderId="1" xfId="0" applyFont="1" applyFill="1" applyBorder="1"/>
    <xf numFmtId="0" fontId="3" fillId="14" borderId="0" xfId="0" applyFont="1" applyFill="1"/>
    <xf numFmtId="0" fontId="2" fillId="14" borderId="0" xfId="0" applyFont="1" applyFill="1"/>
    <xf numFmtId="0" fontId="0" fillId="14" borderId="0" xfId="0" applyFill="1"/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9" fillId="14" borderId="1" xfId="0" applyFont="1" applyFill="1" applyBorder="1"/>
    <xf numFmtId="0" fontId="4" fillId="14" borderId="0" xfId="0" applyFont="1" applyFill="1"/>
    <xf numFmtId="0" fontId="9" fillId="14" borderId="0" xfId="0" applyFont="1" applyFill="1"/>
    <xf numFmtId="0" fontId="7" fillId="14" borderId="0" xfId="0" applyFont="1" applyFill="1"/>
    <xf numFmtId="0" fontId="2" fillId="15" borderId="1" xfId="0" applyFont="1" applyFill="1" applyBorder="1"/>
    <xf numFmtId="0" fontId="3" fillId="15" borderId="0" xfId="0" applyFont="1" applyFill="1"/>
    <xf numFmtId="0" fontId="2" fillId="15" borderId="0" xfId="0" applyFont="1" applyFill="1"/>
    <xf numFmtId="0" fontId="0" fillId="15" borderId="0" xfId="0" applyFill="1"/>
    <xf numFmtId="0" fontId="9" fillId="15" borderId="1" xfId="0" applyFont="1" applyFill="1" applyBorder="1"/>
    <xf numFmtId="0" fontId="2" fillId="16" borderId="1" xfId="0" applyFont="1" applyFill="1" applyBorder="1"/>
    <xf numFmtId="0" fontId="3" fillId="16" borderId="0" xfId="0" applyFont="1" applyFill="1"/>
    <xf numFmtId="0" fontId="2" fillId="16" borderId="0" xfId="0" applyFont="1" applyFill="1"/>
    <xf numFmtId="0" fontId="0" fillId="16" borderId="0" xfId="0" applyFill="1"/>
    <xf numFmtId="0" fontId="3" fillId="17" borderId="0" xfId="0" applyFont="1" applyFill="1"/>
    <xf numFmtId="0" fontId="0" fillId="17" borderId="0" xfId="0" applyFill="1"/>
    <xf numFmtId="0" fontId="3" fillId="18" borderId="0" xfId="0" applyFont="1" applyFill="1"/>
    <xf numFmtId="0" fontId="0" fillId="18" borderId="0" xfId="0" applyFill="1"/>
    <xf numFmtId="0" fontId="4" fillId="17" borderId="0" xfId="0" applyFont="1" applyFill="1"/>
    <xf numFmtId="0" fontId="7" fillId="17" borderId="0" xfId="0" applyFont="1" applyFill="1"/>
    <xf numFmtId="1" fontId="0" fillId="5" borderId="0" xfId="0" applyNumberFormat="1" applyFill="1"/>
    <xf numFmtId="1" fontId="0" fillId="13" borderId="0" xfId="0" applyNumberFormat="1" applyFill="1"/>
    <xf numFmtId="1" fontId="0" fillId="9" borderId="0" xfId="0" applyNumberFormat="1" applyFill="1"/>
    <xf numFmtId="1" fontId="0" fillId="15" borderId="0" xfId="0" applyNumberFormat="1" applyFill="1"/>
    <xf numFmtId="1" fontId="0" fillId="16" borderId="0" xfId="0" applyNumberFormat="1" applyFill="1"/>
    <xf numFmtId="1" fontId="7" fillId="14" borderId="0" xfId="0" applyNumberFormat="1" applyFont="1" applyFill="1"/>
    <xf numFmtId="1" fontId="0" fillId="14" borderId="0" xfId="0" applyNumberFormat="1" applyFill="1"/>
    <xf numFmtId="2" fontId="8" fillId="8" borderId="0" xfId="0" applyNumberFormat="1" applyFont="1" applyFill="1"/>
    <xf numFmtId="2" fontId="0" fillId="11" borderId="0" xfId="0" applyNumberFormat="1" applyFill="1"/>
    <xf numFmtId="2" fontId="0" fillId="13" borderId="0" xfId="0" applyNumberFormat="1" applyFill="1"/>
    <xf numFmtId="2" fontId="0" fillId="15" borderId="0" xfId="0" applyNumberFormat="1" applyFill="1"/>
    <xf numFmtId="2" fontId="0" fillId="0" borderId="0" xfId="0" applyNumberFormat="1"/>
    <xf numFmtId="1" fontId="0" fillId="7" borderId="0" xfId="0" applyNumberFormat="1" applyFill="1"/>
    <xf numFmtId="1" fontId="7" fillId="12" borderId="0" xfId="0" applyNumberFormat="1" applyFont="1" applyFill="1"/>
    <xf numFmtId="1" fontId="0" fillId="12" borderId="0" xfId="0" applyNumberFormat="1" applyFill="1"/>
    <xf numFmtId="1" fontId="0" fillId="4" borderId="0" xfId="0" applyNumberFormat="1" applyFill="1"/>
    <xf numFmtId="1" fontId="7" fillId="17" borderId="0" xfId="0" applyNumberFormat="1" applyFont="1" applyFill="1"/>
    <xf numFmtId="1" fontId="0" fillId="17" borderId="0" xfId="0" applyNumberFormat="1" applyFill="1"/>
    <xf numFmtId="1" fontId="0" fillId="18" borderId="0" xfId="0" applyNumberFormat="1" applyFill="1"/>
    <xf numFmtId="165" fontId="0" fillId="5" borderId="0" xfId="2" applyNumberFormat="1" applyFont="1" applyFill="1"/>
    <xf numFmtId="44" fontId="0" fillId="18" borderId="0" xfId="0" applyNumberFormat="1" applyFill="1"/>
    <xf numFmtId="166" fontId="0" fillId="18" borderId="0" xfId="0" applyNumberFormat="1" applyFill="1"/>
    <xf numFmtId="0" fontId="5" fillId="8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8" fillId="8" borderId="1" xfId="0" applyFont="1" applyFill="1" applyBorder="1"/>
    <xf numFmtId="0" fontId="0" fillId="11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7" fillId="14" borderId="1" xfId="0" applyFont="1" applyFill="1" applyBorder="1"/>
    <xf numFmtId="0" fontId="0" fillId="14" borderId="1" xfId="0" applyFill="1" applyBorder="1"/>
    <xf numFmtId="0" fontId="0" fillId="7" borderId="1" xfId="0" applyFill="1" applyBorder="1"/>
    <xf numFmtId="0" fontId="7" fillId="12" borderId="1" xfId="0" applyFont="1" applyFill="1" applyBorder="1"/>
    <xf numFmtId="0" fontId="0" fillId="12" borderId="1" xfId="0" applyFill="1" applyBorder="1"/>
    <xf numFmtId="0" fontId="0" fillId="4" borderId="1" xfId="0" applyFill="1" applyBorder="1"/>
    <xf numFmtId="0" fontId="7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1" xfId="0" applyBorder="1"/>
    <xf numFmtId="9" fontId="0" fillId="5" borderId="0" xfId="1" applyFont="1" applyFill="1"/>
    <xf numFmtId="10" fontId="0" fillId="5" borderId="0" xfId="1" applyNumberFormat="1" applyFont="1" applyFill="1"/>
    <xf numFmtId="9" fontId="3" fillId="0" borderId="0" xfId="0" applyNumberFormat="1" applyFont="1"/>
    <xf numFmtId="2" fontId="0" fillId="5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workbookViewId="0">
      <selection activeCell="O15" sqref="O15"/>
    </sheetView>
  </sheetViews>
  <sheetFormatPr defaultColWidth="9.109375" defaultRowHeight="16.2" x14ac:dyDescent="0.4"/>
  <cols>
    <col min="1" max="1" width="15.6640625" style="2" customWidth="1"/>
    <col min="2" max="2" width="34.33203125" style="2" bestFit="1" customWidth="1"/>
    <col min="3" max="3" width="20.6640625" style="2" customWidth="1"/>
    <col min="4" max="4" width="15.6640625" style="2" customWidth="1"/>
    <col min="5" max="6" width="10.6640625" style="2" customWidth="1"/>
    <col min="7" max="7" width="10.6640625" style="25" customWidth="1"/>
    <col min="8" max="10" width="10.6640625" style="22" customWidth="1"/>
    <col min="11" max="11" width="10.6640625" style="25" customWidth="1"/>
    <col min="12" max="15" width="10.6640625" style="22" customWidth="1"/>
    <col min="16" max="16" width="22.44140625" style="22" bestFit="1" customWidth="1"/>
    <col min="17" max="20" width="10.6640625" style="22" customWidth="1"/>
    <col min="21" max="21" width="10.6640625" style="25" customWidth="1"/>
    <col min="22" max="23" width="10.6640625" style="22" customWidth="1"/>
    <col min="24" max="24" width="10.6640625" style="25" customWidth="1"/>
    <col min="25" max="44" width="10.6640625" style="22" customWidth="1"/>
    <col min="45" max="50" width="10.6640625" style="2" customWidth="1"/>
    <col min="51" max="16384" width="9.109375" style="2"/>
  </cols>
  <sheetData>
    <row r="1" spans="1:44" s="16" customFormat="1" ht="20.100000000000001" customHeight="1" x14ac:dyDescent="0.45">
      <c r="A1" s="106" t="s">
        <v>25</v>
      </c>
      <c r="B1" s="106" t="s">
        <v>26</v>
      </c>
      <c r="C1" s="107" t="s">
        <v>29</v>
      </c>
      <c r="D1" s="107"/>
      <c r="E1" s="107"/>
      <c r="F1" s="107"/>
      <c r="G1" s="105" t="s">
        <v>32</v>
      </c>
      <c r="H1" s="106"/>
      <c r="I1" s="106"/>
      <c r="J1" s="106"/>
      <c r="K1" s="105" t="s">
        <v>36</v>
      </c>
      <c r="L1" s="106"/>
      <c r="M1" s="106"/>
      <c r="N1" s="106"/>
      <c r="O1" s="106"/>
      <c r="P1" s="106"/>
      <c r="Q1" s="106"/>
      <c r="R1" s="106"/>
      <c r="S1" s="106"/>
      <c r="T1" s="106"/>
      <c r="U1" s="105" t="s">
        <v>41</v>
      </c>
      <c r="V1" s="106"/>
      <c r="W1" s="106"/>
      <c r="X1" s="23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44" s="16" customFormat="1" ht="20.100000000000001" customHeight="1" x14ac:dyDescent="0.45">
      <c r="A2" s="106"/>
      <c r="B2" s="106"/>
      <c r="C2" s="16" t="s">
        <v>44</v>
      </c>
      <c r="D2" s="20" t="s">
        <v>43</v>
      </c>
      <c r="E2" s="19" t="s">
        <v>27</v>
      </c>
      <c r="F2" s="19" t="s">
        <v>28</v>
      </c>
      <c r="G2" s="20" t="s">
        <v>45</v>
      </c>
      <c r="H2" s="16" t="s">
        <v>30</v>
      </c>
      <c r="I2" s="20" t="s">
        <v>46</v>
      </c>
      <c r="J2" s="20" t="s">
        <v>31</v>
      </c>
      <c r="K2" s="23" t="s">
        <v>33</v>
      </c>
      <c r="L2" s="20" t="s">
        <v>34</v>
      </c>
      <c r="M2" s="20" t="s">
        <v>60</v>
      </c>
      <c r="N2" s="20" t="s">
        <v>61</v>
      </c>
      <c r="O2" s="20" t="s">
        <v>62</v>
      </c>
      <c r="P2" s="20" t="s">
        <v>59</v>
      </c>
      <c r="Q2" s="20" t="s">
        <v>22</v>
      </c>
      <c r="R2" s="20" t="s">
        <v>35</v>
      </c>
      <c r="S2" s="20" t="s">
        <v>37</v>
      </c>
      <c r="T2" s="20" t="s">
        <v>38</v>
      </c>
      <c r="U2" s="20" t="s">
        <v>39</v>
      </c>
      <c r="V2" s="20" t="s">
        <v>47</v>
      </c>
      <c r="W2" s="20" t="s">
        <v>40</v>
      </c>
      <c r="X2" s="23" t="s">
        <v>48</v>
      </c>
      <c r="Y2" s="20" t="s">
        <v>49</v>
      </c>
      <c r="Z2" s="20" t="s">
        <v>58</v>
      </c>
      <c r="AA2" s="20" t="s">
        <v>66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</row>
    <row r="3" spans="1:44" s="18" customFormat="1" ht="16.8" x14ac:dyDescent="0.45">
      <c r="A3" s="17" t="s">
        <v>23</v>
      </c>
      <c r="G3" s="24"/>
      <c r="H3" s="21"/>
      <c r="I3" s="21"/>
      <c r="J3" s="21"/>
      <c r="K3" s="24"/>
      <c r="L3" s="21"/>
      <c r="M3" s="21"/>
      <c r="N3" s="21"/>
      <c r="O3" s="21"/>
      <c r="P3" s="21"/>
      <c r="Q3" s="21"/>
      <c r="R3" s="21"/>
      <c r="S3" s="21"/>
      <c r="T3" s="21"/>
      <c r="U3" s="24"/>
      <c r="V3" s="21"/>
      <c r="W3" s="21"/>
      <c r="X3" s="24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s="18" customFormat="1" x14ac:dyDescent="0.4">
      <c r="A4" s="18" t="s">
        <v>2</v>
      </c>
      <c r="B4" s="18" t="s">
        <v>24</v>
      </c>
      <c r="C4" s="18" t="s">
        <v>42</v>
      </c>
      <c r="G4" s="24"/>
      <c r="H4" s="21"/>
      <c r="I4" s="21"/>
      <c r="J4" s="21"/>
      <c r="K4" s="24"/>
      <c r="L4" s="21"/>
      <c r="M4" s="21"/>
      <c r="N4" s="21"/>
      <c r="O4" s="21"/>
      <c r="P4" s="21"/>
      <c r="Q4" s="21"/>
      <c r="R4" s="21"/>
      <c r="S4" s="21"/>
      <c r="T4" s="21"/>
      <c r="U4" s="24"/>
      <c r="V4" s="21"/>
      <c r="W4" s="21"/>
      <c r="X4" s="24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spans="1:44" s="9" customFormat="1" x14ac:dyDescent="0.4">
      <c r="A5" s="9" t="s">
        <v>2</v>
      </c>
      <c r="B5" s="9" t="s">
        <v>64</v>
      </c>
      <c r="C5" s="9">
        <v>7.74</v>
      </c>
      <c r="D5" s="34">
        <v>0.28749999999999998</v>
      </c>
      <c r="E5" s="34">
        <v>7.1800000000000003E-2</v>
      </c>
      <c r="F5" s="34">
        <v>0.1605</v>
      </c>
      <c r="G5" s="29">
        <v>13.55</v>
      </c>
      <c r="H5" s="28">
        <f>G5/C5-1</f>
        <v>0.75064599483204142</v>
      </c>
      <c r="I5" s="30">
        <v>21.19</v>
      </c>
      <c r="J5" s="31">
        <f>I5/G5-1</f>
        <v>0.56383763837638368</v>
      </c>
      <c r="K5" s="33">
        <v>0.28470000000000001</v>
      </c>
      <c r="L5" s="32">
        <v>0.57999999999999996</v>
      </c>
      <c r="M5" s="32">
        <f>3^(1/10)-1</f>
        <v>0.11612317403390437</v>
      </c>
      <c r="N5" s="32">
        <v>0.5</v>
      </c>
      <c r="O5" s="32">
        <f>M5*N5</f>
        <v>5.8061587016952187E-2</v>
      </c>
      <c r="P5" s="32" t="s">
        <v>63</v>
      </c>
      <c r="Q5" s="32">
        <f>INDEX(Growth_assumption!$D:$D,MATCH(Summary!$A5,Growth_assumption!$B:$B,0))</f>
        <v>5.6300256489387523E-2</v>
      </c>
      <c r="R5" s="32">
        <f>(Q5+1)*(1+O5)-1</f>
        <v>0.11763072574757505</v>
      </c>
      <c r="S5" s="31">
        <f>INDEX(Growth_assumption!$C:$C,MATCH(Summary!$A5,Growth_assumption!$B:$B,0))</f>
        <v>2.6017966855958141E-2</v>
      </c>
      <c r="T5" s="31">
        <f>INDEX(Growth_assumption!$E:$E,MATCH(Summary!$A5,Growth_assumption!$B:$B,0))</f>
        <v>0.16038416137591205</v>
      </c>
      <c r="U5" s="26"/>
      <c r="V5" s="28">
        <f>(F5+0.2)/3</f>
        <v>0.12016666666666669</v>
      </c>
      <c r="W5" s="27"/>
      <c r="X5" s="35">
        <f>(V5-SUM(Overall_assumption!$B$2:$B$3))/(Overall_assumption!$B$6-SUM(Overall_assumption!$B$2:$B$3))*10</f>
        <v>14.033333333333335</v>
      </c>
      <c r="Y5" s="36">
        <f>X5*(1+R5)^10/(1+Overall_assumption!$B$6)^12*I5/C5</f>
        <v>37.22390606501785</v>
      </c>
      <c r="Z5" s="36">
        <f>Y5*C5</f>
        <v>288.11303294323818</v>
      </c>
      <c r="AA5" s="36">
        <f>Z5*0.8</f>
        <v>230.49042635459057</v>
      </c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</row>
    <row r="6" spans="1:44" s="9" customFormat="1" x14ac:dyDescent="0.4">
      <c r="A6" s="9" t="s">
        <v>2</v>
      </c>
      <c r="B6" s="9" t="s">
        <v>69</v>
      </c>
      <c r="C6" s="9">
        <v>4.41</v>
      </c>
      <c r="D6" s="34">
        <v>0.151</v>
      </c>
      <c r="E6" s="34">
        <v>0.05</v>
      </c>
      <c r="F6" s="34">
        <v>0.29160000000000003</v>
      </c>
      <c r="G6" s="29">
        <v>2.84</v>
      </c>
      <c r="H6" s="28">
        <f>G6/C6-1</f>
        <v>-0.35600907029478468</v>
      </c>
      <c r="I6" s="30">
        <v>4.95</v>
      </c>
      <c r="J6" s="31">
        <f>I6/G6-1</f>
        <v>0.74295774647887347</v>
      </c>
      <c r="K6" s="33">
        <v>0.44800000000000001</v>
      </c>
      <c r="L6" s="32">
        <v>0.1525</v>
      </c>
      <c r="M6" s="32">
        <f>1.2^(1/10)-1</f>
        <v>1.8399376147024249E-2</v>
      </c>
      <c r="N6" s="32">
        <v>0.5</v>
      </c>
      <c r="O6" s="32">
        <f t="shared" ref="O6:O7" si="0">M6*N6</f>
        <v>9.1996880735121245E-3</v>
      </c>
      <c r="P6" s="32"/>
      <c r="Q6" s="32">
        <f>INDEX(Growth_assumption!$D:$D,MATCH(Summary!$A6,Growth_assumption!$B:$B,0))</f>
        <v>5.6300256489387523E-2</v>
      </c>
      <c r="R6" s="32">
        <f>(Q6+1)*(1+O6)-1</f>
        <v>6.6017889361060789E-2</v>
      </c>
      <c r="S6" s="31">
        <f>INDEX(Growth_assumption!$C:$C,MATCH(Summary!$A6,Growth_assumption!$B:$B,0))</f>
        <v>2.6017966855958141E-2</v>
      </c>
      <c r="T6" s="31">
        <f>INDEX(Growth_assumption!$E:$E,MATCH(Summary!$A6,Growth_assumption!$B:$B,0))</f>
        <v>0.16038416137591205</v>
      </c>
      <c r="U6" s="26"/>
      <c r="V6" s="28">
        <f>(F6+0.2)/3</f>
        <v>0.16386666666666669</v>
      </c>
      <c r="W6" s="27"/>
      <c r="X6" s="35">
        <f>(V6-SUM(Overall_assumption!$B$2:$B$3))/(Overall_assumption!$B$6-SUM(Overall_assumption!$B$2:$B$3))*10</f>
        <v>22.773333333333333</v>
      </c>
      <c r="Y6" s="36">
        <f>X6*(1+R6)^10/(1+Overall_assumption!$B$6)^12*I6/C6</f>
        <v>15.435685421865454</v>
      </c>
      <c r="Z6" s="36">
        <f>Y6*C6</f>
        <v>68.071372710426658</v>
      </c>
      <c r="AA6" s="36">
        <f>Z6*0.8</f>
        <v>54.457098168341332</v>
      </c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</row>
    <row r="7" spans="1:44" s="9" customFormat="1" x14ac:dyDescent="0.4">
      <c r="A7" s="9" t="s">
        <v>2</v>
      </c>
      <c r="B7" s="9" t="s">
        <v>68</v>
      </c>
      <c r="C7" s="9">
        <v>4.12</v>
      </c>
      <c r="D7" s="34"/>
      <c r="E7" s="39">
        <v>0.02</v>
      </c>
      <c r="F7" s="39">
        <v>0.1</v>
      </c>
      <c r="G7" s="29">
        <v>-4.13</v>
      </c>
      <c r="H7" s="28">
        <f>G7/C7-1</f>
        <v>-2.0024271844660193</v>
      </c>
      <c r="I7" s="30">
        <v>3.01</v>
      </c>
      <c r="J7" s="31">
        <f>I7/G7-1</f>
        <v>-1.7288135593220337</v>
      </c>
      <c r="K7" s="33">
        <v>0.21890000000000001</v>
      </c>
      <c r="L7" s="32">
        <v>2.8199999999999999E-2</v>
      </c>
      <c r="M7" s="32">
        <f>1.2^(1/10)-1</f>
        <v>1.8399376147024249E-2</v>
      </c>
      <c r="N7" s="32">
        <v>0.5</v>
      </c>
      <c r="O7" s="32">
        <f t="shared" si="0"/>
        <v>9.1996880735121245E-3</v>
      </c>
      <c r="P7" s="32"/>
      <c r="Q7" s="32">
        <f>INDEX(Growth_assumption!$D:$D,MATCH(Summary!$A7,Growth_assumption!$B:$B,0))</f>
        <v>5.6300256489387523E-2</v>
      </c>
      <c r="R7" s="32">
        <f>(Q7+1)*(1+O7)-1</f>
        <v>6.6017889361060789E-2</v>
      </c>
      <c r="S7" s="31">
        <f>INDEX(Growth_assumption!$C:$C,MATCH(Summary!$A7,Growth_assumption!$B:$B,0))</f>
        <v>2.6017966855958141E-2</v>
      </c>
      <c r="T7" s="31">
        <f>INDEX(Growth_assumption!$E:$E,MATCH(Summary!$A7,Growth_assumption!$B:$B,0))</f>
        <v>0.16038416137591205</v>
      </c>
      <c r="U7" s="26"/>
      <c r="V7" s="28">
        <f>(F7+0.2)/3</f>
        <v>0.10000000000000002</v>
      </c>
      <c r="W7" s="27"/>
      <c r="X7" s="35">
        <f>(V7-SUM(Overall_assumption!$B$2:$B$3))/(Overall_assumption!$B$6-SUM(Overall_assumption!$B$2:$B$3))*10</f>
        <v>10.000000000000002</v>
      </c>
      <c r="Y7" s="36">
        <f>X7*(1+R7)^10/(1+Overall_assumption!$B$6)^12*I7/C7</f>
        <v>4.4116595083238472</v>
      </c>
      <c r="Z7" s="36">
        <f>Y7*C7</f>
        <v>18.176037174294251</v>
      </c>
      <c r="AA7" s="36">
        <f>Z7*0.8</f>
        <v>14.540829739435402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</row>
    <row r="8" spans="1:44" s="9" customFormat="1" x14ac:dyDescent="0.4">
      <c r="A8" s="9" t="s">
        <v>2</v>
      </c>
      <c r="B8" s="9" t="s">
        <v>65</v>
      </c>
      <c r="C8" s="9">
        <v>10.15</v>
      </c>
      <c r="D8" s="34">
        <v>2.6700000000000002E-2</v>
      </c>
      <c r="E8" s="34">
        <v>2.58E-2</v>
      </c>
      <c r="F8" s="34">
        <v>0.1893</v>
      </c>
      <c r="G8" s="26">
        <v>3.35</v>
      </c>
      <c r="H8" s="28">
        <f>G8/C8-1</f>
        <v>-0.66995073891625623</v>
      </c>
      <c r="I8" s="27">
        <v>6.15</v>
      </c>
      <c r="J8" s="31">
        <f>I8/G8-1</f>
        <v>0.83582089552238803</v>
      </c>
      <c r="K8" s="33">
        <v>0.2772</v>
      </c>
      <c r="L8" s="32">
        <v>0.36709999999999998</v>
      </c>
      <c r="M8" s="32">
        <f>(40/80)^(1/10)-1</f>
        <v>-6.696700846319259E-2</v>
      </c>
      <c r="N8" s="32">
        <f>N5</f>
        <v>0.5</v>
      </c>
      <c r="O8" s="32">
        <f>M8*N8</f>
        <v>-3.3483504231596295E-2</v>
      </c>
      <c r="P8" s="32" t="s">
        <v>63</v>
      </c>
      <c r="Q8" s="32">
        <f>INDEX(Growth_assumption!$D:$D,MATCH(Summary!$A8,Growth_assumption!$B:$B,0))</f>
        <v>5.6300256489387523E-2</v>
      </c>
      <c r="R8" s="32">
        <f>(Q8+1)*(1+O8)-1</f>
        <v>2.0931622381388904E-2</v>
      </c>
      <c r="S8" s="31">
        <f>INDEX(Growth_assumption!$C:$C,MATCH(Summary!$A8,Growth_assumption!$B:$B,0))</f>
        <v>2.6017966855958141E-2</v>
      </c>
      <c r="T8" s="31">
        <f>INDEX(Growth_assumption!$E:$E,MATCH(Summary!$A8,Growth_assumption!$B:$B,0))</f>
        <v>0.16038416137591205</v>
      </c>
      <c r="U8" s="26"/>
      <c r="V8" s="28">
        <f>(F8+0.2)/3</f>
        <v>0.12976666666666667</v>
      </c>
      <c r="W8" s="27"/>
      <c r="X8" s="35">
        <f>(V8-SUM(Overall_assumption!$B$2:$B$3))/(Overall_assumption!$B$6-SUM(Overall_assumption!$B$2:$B$3))*10</f>
        <v>15.953333333333333</v>
      </c>
      <c r="Y8" s="36">
        <f>X8*(1+R8)^10/(1+Overall_assumption!$B$6)^12*I8/C8</f>
        <v>3.7889148910118848</v>
      </c>
      <c r="Z8" s="36">
        <f>Y8*C8</f>
        <v>38.45748614377063</v>
      </c>
      <c r="AA8" s="36">
        <f>Z8*0.8</f>
        <v>30.765988915016507</v>
      </c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</row>
    <row r="9" spans="1:44" s="9" customFormat="1" x14ac:dyDescent="0.4">
      <c r="A9" s="9" t="s">
        <v>2</v>
      </c>
      <c r="B9" s="9" t="s">
        <v>67</v>
      </c>
      <c r="C9" s="9">
        <v>3.87</v>
      </c>
      <c r="D9" s="34">
        <v>2.8000000000000001E-2</v>
      </c>
      <c r="E9" s="34">
        <v>2.1100000000000001E-2</v>
      </c>
      <c r="F9" s="34">
        <v>9.5699999999999993E-2</v>
      </c>
      <c r="G9" s="26">
        <v>2.85</v>
      </c>
      <c r="H9" s="28">
        <f>G9/C9-1</f>
        <v>-0.26356589147286824</v>
      </c>
      <c r="I9" s="27">
        <v>4.75</v>
      </c>
      <c r="J9" s="31">
        <f>I9/G9-1</f>
        <v>0.66666666666666652</v>
      </c>
      <c r="K9" s="33">
        <v>-0.09</v>
      </c>
      <c r="L9" s="32">
        <v>0.25</v>
      </c>
      <c r="M9" s="32">
        <f>(40/80)^(1/10)-1</f>
        <v>-6.696700846319259E-2</v>
      </c>
      <c r="N9" s="32">
        <f>N8</f>
        <v>0.5</v>
      </c>
      <c r="O9" s="32">
        <f>M9*N9</f>
        <v>-3.3483504231596295E-2</v>
      </c>
      <c r="P9" s="32" t="s">
        <v>63</v>
      </c>
      <c r="Q9" s="32">
        <f>INDEX(Growth_assumption!$D:$D,MATCH(Summary!$A9,Growth_assumption!$B:$B,0))</f>
        <v>5.6300256489387523E-2</v>
      </c>
      <c r="R9" s="32">
        <f>(Q9+1)*(1+O9)-1</f>
        <v>2.0931622381388904E-2</v>
      </c>
      <c r="S9" s="31">
        <f>INDEX(Growth_assumption!$C:$C,MATCH(Summary!$A9,Growth_assumption!$B:$B,0))</f>
        <v>2.6017966855958141E-2</v>
      </c>
      <c r="T9" s="31">
        <f>INDEX(Growth_assumption!$E:$E,MATCH(Summary!$A9,Growth_assumption!$B:$B,0))</f>
        <v>0.16038416137591205</v>
      </c>
      <c r="U9" s="26"/>
      <c r="V9" s="28">
        <f>(F9+0.2)/3</f>
        <v>9.8566666666666677E-2</v>
      </c>
      <c r="W9" s="27"/>
      <c r="X9" s="35">
        <f>(V9-SUM(Overall_assumption!$B$2:$B$3))/(Overall_assumption!$B$6-SUM(Overall_assumption!$B$2:$B$3))*10</f>
        <v>9.7133333333333347</v>
      </c>
      <c r="Y9" s="36">
        <f>X9*(1+R9)^10/(1+Overall_assumption!$B$6)^12*I9/C9</f>
        <v>4.673102147769594</v>
      </c>
      <c r="Z9" s="36">
        <f>Y9*C9</f>
        <v>18.084905311868329</v>
      </c>
      <c r="AA9" s="36">
        <f>Z9*0.8</f>
        <v>14.467924249494665</v>
      </c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</row>
  </sheetData>
  <mergeCells count="6">
    <mergeCell ref="U1:W1"/>
    <mergeCell ref="C1:F1"/>
    <mergeCell ref="A1:A2"/>
    <mergeCell ref="B1:B2"/>
    <mergeCell ref="G1:J1"/>
    <mergeCell ref="K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A715-F408-407F-81B5-BCE4D4124EF8}">
  <dimension ref="A1:AG36"/>
  <sheetViews>
    <sheetView tabSelected="1" topLeftCell="E1" zoomScale="80" zoomScaleNormal="80" workbookViewId="0">
      <selection activeCell="V24" sqref="V24"/>
    </sheetView>
  </sheetViews>
  <sheetFormatPr defaultRowHeight="16.2" x14ac:dyDescent="0.4"/>
  <cols>
    <col min="1" max="1" width="16.88671875" style="2" bestFit="1" customWidth="1"/>
    <col min="2" max="2" width="34.33203125" style="2" bestFit="1" customWidth="1"/>
    <col min="3" max="4" width="13.33203125" style="2" customWidth="1"/>
    <col min="5" max="5" width="9.44140625" style="2" customWidth="1"/>
    <col min="12" max="12" width="9.109375" style="94"/>
    <col min="22" max="22" width="8.88671875" style="124"/>
    <col min="32" max="32" width="11.5546875" customWidth="1"/>
  </cols>
  <sheetData>
    <row r="1" spans="1:33" s="40" customFormat="1" ht="16.8" x14ac:dyDescent="0.3">
      <c r="A1" s="106" t="s">
        <v>25</v>
      </c>
      <c r="B1" s="106" t="s">
        <v>26</v>
      </c>
      <c r="C1" s="20"/>
      <c r="D1" s="20"/>
      <c r="L1" s="90"/>
      <c r="V1" s="108">
        <v>2023</v>
      </c>
    </row>
    <row r="2" spans="1:33" s="40" customFormat="1" ht="16.8" x14ac:dyDescent="0.3">
      <c r="A2" s="106"/>
      <c r="B2" s="106"/>
      <c r="C2" s="20" t="s">
        <v>76</v>
      </c>
      <c r="D2" s="20" t="s">
        <v>117</v>
      </c>
      <c r="E2" s="40" t="s">
        <v>70</v>
      </c>
      <c r="F2" s="40" t="s">
        <v>77</v>
      </c>
      <c r="G2" s="40" t="s">
        <v>78</v>
      </c>
      <c r="H2" s="40" t="s">
        <v>79</v>
      </c>
      <c r="I2" s="40" t="s">
        <v>80</v>
      </c>
      <c r="J2" s="40" t="s">
        <v>81</v>
      </c>
      <c r="K2" s="40" t="s">
        <v>82</v>
      </c>
      <c r="L2" s="90" t="s">
        <v>83</v>
      </c>
      <c r="M2" s="40" t="s">
        <v>84</v>
      </c>
      <c r="N2" s="40" t="s">
        <v>116</v>
      </c>
      <c r="O2" s="40" t="s">
        <v>113</v>
      </c>
      <c r="P2" s="40" t="s">
        <v>118</v>
      </c>
      <c r="R2" s="40" t="s">
        <v>119</v>
      </c>
      <c r="S2" s="40" t="s">
        <v>120</v>
      </c>
      <c r="V2" s="108" t="s">
        <v>121</v>
      </c>
      <c r="W2" s="40" t="s">
        <v>122</v>
      </c>
      <c r="X2" s="40" t="s">
        <v>126</v>
      </c>
      <c r="Y2" s="40" t="s">
        <v>123</v>
      </c>
      <c r="Z2" s="40" t="s">
        <v>124</v>
      </c>
      <c r="AA2" s="40" t="s">
        <v>127</v>
      </c>
      <c r="AB2" s="40" t="s">
        <v>125</v>
      </c>
      <c r="AD2" s="40" t="s">
        <v>27</v>
      </c>
      <c r="AE2" s="40" t="s">
        <v>128</v>
      </c>
      <c r="AF2" s="40" t="s">
        <v>129</v>
      </c>
    </row>
    <row r="3" spans="1:33" s="43" customFormat="1" ht="16.8" x14ac:dyDescent="0.45">
      <c r="A3" s="41" t="s">
        <v>23</v>
      </c>
      <c r="B3" s="42"/>
      <c r="C3" s="42"/>
      <c r="D3" s="42"/>
      <c r="E3" s="42"/>
      <c r="L3" s="91"/>
      <c r="V3" s="109"/>
    </row>
    <row r="4" spans="1:33" s="43" customFormat="1" x14ac:dyDescent="0.4">
      <c r="A4" s="42" t="s">
        <v>2</v>
      </c>
      <c r="B4" s="42" t="s">
        <v>26</v>
      </c>
      <c r="C4" s="42"/>
      <c r="D4" s="42"/>
      <c r="E4" s="42" t="s">
        <v>42</v>
      </c>
      <c r="L4" s="91"/>
      <c r="V4" s="109"/>
    </row>
    <row r="5" spans="1:33" s="44" customFormat="1" x14ac:dyDescent="0.4">
      <c r="A5" s="9" t="s">
        <v>2</v>
      </c>
      <c r="B5" s="9" t="s">
        <v>2</v>
      </c>
      <c r="C5" s="9" t="s">
        <v>71</v>
      </c>
      <c r="D5" s="9">
        <v>292</v>
      </c>
      <c r="E5" s="9">
        <v>7.74</v>
      </c>
      <c r="F5" s="44">
        <v>13.18</v>
      </c>
      <c r="G5" s="44">
        <v>13.55</v>
      </c>
      <c r="H5" s="44">
        <v>14</v>
      </c>
      <c r="I5" s="44">
        <v>15.03</v>
      </c>
      <c r="J5" s="44">
        <v>21.19</v>
      </c>
      <c r="K5" s="44">
        <v>23.63</v>
      </c>
      <c r="L5" s="83">
        <f>Summary!R5*100</f>
        <v>11.763072574757505</v>
      </c>
      <c r="M5" s="44">
        <v>100</v>
      </c>
      <c r="N5" s="44">
        <v>150</v>
      </c>
      <c r="O5" s="83">
        <v>0</v>
      </c>
      <c r="Q5" s="44">
        <v>7</v>
      </c>
      <c r="R5" s="44">
        <v>16</v>
      </c>
      <c r="S5" s="102">
        <f>J5*(1+L5/100)^10/(1.1)^10*10</f>
        <v>248.42050108882529</v>
      </c>
      <c r="V5" s="110">
        <v>831</v>
      </c>
      <c r="W5" s="44">
        <v>886</v>
      </c>
      <c r="X5" s="44">
        <v>3319</v>
      </c>
      <c r="Y5" s="44">
        <v>10365</v>
      </c>
      <c r="Z5" s="44">
        <v>6688</v>
      </c>
      <c r="AA5" s="44">
        <v>3678</v>
      </c>
      <c r="AB5" s="44">
        <v>107</v>
      </c>
      <c r="AD5" s="125">
        <f>V5/Y5</f>
        <v>8.0173661360347329E-2</v>
      </c>
      <c r="AE5" s="125">
        <f>W5/Y5</f>
        <v>8.5479980704293301E-2</v>
      </c>
      <c r="AF5" s="126">
        <f>(J5-I5)/Y5*AB5</f>
        <v>6.3590931017848545E-2</v>
      </c>
      <c r="AG5" s="128">
        <f>(AE5-$B$36)/AF5</f>
        <v>0.55794089088481602</v>
      </c>
    </row>
    <row r="6" spans="1:33" s="44" customFormat="1" x14ac:dyDescent="0.4">
      <c r="A6" s="9" t="s">
        <v>2</v>
      </c>
      <c r="B6" s="9" t="s">
        <v>93</v>
      </c>
      <c r="C6" s="9" t="s">
        <v>72</v>
      </c>
      <c r="D6" s="9">
        <v>130</v>
      </c>
      <c r="E6" s="9">
        <v>4.41</v>
      </c>
      <c r="F6" s="44">
        <v>1.96</v>
      </c>
      <c r="G6" s="44">
        <v>2.83</v>
      </c>
      <c r="H6" s="44">
        <v>3.42</v>
      </c>
      <c r="I6" s="44">
        <v>1.98</v>
      </c>
      <c r="J6" s="44">
        <v>4.96</v>
      </c>
      <c r="K6" s="44">
        <v>6.52</v>
      </c>
      <c r="L6" s="83">
        <f>Summary!R6*100</f>
        <v>6.6017889361060789</v>
      </c>
      <c r="M6" s="44">
        <v>100</v>
      </c>
      <c r="N6" s="44">
        <v>150</v>
      </c>
      <c r="O6" s="83">
        <v>0</v>
      </c>
      <c r="Q6" s="44">
        <v>5</v>
      </c>
      <c r="R6" s="44">
        <v>29</v>
      </c>
      <c r="S6" s="102">
        <f t="shared" ref="S6:S33" si="0">J6*(1+L6/100)^10/(1.1)^10*10</f>
        <v>36.240965018353613</v>
      </c>
      <c r="V6" s="110"/>
      <c r="AD6" s="125"/>
      <c r="AE6" s="125"/>
    </row>
    <row r="7" spans="1:33" s="44" customFormat="1" x14ac:dyDescent="0.4">
      <c r="A7" s="9" t="s">
        <v>2</v>
      </c>
      <c r="B7" s="9" t="s">
        <v>94</v>
      </c>
      <c r="C7" s="9" t="s">
        <v>73</v>
      </c>
      <c r="D7" s="9">
        <v>43</v>
      </c>
      <c r="E7" s="9">
        <v>4.12</v>
      </c>
      <c r="F7" s="44">
        <v>-6.38</v>
      </c>
      <c r="G7" s="44">
        <v>-4.13</v>
      </c>
      <c r="H7" s="44">
        <v>-0.1</v>
      </c>
      <c r="I7" s="44">
        <v>-2.4500000000000002</v>
      </c>
      <c r="J7" s="44">
        <v>3.01</v>
      </c>
      <c r="K7" s="44">
        <v>7.17</v>
      </c>
      <c r="L7" s="83">
        <f>Summary!R7*100</f>
        <v>6.6017889361060789</v>
      </c>
      <c r="M7" s="44">
        <v>100</v>
      </c>
      <c r="N7" s="44">
        <v>150</v>
      </c>
      <c r="O7" s="83">
        <v>0</v>
      </c>
      <c r="Q7" s="44">
        <v>0</v>
      </c>
      <c r="R7" s="44">
        <v>5</v>
      </c>
      <c r="S7" s="102">
        <f t="shared" si="0"/>
        <v>21.993004980896043</v>
      </c>
      <c r="V7" s="110"/>
    </row>
    <row r="8" spans="1:33" s="44" customFormat="1" x14ac:dyDescent="0.4">
      <c r="A8" s="9" t="s">
        <v>2</v>
      </c>
      <c r="B8" s="9" t="s">
        <v>2</v>
      </c>
      <c r="C8" s="9" t="s">
        <v>74</v>
      </c>
      <c r="D8" s="9">
        <v>25</v>
      </c>
      <c r="E8" s="9">
        <v>10.15</v>
      </c>
      <c r="F8" s="44">
        <v>1.65</v>
      </c>
      <c r="G8" s="44">
        <v>3.35</v>
      </c>
      <c r="H8" s="44">
        <v>5.44</v>
      </c>
      <c r="I8" s="44">
        <v>2.2000000000000002</v>
      </c>
      <c r="J8" s="44">
        <v>6.15</v>
      </c>
      <c r="K8" s="44">
        <v>10.47</v>
      </c>
      <c r="L8" s="83">
        <f>Summary!R8*100</f>
        <v>2.0931622381388904</v>
      </c>
      <c r="M8" s="44">
        <v>100</v>
      </c>
      <c r="N8" s="44">
        <v>150</v>
      </c>
      <c r="O8" s="83">
        <v>5</v>
      </c>
      <c r="Q8" s="44">
        <v>2</v>
      </c>
      <c r="R8" s="44">
        <v>19</v>
      </c>
      <c r="S8" s="102">
        <f t="shared" si="0"/>
        <v>29.168548830314961</v>
      </c>
      <c r="V8" s="110"/>
    </row>
    <row r="9" spans="1:33" s="44" customFormat="1" x14ac:dyDescent="0.4">
      <c r="A9" s="9" t="s">
        <v>2</v>
      </c>
      <c r="B9" s="9" t="s">
        <v>2</v>
      </c>
      <c r="C9" s="9" t="s">
        <v>75</v>
      </c>
      <c r="D9" s="9">
        <v>18</v>
      </c>
      <c r="E9" s="9">
        <v>3.87</v>
      </c>
      <c r="F9" s="44">
        <v>1.47</v>
      </c>
      <c r="G9" s="44">
        <v>2.85</v>
      </c>
      <c r="H9" s="44">
        <v>4.66</v>
      </c>
      <c r="I9" s="44">
        <v>1.71</v>
      </c>
      <c r="J9" s="44">
        <v>4.75</v>
      </c>
      <c r="K9" s="44">
        <v>7.08</v>
      </c>
      <c r="L9" s="83">
        <f>Summary!R9*100</f>
        <v>2.0931622381388904</v>
      </c>
      <c r="M9" s="44">
        <v>100</v>
      </c>
      <c r="N9" s="44">
        <v>150</v>
      </c>
      <c r="O9" s="83">
        <v>0</v>
      </c>
      <c r="Q9" s="44">
        <v>2</v>
      </c>
      <c r="R9" s="44">
        <v>10</v>
      </c>
      <c r="S9" s="102">
        <f t="shared" si="0"/>
        <v>22.528553974633503</v>
      </c>
      <c r="V9" s="110"/>
    </row>
    <row r="10" spans="1:33" s="51" customFormat="1" ht="16.8" x14ac:dyDescent="0.45">
      <c r="A10" s="56" t="s">
        <v>7</v>
      </c>
      <c r="B10" s="50"/>
      <c r="C10" s="50"/>
      <c r="D10" s="50"/>
      <c r="E10" s="50"/>
      <c r="L10" s="92"/>
      <c r="O10" s="84"/>
      <c r="S10" s="102">
        <f t="shared" si="0"/>
        <v>0</v>
      </c>
      <c r="V10" s="111"/>
    </row>
    <row r="11" spans="1:33" s="51" customFormat="1" x14ac:dyDescent="0.4">
      <c r="A11" s="50" t="s">
        <v>7</v>
      </c>
      <c r="B11" s="50" t="s">
        <v>26</v>
      </c>
      <c r="C11" s="50"/>
      <c r="D11" s="50"/>
      <c r="E11" s="50"/>
      <c r="L11" s="92"/>
      <c r="O11" s="84"/>
      <c r="S11" s="102">
        <f t="shared" si="0"/>
        <v>0</v>
      </c>
      <c r="V11" s="111"/>
    </row>
    <row r="12" spans="1:33" s="53" customFormat="1" ht="16.8" x14ac:dyDescent="0.4">
      <c r="A12" s="55" t="s">
        <v>7</v>
      </c>
      <c r="B12" s="52" t="s">
        <v>91</v>
      </c>
      <c r="C12" s="54" t="s">
        <v>89</v>
      </c>
      <c r="D12" s="54">
        <v>93</v>
      </c>
      <c r="E12" s="52">
        <v>4.92</v>
      </c>
      <c r="F12" s="53">
        <v>2.38</v>
      </c>
      <c r="G12" s="53">
        <v>2.62</v>
      </c>
      <c r="H12" s="53">
        <v>2.98</v>
      </c>
      <c r="I12" s="53">
        <v>2.63</v>
      </c>
      <c r="J12" s="53">
        <v>4.1399999999999997</v>
      </c>
      <c r="K12" s="53">
        <v>5.17</v>
      </c>
      <c r="L12" s="85">
        <v>13</v>
      </c>
      <c r="M12" s="53">
        <v>50</v>
      </c>
      <c r="O12" s="85">
        <v>2</v>
      </c>
      <c r="Q12" s="53">
        <v>10</v>
      </c>
      <c r="R12" s="53">
        <v>29</v>
      </c>
      <c r="S12" s="102">
        <f t="shared" si="0"/>
        <v>54.182360856814419</v>
      </c>
      <c r="V12" s="112"/>
    </row>
    <row r="13" spans="1:33" s="53" customFormat="1" ht="16.8" x14ac:dyDescent="0.4">
      <c r="A13" s="55" t="s">
        <v>7</v>
      </c>
      <c r="B13" s="52" t="s">
        <v>101</v>
      </c>
      <c r="C13" s="54" t="s">
        <v>98</v>
      </c>
      <c r="D13" s="54">
        <v>540</v>
      </c>
      <c r="E13" s="52">
        <v>17.96</v>
      </c>
      <c r="F13" s="53">
        <v>19.399999999999999</v>
      </c>
      <c r="G13" s="53">
        <v>19.93</v>
      </c>
      <c r="H13" s="53">
        <v>20.74</v>
      </c>
      <c r="I13" s="53">
        <v>19.62</v>
      </c>
      <c r="J13" s="53">
        <v>22.55</v>
      </c>
      <c r="K13" s="53">
        <v>25.34</v>
      </c>
      <c r="L13" s="85">
        <v>13</v>
      </c>
      <c r="M13" s="53">
        <v>50</v>
      </c>
      <c r="O13" s="85">
        <v>1</v>
      </c>
      <c r="R13" s="53">
        <v>20</v>
      </c>
      <c r="S13" s="102">
        <f t="shared" si="0"/>
        <v>295.1237288215375</v>
      </c>
      <c r="V13" s="112"/>
    </row>
    <row r="14" spans="1:33" s="53" customFormat="1" ht="16.8" x14ac:dyDescent="0.4">
      <c r="A14" s="55" t="s">
        <v>7</v>
      </c>
      <c r="B14" s="52" t="s">
        <v>101</v>
      </c>
      <c r="C14" s="54" t="s">
        <v>99</v>
      </c>
      <c r="D14" s="54">
        <v>109</v>
      </c>
      <c r="E14" s="52">
        <v>4.4400000000000004</v>
      </c>
      <c r="F14" s="53">
        <v>5.38</v>
      </c>
      <c r="G14" s="53">
        <v>5.46</v>
      </c>
      <c r="H14" s="53">
        <v>5.52</v>
      </c>
      <c r="I14" s="53">
        <v>5.75</v>
      </c>
      <c r="J14" s="53">
        <v>6.01</v>
      </c>
      <c r="K14" s="53">
        <v>6.63</v>
      </c>
      <c r="L14" s="85">
        <v>12</v>
      </c>
      <c r="M14" s="53">
        <v>50</v>
      </c>
      <c r="O14" s="85">
        <v>2</v>
      </c>
      <c r="R14" s="53">
        <v>9</v>
      </c>
      <c r="S14" s="102">
        <f t="shared" si="0"/>
        <v>71.966079976302012</v>
      </c>
      <c r="V14" s="112"/>
    </row>
    <row r="15" spans="1:33" s="53" customFormat="1" ht="16.8" x14ac:dyDescent="0.4">
      <c r="A15" s="55" t="s">
        <v>7</v>
      </c>
      <c r="B15" s="52" t="s">
        <v>101</v>
      </c>
      <c r="C15" s="54" t="s">
        <v>100</v>
      </c>
      <c r="D15" s="54">
        <v>141</v>
      </c>
      <c r="E15" s="52">
        <v>3.78</v>
      </c>
      <c r="F15" s="53">
        <v>4.1399999999999997</v>
      </c>
      <c r="G15" s="53">
        <v>4.22</v>
      </c>
      <c r="H15" s="53">
        <v>4.3</v>
      </c>
      <c r="I15" s="53">
        <v>4.54</v>
      </c>
      <c r="J15" s="53">
        <v>4.75</v>
      </c>
      <c r="K15" s="53">
        <v>5</v>
      </c>
      <c r="L15" s="85">
        <v>11</v>
      </c>
      <c r="M15" s="53">
        <v>50</v>
      </c>
      <c r="O15" s="85">
        <v>1</v>
      </c>
      <c r="R15" s="53">
        <v>11</v>
      </c>
      <c r="S15" s="102">
        <f t="shared" si="0"/>
        <v>51.99918608460392</v>
      </c>
      <c r="V15" s="112"/>
    </row>
    <row r="16" spans="1:33" s="71" customFormat="1" ht="16.8" x14ac:dyDescent="0.4">
      <c r="A16" s="72" t="s">
        <v>102</v>
      </c>
      <c r="B16" s="69"/>
      <c r="C16" s="70"/>
      <c r="D16" s="70"/>
      <c r="E16" s="69"/>
      <c r="L16" s="93"/>
      <c r="O16" s="86"/>
      <c r="S16" s="102">
        <f t="shared" si="0"/>
        <v>0</v>
      </c>
      <c r="V16" s="113"/>
    </row>
    <row r="17" spans="1:33" s="71" customFormat="1" ht="16.8" x14ac:dyDescent="0.4">
      <c r="A17" s="68" t="s">
        <v>16</v>
      </c>
      <c r="B17" s="69" t="s">
        <v>26</v>
      </c>
      <c r="C17" s="70"/>
      <c r="D17" s="70"/>
      <c r="E17" s="69"/>
      <c r="L17" s="86"/>
      <c r="O17" s="86"/>
      <c r="S17" s="102">
        <f t="shared" si="0"/>
        <v>0</v>
      </c>
      <c r="V17" s="113"/>
    </row>
    <row r="18" spans="1:33" s="76" customFormat="1" ht="16.8" x14ac:dyDescent="0.4">
      <c r="A18" s="73" t="s">
        <v>16</v>
      </c>
      <c r="B18" s="74" t="s">
        <v>106</v>
      </c>
      <c r="C18" s="75" t="s">
        <v>103</v>
      </c>
      <c r="D18" s="75">
        <v>28</v>
      </c>
      <c r="E18" s="74">
        <v>1.84</v>
      </c>
      <c r="F18" s="76">
        <v>2.15</v>
      </c>
      <c r="G18" s="76">
        <v>2.35</v>
      </c>
      <c r="H18" s="76">
        <v>2.63</v>
      </c>
      <c r="I18" s="76">
        <v>2.38</v>
      </c>
      <c r="J18" s="76">
        <v>2.73</v>
      </c>
      <c r="K18" s="76">
        <v>3.13</v>
      </c>
      <c r="L18" s="87">
        <v>10</v>
      </c>
      <c r="M18" s="76">
        <v>50</v>
      </c>
      <c r="O18" s="87">
        <v>6</v>
      </c>
      <c r="R18" s="76">
        <v>1</v>
      </c>
      <c r="S18" s="102">
        <f t="shared" si="0"/>
        <v>27.3</v>
      </c>
      <c r="V18" s="114"/>
    </row>
    <row r="19" spans="1:33" s="76" customFormat="1" ht="16.8" x14ac:dyDescent="0.4">
      <c r="A19" s="73" t="s">
        <v>16</v>
      </c>
      <c r="B19" s="74" t="s">
        <v>106</v>
      </c>
      <c r="C19" s="75" t="s">
        <v>104</v>
      </c>
      <c r="D19" s="75">
        <v>146</v>
      </c>
      <c r="E19" s="74">
        <v>9.92</v>
      </c>
      <c r="F19" s="76">
        <v>10.51</v>
      </c>
      <c r="G19" s="76">
        <v>10.63</v>
      </c>
      <c r="H19" s="76">
        <v>10.85</v>
      </c>
      <c r="I19" s="76">
        <v>10.220000000000001</v>
      </c>
      <c r="J19" s="76">
        <v>10.92</v>
      </c>
      <c r="K19" s="76">
        <v>11.53</v>
      </c>
      <c r="L19" s="87">
        <v>10</v>
      </c>
      <c r="M19" s="76">
        <v>50</v>
      </c>
      <c r="O19" s="87">
        <v>3</v>
      </c>
      <c r="R19" s="76">
        <v>24</v>
      </c>
      <c r="S19" s="102">
        <f t="shared" si="0"/>
        <v>109.2</v>
      </c>
      <c r="V19" s="114"/>
    </row>
    <row r="20" spans="1:33" s="76" customFormat="1" ht="16.8" x14ac:dyDescent="0.4">
      <c r="A20" s="73" t="s">
        <v>16</v>
      </c>
      <c r="B20" s="74" t="s">
        <v>106</v>
      </c>
      <c r="C20" s="75" t="s">
        <v>105</v>
      </c>
      <c r="D20" s="75">
        <v>884</v>
      </c>
      <c r="E20" s="74">
        <v>6.32</v>
      </c>
      <c r="F20" s="76">
        <v>13.2</v>
      </c>
      <c r="G20" s="76">
        <v>13.77</v>
      </c>
      <c r="H20" s="76">
        <v>14.28</v>
      </c>
      <c r="I20" s="76">
        <v>16.3</v>
      </c>
      <c r="J20" s="76">
        <v>19.28</v>
      </c>
      <c r="K20" s="76">
        <v>21.27</v>
      </c>
      <c r="L20" s="87">
        <v>15</v>
      </c>
      <c r="M20" s="76">
        <v>100</v>
      </c>
      <c r="O20" s="87">
        <v>1</v>
      </c>
      <c r="R20" s="76">
        <v>51</v>
      </c>
      <c r="S20" s="102">
        <f t="shared" si="0"/>
        <v>300.71741641396892</v>
      </c>
      <c r="V20" s="114"/>
    </row>
    <row r="21" spans="1:33" s="67" customFormat="1" ht="17.399999999999999" x14ac:dyDescent="0.45">
      <c r="A21" s="64" t="s">
        <v>95</v>
      </c>
      <c r="B21" s="65"/>
      <c r="C21" s="66"/>
      <c r="D21" s="66"/>
      <c r="E21" s="65"/>
      <c r="L21" s="88"/>
      <c r="O21" s="88"/>
      <c r="S21" s="102">
        <f t="shared" si="0"/>
        <v>0</v>
      </c>
      <c r="V21" s="115"/>
    </row>
    <row r="22" spans="1:33" s="60" customFormat="1" ht="16.8" x14ac:dyDescent="0.4">
      <c r="A22" s="57" t="s">
        <v>0</v>
      </c>
      <c r="B22" s="58" t="s">
        <v>26</v>
      </c>
      <c r="C22" s="59"/>
      <c r="D22" s="59"/>
      <c r="E22" s="58"/>
      <c r="L22" s="89"/>
      <c r="O22" s="89"/>
      <c r="S22" s="102">
        <f t="shared" si="0"/>
        <v>0</v>
      </c>
      <c r="V22" s="116"/>
    </row>
    <row r="23" spans="1:33" s="63" customFormat="1" ht="16.8" x14ac:dyDescent="0.4">
      <c r="A23" s="61" t="s">
        <v>0</v>
      </c>
      <c r="B23" s="11" t="s">
        <v>97</v>
      </c>
      <c r="C23" s="62" t="s">
        <v>96</v>
      </c>
      <c r="D23" s="62">
        <v>183</v>
      </c>
      <c r="E23" s="11">
        <v>3.12</v>
      </c>
      <c r="F23" s="63">
        <v>1.73</v>
      </c>
      <c r="G23" s="63">
        <v>2.54</v>
      </c>
      <c r="H23" s="63">
        <v>3.41</v>
      </c>
      <c r="I23" s="63">
        <v>1.65</v>
      </c>
      <c r="J23" s="63">
        <v>3.37</v>
      </c>
      <c r="K23" s="63">
        <v>5.84</v>
      </c>
      <c r="L23" s="95">
        <v>30</v>
      </c>
      <c r="M23" s="63">
        <v>100</v>
      </c>
      <c r="O23" s="63">
        <v>0</v>
      </c>
      <c r="R23" s="63">
        <v>24</v>
      </c>
      <c r="S23" s="102">
        <f t="shared" si="0"/>
        <v>179.11690334637856</v>
      </c>
      <c r="T23" s="104">
        <f>(12-5)/2/(J23-I23)/2</f>
        <v>1.0174418604651161</v>
      </c>
      <c r="V23" s="117">
        <v>14999</v>
      </c>
      <c r="W23" s="63">
        <v>8891</v>
      </c>
      <c r="X23" s="63">
        <v>96773</v>
      </c>
      <c r="Y23" s="63">
        <v>106618</v>
      </c>
      <c r="Z23" s="63">
        <v>62634</v>
      </c>
      <c r="AA23" s="63">
        <v>43009</v>
      </c>
      <c r="AB23" s="63">
        <v>3483</v>
      </c>
      <c r="AD23" s="125">
        <f>V23/Y23</f>
        <v>0.14067981016338704</v>
      </c>
      <c r="AE23" s="125">
        <f>W23/Y23</f>
        <v>8.3391172222326435E-2</v>
      </c>
      <c r="AF23" s="126">
        <f>(J23-I23)/Y23*AB23</f>
        <v>5.6189011236376603E-2</v>
      </c>
      <c r="AG23" s="128">
        <f>(AE23-$B$36)/AF23</f>
        <v>0.59426516835927312</v>
      </c>
    </row>
    <row r="24" spans="1:33" s="63" customFormat="1" ht="16.8" x14ac:dyDescent="0.4">
      <c r="A24" s="61" t="s">
        <v>0</v>
      </c>
      <c r="B24" s="11" t="s">
        <v>92</v>
      </c>
      <c r="C24" s="62" t="s">
        <v>90</v>
      </c>
      <c r="D24" s="62">
        <v>75</v>
      </c>
      <c r="E24" s="11">
        <v>5.16</v>
      </c>
      <c r="F24" s="63">
        <v>3.91</v>
      </c>
      <c r="G24" s="63">
        <v>4.01</v>
      </c>
      <c r="H24" s="63">
        <v>4.16</v>
      </c>
      <c r="I24" s="63">
        <v>3.5</v>
      </c>
      <c r="J24" s="63">
        <v>4.7699999999999996</v>
      </c>
      <c r="K24" s="63">
        <v>5.45</v>
      </c>
      <c r="L24" s="95">
        <v>13</v>
      </c>
      <c r="M24" s="63">
        <v>100</v>
      </c>
      <c r="O24" s="63">
        <v>0</v>
      </c>
      <c r="R24" s="63">
        <v>30</v>
      </c>
      <c r="S24" s="102">
        <f t="shared" si="0"/>
        <v>62.427502726329664</v>
      </c>
      <c r="V24" s="117"/>
    </row>
    <row r="25" spans="1:33" s="48" customFormat="1" ht="16.8" x14ac:dyDescent="0.45">
      <c r="A25" s="47" t="s">
        <v>85</v>
      </c>
      <c r="B25" s="47"/>
      <c r="C25" s="47"/>
      <c r="D25" s="47"/>
      <c r="E25" s="47"/>
      <c r="L25" s="96"/>
      <c r="S25" s="102">
        <f t="shared" si="0"/>
        <v>0</v>
      </c>
      <c r="V25" s="118"/>
    </row>
    <row r="26" spans="1:33" s="46" customFormat="1" x14ac:dyDescent="0.4">
      <c r="A26" s="45" t="s">
        <v>86</v>
      </c>
      <c r="B26" s="45" t="s">
        <v>26</v>
      </c>
      <c r="C26" s="45"/>
      <c r="D26" s="45"/>
      <c r="E26" s="45"/>
      <c r="L26" s="97"/>
      <c r="S26" s="102">
        <f t="shared" si="0"/>
        <v>0</v>
      </c>
      <c r="V26" s="119"/>
    </row>
    <row r="27" spans="1:33" s="49" customFormat="1" x14ac:dyDescent="0.4">
      <c r="A27" s="7" t="s">
        <v>86</v>
      </c>
      <c r="B27" s="7" t="s">
        <v>114</v>
      </c>
      <c r="C27" s="7" t="s">
        <v>87</v>
      </c>
      <c r="D27" s="7">
        <v>532</v>
      </c>
      <c r="E27" s="7">
        <v>14.81</v>
      </c>
      <c r="F27" s="49">
        <v>17.77</v>
      </c>
      <c r="G27" s="49">
        <v>18.02</v>
      </c>
      <c r="H27" s="49">
        <v>18.829999999999998</v>
      </c>
      <c r="I27" s="49">
        <v>19.739999999999998</v>
      </c>
      <c r="J27" s="49">
        <v>20.350000000000001</v>
      </c>
      <c r="K27" s="49">
        <v>21.91</v>
      </c>
      <c r="L27" s="98">
        <v>15</v>
      </c>
      <c r="M27" s="49">
        <v>50</v>
      </c>
      <c r="O27" s="49">
        <v>0</v>
      </c>
      <c r="R27" s="49">
        <v>34</v>
      </c>
      <c r="S27" s="102">
        <f t="shared" si="0"/>
        <v>317.40660912988938</v>
      </c>
      <c r="V27" s="120"/>
    </row>
    <row r="28" spans="1:33" s="49" customFormat="1" x14ac:dyDescent="0.4">
      <c r="A28" s="7" t="s">
        <v>86</v>
      </c>
      <c r="B28" s="7" t="s">
        <v>115</v>
      </c>
      <c r="C28" s="7" t="s">
        <v>88</v>
      </c>
      <c r="D28" s="7">
        <v>230</v>
      </c>
      <c r="E28" s="7">
        <v>8.2200000000000006</v>
      </c>
      <c r="F28" s="49">
        <v>9.57</v>
      </c>
      <c r="G28" s="49">
        <v>9.9</v>
      </c>
      <c r="H28" s="49">
        <v>10.44</v>
      </c>
      <c r="I28" s="49">
        <v>10.16</v>
      </c>
      <c r="J28" s="49">
        <v>10.99</v>
      </c>
      <c r="K28" s="49">
        <v>11.51</v>
      </c>
      <c r="L28" s="98">
        <v>15</v>
      </c>
      <c r="M28" s="49">
        <v>50</v>
      </c>
      <c r="O28" s="49">
        <v>1</v>
      </c>
      <c r="R28" s="49">
        <v>9</v>
      </c>
      <c r="S28" s="102">
        <f t="shared" si="0"/>
        <v>171.41516630651029</v>
      </c>
      <c r="V28" s="120"/>
    </row>
    <row r="29" spans="1:33" s="82" customFormat="1" ht="16.8" x14ac:dyDescent="0.45">
      <c r="A29" s="81" t="s">
        <v>107</v>
      </c>
      <c r="B29" s="81"/>
      <c r="C29" s="81"/>
      <c r="D29" s="81"/>
      <c r="E29" s="81"/>
      <c r="L29" s="99"/>
      <c r="S29" s="102">
        <f t="shared" si="0"/>
        <v>0</v>
      </c>
      <c r="V29" s="121"/>
    </row>
    <row r="30" spans="1:33" s="78" customFormat="1" x14ac:dyDescent="0.4">
      <c r="A30" s="77" t="s">
        <v>107</v>
      </c>
      <c r="B30" s="77" t="s">
        <v>110</v>
      </c>
      <c r="C30" s="77"/>
      <c r="D30" s="77"/>
      <c r="E30" s="77"/>
      <c r="L30" s="100"/>
      <c r="S30" s="102">
        <f t="shared" si="0"/>
        <v>0</v>
      </c>
      <c r="V30" s="122"/>
    </row>
    <row r="31" spans="1:33" s="80" customFormat="1" x14ac:dyDescent="0.4">
      <c r="A31" s="79" t="s">
        <v>107</v>
      </c>
      <c r="B31" s="79" t="s">
        <v>109</v>
      </c>
      <c r="C31" s="79" t="s">
        <v>108</v>
      </c>
      <c r="D31" s="79">
        <v>397</v>
      </c>
      <c r="E31" s="79">
        <v>26.03</v>
      </c>
      <c r="F31" s="80">
        <v>25.2</v>
      </c>
      <c r="G31" s="80">
        <v>25.78</v>
      </c>
      <c r="H31" s="80">
        <v>26.04</v>
      </c>
      <c r="I31" s="80">
        <v>26.45</v>
      </c>
      <c r="J31" s="80">
        <v>28.36</v>
      </c>
      <c r="K31" s="80">
        <v>29.32</v>
      </c>
      <c r="L31" s="101">
        <v>10</v>
      </c>
      <c r="M31" s="80">
        <v>100</v>
      </c>
      <c r="O31" s="80">
        <v>0</v>
      </c>
      <c r="Q31" s="80">
        <v>18</v>
      </c>
      <c r="R31" s="80">
        <v>58</v>
      </c>
      <c r="S31" s="102">
        <f t="shared" si="0"/>
        <v>283.60000000000002</v>
      </c>
      <c r="T31" s="104">
        <f>(8.38-5)/2/(J31-I31)/2</f>
        <v>0.44240837696335084</v>
      </c>
      <c r="U31" s="103">
        <f>S31*T31*R31/10</f>
        <v>727.7086910994766</v>
      </c>
      <c r="V31" s="123"/>
    </row>
    <row r="32" spans="1:33" s="80" customFormat="1" x14ac:dyDescent="0.4">
      <c r="A32" s="79" t="s">
        <v>107</v>
      </c>
      <c r="B32" s="79" t="s">
        <v>110</v>
      </c>
      <c r="C32" s="79" t="s">
        <v>111</v>
      </c>
      <c r="D32" s="79">
        <v>145</v>
      </c>
      <c r="E32" s="79">
        <v>8.94</v>
      </c>
      <c r="F32" s="80">
        <v>9</v>
      </c>
      <c r="G32" s="80">
        <v>9.35</v>
      </c>
      <c r="H32" s="80">
        <v>9.73</v>
      </c>
      <c r="I32" s="80">
        <v>7.89</v>
      </c>
      <c r="J32" s="80">
        <v>10.36</v>
      </c>
      <c r="K32" s="80">
        <v>11.12</v>
      </c>
      <c r="L32" s="101">
        <v>15</v>
      </c>
      <c r="M32" s="80">
        <v>100</v>
      </c>
      <c r="O32" s="80">
        <v>3</v>
      </c>
      <c r="Q32" s="80">
        <v>6</v>
      </c>
      <c r="R32" s="80">
        <v>32</v>
      </c>
      <c r="S32" s="102">
        <f t="shared" si="0"/>
        <v>161.58881919339819</v>
      </c>
      <c r="T32" s="104">
        <f t="shared" ref="T32" si="1">(8.38-5)/2/(J32-I32)/2</f>
        <v>0.34210526315789486</v>
      </c>
      <c r="U32" s="103">
        <f t="shared" ref="U32" si="2">S32*T32*R32/10</f>
        <v>176.89723364329913</v>
      </c>
      <c r="V32" s="123"/>
    </row>
    <row r="33" spans="1:33" s="80" customFormat="1" x14ac:dyDescent="0.4">
      <c r="A33" s="79" t="s">
        <v>107</v>
      </c>
      <c r="B33" s="79" t="s">
        <v>110</v>
      </c>
      <c r="C33" s="80" t="s">
        <v>112</v>
      </c>
      <c r="D33" s="80">
        <v>846</v>
      </c>
      <c r="E33" s="79">
        <v>14.16</v>
      </c>
      <c r="F33" s="80">
        <v>15.56</v>
      </c>
      <c r="G33" s="80">
        <v>16.309999999999999</v>
      </c>
      <c r="H33" s="80">
        <v>16.84</v>
      </c>
      <c r="I33" s="80">
        <v>16.670000000000002</v>
      </c>
      <c r="J33" s="80">
        <v>17.68</v>
      </c>
      <c r="K33" s="80">
        <v>19.989999999999998</v>
      </c>
      <c r="L33" s="101">
        <v>12</v>
      </c>
      <c r="M33" s="80">
        <v>50</v>
      </c>
      <c r="O33" s="80">
        <v>1</v>
      </c>
      <c r="P33" s="101">
        <f>(R33-L33)/2</f>
        <v>10</v>
      </c>
      <c r="Q33" s="101">
        <v>8</v>
      </c>
      <c r="R33" s="80">
        <v>32</v>
      </c>
      <c r="S33" s="102">
        <f t="shared" si="0"/>
        <v>211.7072036574076</v>
      </c>
      <c r="T33" s="104">
        <f>(8.38-5)/2/(J33-I33)/2</f>
        <v>0.83663366336633849</v>
      </c>
      <c r="U33" s="103">
        <f>S33*T33*R33/10</f>
        <v>566.78839474220933</v>
      </c>
      <c r="V33" s="123">
        <v>6292</v>
      </c>
      <c r="W33" s="80">
        <v>8114</v>
      </c>
      <c r="X33" s="80">
        <v>242290</v>
      </c>
      <c r="Y33" s="80">
        <v>68994</v>
      </c>
      <c r="Z33" s="80">
        <v>25058</v>
      </c>
      <c r="AA33" s="80">
        <v>43936</v>
      </c>
      <c r="AB33" s="80">
        <v>444</v>
      </c>
      <c r="AD33" s="125">
        <f>V33/Y33</f>
        <v>9.1196335913267826E-2</v>
      </c>
      <c r="AE33" s="125">
        <f>W33/Y33</f>
        <v>0.11760442937066991</v>
      </c>
      <c r="AF33" s="126">
        <f>(J33-I33)/Y33*AB33</f>
        <v>6.4996956257065705E-3</v>
      </c>
      <c r="AG33" s="128">
        <f>(AE33-$B$36)/AF33</f>
        <v>10.401168495227919</v>
      </c>
    </row>
    <row r="36" spans="1:33" x14ac:dyDescent="0.4">
      <c r="A36" s="2" t="s">
        <v>130</v>
      </c>
      <c r="B36" s="127">
        <v>0.05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8F7A-7AAF-4143-BB48-32C5F3097C83}">
  <dimension ref="A1:U13"/>
  <sheetViews>
    <sheetView topLeftCell="B1" workbookViewId="0">
      <selection activeCell="D2" sqref="D2"/>
    </sheetView>
  </sheetViews>
  <sheetFormatPr defaultColWidth="9.109375" defaultRowHeight="16.2" x14ac:dyDescent="0.4"/>
  <cols>
    <col min="1" max="1" width="16" style="2" bestFit="1" customWidth="1"/>
    <col min="2" max="2" width="18.33203125" style="2" bestFit="1" customWidth="1"/>
    <col min="3" max="6" width="10.6640625" style="2" customWidth="1"/>
    <col min="7" max="7" width="71.33203125" style="2" bestFit="1" customWidth="1"/>
    <col min="8" max="9" width="10.6640625" style="2" customWidth="1"/>
    <col min="10" max="10" width="13.6640625" style="2" bestFit="1" customWidth="1"/>
    <col min="11" max="11" width="10.6640625" style="2" customWidth="1"/>
    <col min="12" max="12" width="28.5546875" style="2" bestFit="1" customWidth="1"/>
    <col min="13" max="15" width="9.109375" style="2"/>
    <col min="16" max="16" width="9.88671875" style="2" bestFit="1" customWidth="1"/>
    <col min="17" max="17" width="48.109375" style="2" bestFit="1" customWidth="1"/>
    <col min="18" max="16384" width="9.109375" style="2"/>
  </cols>
  <sheetData>
    <row r="1" spans="1:21" s="1" customFormat="1" x14ac:dyDescent="0.4">
      <c r="A1" s="4" t="s">
        <v>18</v>
      </c>
      <c r="B1" s="4" t="s">
        <v>57</v>
      </c>
      <c r="C1" s="4" t="s">
        <v>19</v>
      </c>
      <c r="D1" s="4" t="s">
        <v>20</v>
      </c>
      <c r="E1" s="4" t="s">
        <v>21</v>
      </c>
      <c r="G1" s="1" t="s">
        <v>50</v>
      </c>
      <c r="H1" s="1" t="s">
        <v>51</v>
      </c>
      <c r="I1" s="1" t="s">
        <v>52</v>
      </c>
      <c r="J1" s="1" t="s">
        <v>54</v>
      </c>
      <c r="M1" s="1" t="s">
        <v>51</v>
      </c>
      <c r="N1" s="1" t="s">
        <v>52</v>
      </c>
      <c r="O1" s="1" t="s">
        <v>54</v>
      </c>
      <c r="Q1" s="6"/>
      <c r="R1" s="1" t="s">
        <v>51</v>
      </c>
      <c r="S1" s="1" t="s">
        <v>52</v>
      </c>
      <c r="T1" s="1" t="s">
        <v>54</v>
      </c>
    </row>
    <row r="2" spans="1:21" x14ac:dyDescent="0.4">
      <c r="A2" s="7" t="s">
        <v>0</v>
      </c>
      <c r="B2" s="7" t="s">
        <v>0</v>
      </c>
      <c r="C2" s="8">
        <v>0.2</v>
      </c>
      <c r="D2" s="8">
        <v>0.27614441334491635</v>
      </c>
      <c r="E2" s="8">
        <v>0.3</v>
      </c>
    </row>
    <row r="3" spans="1:21" x14ac:dyDescent="0.4">
      <c r="A3" s="7" t="s">
        <v>2</v>
      </c>
      <c r="B3" s="7" t="s">
        <v>2</v>
      </c>
      <c r="C3" s="8">
        <f>U3-1</f>
        <v>2.6017966855958141E-2</v>
      </c>
      <c r="D3" s="8">
        <f>K3-1</f>
        <v>5.6300256489387523E-2</v>
      </c>
      <c r="E3" s="8">
        <f>P3-1</f>
        <v>0.16038416137591205</v>
      </c>
      <c r="G3" s="2" t="s">
        <v>53</v>
      </c>
      <c r="H3" s="3">
        <f>(1262/1000)^(1/8)</f>
        <v>1.0295143853340343</v>
      </c>
      <c r="I3" s="3">
        <f>0.5^(1/30)</f>
        <v>0.97715996843424591</v>
      </c>
      <c r="J3" s="3">
        <f>1+SUM(Overall_assumption!$B$2:$B$3)</f>
        <v>1.05</v>
      </c>
      <c r="K3" s="13">
        <f>PRODUCT(H3:J3)</f>
        <v>1.0563002564893875</v>
      </c>
      <c r="L3" s="2" t="s">
        <v>55</v>
      </c>
      <c r="M3" s="3">
        <f>(1262/632)^(1/8)*3^(1/30)</f>
        <v>1.1309589099416009</v>
      </c>
      <c r="N3" s="3">
        <f>0.5^(1/30)</f>
        <v>0.97715996843424591</v>
      </c>
      <c r="O3" s="3">
        <f>1+SUM(Overall_assumption!$B$2:$B$3)</f>
        <v>1.05</v>
      </c>
      <c r="P3" s="37">
        <f>PRODUCT(M3:O3)</f>
        <v>1.160384161375912</v>
      </c>
      <c r="Q3" s="2" t="s">
        <v>56</v>
      </c>
      <c r="R3" s="3">
        <v>1</v>
      </c>
      <c r="S3" s="3">
        <f>0.5^(1/30)</f>
        <v>0.97715996843424591</v>
      </c>
      <c r="T3" s="3">
        <f>1+SUM(Overall_assumption!$B$2:$B$3)</f>
        <v>1.05</v>
      </c>
      <c r="U3" s="38">
        <f>PRODUCT(R3:T3)</f>
        <v>1.0260179668559581</v>
      </c>
    </row>
    <row r="4" spans="1:21" x14ac:dyDescent="0.4">
      <c r="A4" s="7" t="s">
        <v>4</v>
      </c>
      <c r="B4" s="7" t="s">
        <v>4</v>
      </c>
      <c r="C4" s="8">
        <v>0.1</v>
      </c>
      <c r="D4" s="8">
        <v>2.0241667916391121E-2</v>
      </c>
      <c r="E4" s="8">
        <v>0.15</v>
      </c>
    </row>
    <row r="5" spans="1:21" x14ac:dyDescent="0.4">
      <c r="A5" s="7" t="s">
        <v>5</v>
      </c>
      <c r="B5" s="7" t="s">
        <v>5</v>
      </c>
      <c r="C5" s="8">
        <v>3.9999999999999994E-2</v>
      </c>
      <c r="D5" s="8">
        <v>8.7192103484308212E-2</v>
      </c>
      <c r="E5" s="8">
        <v>0.15000000000000002</v>
      </c>
    </row>
    <row r="6" spans="1:21" x14ac:dyDescent="0.4">
      <c r="A6" s="7" t="s">
        <v>7</v>
      </c>
      <c r="B6" s="7" t="s">
        <v>7</v>
      </c>
      <c r="C6" s="8">
        <v>3.9999999999999994E-2</v>
      </c>
      <c r="D6" s="8">
        <v>8.7192103484308212E-2</v>
      </c>
      <c r="E6" s="8">
        <v>0.15000000000000002</v>
      </c>
    </row>
    <row r="7" spans="1:21" x14ac:dyDescent="0.4">
      <c r="A7" s="7" t="s">
        <v>9</v>
      </c>
      <c r="B7" s="7" t="s">
        <v>9</v>
      </c>
      <c r="C7" s="8">
        <v>9.9999999999999992E-2</v>
      </c>
      <c r="D7" s="8">
        <v>0.13</v>
      </c>
      <c r="E7" s="8">
        <v>0.2</v>
      </c>
    </row>
    <row r="8" spans="1:21" x14ac:dyDescent="0.4">
      <c r="A8" s="7" t="s">
        <v>11</v>
      </c>
      <c r="B8" s="7" t="s">
        <v>11</v>
      </c>
      <c r="C8" s="8">
        <v>0.05</v>
      </c>
      <c r="D8" s="8">
        <v>0.05</v>
      </c>
      <c r="E8" s="8">
        <v>0.1</v>
      </c>
    </row>
    <row r="9" spans="1:21" x14ac:dyDescent="0.4">
      <c r="A9" s="7" t="s">
        <v>13</v>
      </c>
      <c r="B9" s="7" t="s">
        <v>13</v>
      </c>
      <c r="C9" s="8">
        <v>0.15</v>
      </c>
      <c r="D9" s="8">
        <v>0.18</v>
      </c>
      <c r="E9" s="8">
        <v>0.25</v>
      </c>
    </row>
    <row r="10" spans="1:21" x14ac:dyDescent="0.4">
      <c r="A10" s="7" t="s">
        <v>14</v>
      </c>
      <c r="B10" s="7" t="s">
        <v>14</v>
      </c>
      <c r="C10" s="8">
        <v>0.05</v>
      </c>
      <c r="D10" s="8">
        <v>0.13</v>
      </c>
      <c r="E10" s="8">
        <v>0.2</v>
      </c>
    </row>
    <row r="11" spans="1:21" x14ac:dyDescent="0.4">
      <c r="A11" s="7" t="s">
        <v>15</v>
      </c>
      <c r="B11" s="7" t="s">
        <v>15</v>
      </c>
      <c r="C11" s="8">
        <v>0.1</v>
      </c>
      <c r="D11" s="8">
        <v>0.15</v>
      </c>
      <c r="E11" s="8">
        <v>0.2</v>
      </c>
    </row>
    <row r="12" spans="1:21" x14ac:dyDescent="0.4">
      <c r="A12" s="7" t="s">
        <v>16</v>
      </c>
      <c r="B12" s="7" t="s">
        <v>16</v>
      </c>
      <c r="C12" s="8">
        <v>0.09</v>
      </c>
      <c r="D12" s="8">
        <v>0.12</v>
      </c>
      <c r="E12" s="8">
        <v>0.15</v>
      </c>
    </row>
    <row r="13" spans="1:21" x14ac:dyDescent="0.4">
      <c r="A13" s="7" t="s">
        <v>17</v>
      </c>
      <c r="B13" s="7" t="s">
        <v>17</v>
      </c>
      <c r="C13" s="8">
        <v>0</v>
      </c>
      <c r="D13" s="8">
        <v>0.03</v>
      </c>
      <c r="E13" s="8">
        <v>0.15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5659-B70B-44CB-ACF7-1856C58B8F54}">
  <dimension ref="A1:B8"/>
  <sheetViews>
    <sheetView workbookViewId="0">
      <selection activeCell="B2" sqref="B2"/>
    </sheetView>
  </sheetViews>
  <sheetFormatPr defaultRowHeight="14.4" x14ac:dyDescent="0.3"/>
  <cols>
    <col min="1" max="1" width="30.6640625" customWidth="1"/>
    <col min="2" max="10" width="10.6640625" customWidth="1"/>
  </cols>
  <sheetData>
    <row r="1" spans="1:2" ht="15" customHeight="1" x14ac:dyDescent="0.4">
      <c r="A1" s="5"/>
      <c r="B1" s="5" t="s">
        <v>6</v>
      </c>
    </row>
    <row r="2" spans="1:2" ht="15" customHeight="1" x14ac:dyDescent="0.4">
      <c r="A2" s="9" t="s">
        <v>1</v>
      </c>
      <c r="B2" s="15">
        <v>0.03</v>
      </c>
    </row>
    <row r="3" spans="1:2" ht="15" customHeight="1" x14ac:dyDescent="0.4">
      <c r="A3" s="9" t="s">
        <v>3</v>
      </c>
      <c r="B3" s="15">
        <v>0.02</v>
      </c>
    </row>
    <row r="4" spans="1:2" ht="15" customHeight="1" x14ac:dyDescent="0.4">
      <c r="A4" s="2"/>
      <c r="B4" s="2"/>
    </row>
    <row r="5" spans="1:2" ht="15" customHeight="1" x14ac:dyDescent="0.4">
      <c r="A5" s="10"/>
      <c r="B5" s="10" t="s">
        <v>6</v>
      </c>
    </row>
    <row r="6" spans="1:2" ht="15" customHeight="1" x14ac:dyDescent="0.4">
      <c r="A6" s="11" t="s">
        <v>8</v>
      </c>
      <c r="B6" s="14">
        <v>0.1</v>
      </c>
    </row>
    <row r="7" spans="1:2" ht="15" customHeight="1" x14ac:dyDescent="0.4">
      <c r="A7" s="11" t="s">
        <v>10</v>
      </c>
      <c r="B7" s="14">
        <v>0.2</v>
      </c>
    </row>
    <row r="8" spans="1:2" ht="15" customHeight="1" x14ac:dyDescent="0.4">
      <c r="A8" s="11" t="s">
        <v>12</v>
      </c>
      <c r="B8" s="12">
        <f>(1+10%*(1-B7))^10/((1+10%)^10*(1-B7/2)+B7/2)</f>
        <v>0.8868522784585493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Simple</vt:lpstr>
      <vt:lpstr>Growth_assumption</vt:lpstr>
      <vt:lpstr>Overall_assumption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</dc:creator>
  <cp:lastModifiedBy>Yimin Zhang</cp:lastModifiedBy>
  <dcterms:created xsi:type="dcterms:W3CDTF">2015-06-05T18:17:20Z</dcterms:created>
  <dcterms:modified xsi:type="dcterms:W3CDTF">2024-06-21T00:02:25Z</dcterms:modified>
</cp:coreProperties>
</file>