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imzhang3\OneDrive - The University of Melbourne\Documents\Local Files\Gurobi Tutorial\mannual\"/>
    </mc:Choice>
  </mc:AlternateContent>
  <xr:revisionPtr revIDLastSave="0" documentId="13_ncr:1_{22EC6023-04F4-4450-8A09-47D9FEE4D26D}" xr6:coauthVersionLast="47" xr6:coauthVersionMax="47" xr10:uidLastSave="{00000000-0000-0000-0000-000000000000}"/>
  <bookViews>
    <workbookView xWindow="-120" yWindow="-120" windowWidth="23280" windowHeight="15000" firstSheet="1" activeTab="1" xr2:uid="{00000000-000D-0000-FFFF-FFFF00000000}"/>
  </bookViews>
  <sheets>
    <sheet name="PEG" sheetId="22" r:id="rId1"/>
    <sheet name="Assumptions" sheetId="1" r:id="rId2"/>
    <sheet name="CPT_KO" sheetId="10" r:id="rId3"/>
    <sheet name="CPT_PEP" sheetId="11" r:id="rId4"/>
    <sheet name="CPE_COST" sheetId="3" r:id="rId5"/>
    <sheet name="CPE_ULTA" sheetId="9" r:id="rId6"/>
    <sheet name="CPE_BNKG" sheetId="12" r:id="rId7"/>
    <sheet name="CPE_V" sheetId="13" r:id="rId8"/>
    <sheet name="CPE_MA" sheetId="14" r:id="rId9"/>
    <sheet name="ESPV_FSLR" sheetId="18" r:id="rId10"/>
    <sheet name="ESEV_TSLA" sheetId="17" r:id="rId11"/>
    <sheet name="ESEV_ON" sheetId="4" r:id="rId12"/>
    <sheet name="EVMG_MCHP" sheetId="20" r:id="rId13"/>
    <sheet name="Tech_CRM" sheetId="5" r:id="rId14"/>
    <sheet name="Tech_ADBE" sheetId="8" r:id="rId15"/>
    <sheet name="Tech_MSFT" sheetId="6" r:id="rId16"/>
    <sheet name="Tech_GOOG" sheetId="2" r:id="rId17"/>
    <sheet name="Tech_AMZN" sheetId="23" r:id="rId18"/>
    <sheet name="Tech_AAPL" sheetId="7" r:id="rId19"/>
    <sheet name="ESEV_ENPH" sheetId="19" r:id="rId20"/>
    <sheet name="HP_PFE" sheetId="15" r:id="rId21"/>
    <sheet name="HP_JNJ" sheetId="16" r:id="rId22"/>
  </sheets>
  <definedNames>
    <definedName name="solver_adj" localSheetId="1" hidden="1">Assumptions!$H$26:$K$26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Assumptions!$Q$47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6" i="1" l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28" i="1"/>
  <c r="S28" i="1"/>
  <c r="O98" i="1"/>
  <c r="M98" i="1"/>
  <c r="K117" i="1"/>
  <c r="L117" i="1"/>
  <c r="M117" i="1"/>
  <c r="N117" i="1"/>
  <c r="O117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76" i="1"/>
  <c r="B95" i="1"/>
  <c r="B117" i="1" s="1"/>
  <c r="C95" i="1"/>
  <c r="C117" i="1" s="1"/>
  <c r="D95" i="1"/>
  <c r="D117" i="1" s="1"/>
  <c r="E95" i="1"/>
  <c r="F95" i="1"/>
  <c r="G95" i="1"/>
  <c r="H95" i="1"/>
  <c r="B35" i="23"/>
  <c r="B46" i="23"/>
  <c r="B43" i="23"/>
  <c r="B41" i="23"/>
  <c r="B40" i="23"/>
  <c r="B38" i="23"/>
  <c r="B36" i="23"/>
  <c r="B39" i="23" s="1"/>
  <c r="J13" i="23" s="1"/>
  <c r="J16" i="23"/>
  <c r="J15" i="23"/>
  <c r="J10" i="23"/>
  <c r="J9" i="23"/>
  <c r="J8" i="23"/>
  <c r="J7" i="23"/>
  <c r="J6" i="23"/>
  <c r="J5" i="23"/>
  <c r="J4" i="23"/>
  <c r="J3" i="23"/>
  <c r="J2" i="23"/>
  <c r="J1" i="23"/>
  <c r="E47" i="1"/>
  <c r="F40" i="1"/>
  <c r="F42" i="1"/>
  <c r="F47" i="1"/>
  <c r="O108" i="1"/>
  <c r="O109" i="1"/>
  <c r="O110" i="1"/>
  <c r="O111" i="1"/>
  <c r="O112" i="1"/>
  <c r="O113" i="1"/>
  <c r="O114" i="1"/>
  <c r="O115" i="1"/>
  <c r="O116" i="1"/>
  <c r="O99" i="1"/>
  <c r="O100" i="1"/>
  <c r="O101" i="1"/>
  <c r="O102" i="1"/>
  <c r="O103" i="1"/>
  <c r="O104" i="1"/>
  <c r="O105" i="1"/>
  <c r="O106" i="1"/>
  <c r="O107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98" i="1"/>
  <c r="L98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F76" i="1"/>
  <c r="G76" i="1"/>
  <c r="H76" i="1"/>
  <c r="E76" i="1"/>
  <c r="D76" i="1"/>
  <c r="D98" i="1" s="1"/>
  <c r="C76" i="1"/>
  <c r="C98" i="1" s="1"/>
  <c r="B76" i="1"/>
  <c r="B98" i="1" s="1"/>
  <c r="J17" i="16"/>
  <c r="J15" i="16"/>
  <c r="J12" i="16"/>
  <c r="J10" i="16"/>
  <c r="J9" i="16"/>
  <c r="J8" i="16"/>
  <c r="J7" i="16"/>
  <c r="J6" i="16"/>
  <c r="J5" i="16"/>
  <c r="J4" i="16"/>
  <c r="J3" i="16"/>
  <c r="J2" i="16"/>
  <c r="J1" i="16"/>
  <c r="J3" i="15"/>
  <c r="J17" i="15"/>
  <c r="J15" i="15"/>
  <c r="J12" i="15"/>
  <c r="J10" i="15"/>
  <c r="J9" i="15"/>
  <c r="J8" i="15"/>
  <c r="J7" i="15"/>
  <c r="J6" i="15"/>
  <c r="J5" i="15"/>
  <c r="J4" i="15"/>
  <c r="J2" i="15"/>
  <c r="J1" i="15"/>
  <c r="J17" i="19"/>
  <c r="J15" i="19"/>
  <c r="J12" i="19"/>
  <c r="J10" i="19"/>
  <c r="J9" i="19"/>
  <c r="J8" i="19"/>
  <c r="J7" i="19"/>
  <c r="J6" i="19"/>
  <c r="J5" i="19"/>
  <c r="J4" i="19"/>
  <c r="J3" i="19"/>
  <c r="J2" i="19"/>
  <c r="J1" i="19"/>
  <c r="J17" i="7"/>
  <c r="J15" i="7"/>
  <c r="J12" i="7"/>
  <c r="J10" i="7"/>
  <c r="J9" i="7"/>
  <c r="J8" i="7"/>
  <c r="J7" i="7"/>
  <c r="J6" i="7"/>
  <c r="J5" i="7"/>
  <c r="J4" i="7"/>
  <c r="J3" i="7"/>
  <c r="J2" i="7"/>
  <c r="J1" i="7"/>
  <c r="J17" i="2"/>
  <c r="J15" i="2"/>
  <c r="J12" i="2"/>
  <c r="J10" i="2"/>
  <c r="J9" i="2"/>
  <c r="J8" i="2"/>
  <c r="J7" i="2"/>
  <c r="J6" i="2"/>
  <c r="J5" i="2"/>
  <c r="J4" i="2"/>
  <c r="J3" i="2"/>
  <c r="J2" i="2"/>
  <c r="J1" i="2"/>
  <c r="J17" i="6"/>
  <c r="J15" i="6"/>
  <c r="J12" i="6"/>
  <c r="J10" i="6"/>
  <c r="J9" i="6"/>
  <c r="J8" i="6"/>
  <c r="J7" i="6"/>
  <c r="J6" i="6"/>
  <c r="J5" i="6"/>
  <c r="J4" i="6"/>
  <c r="J3" i="6"/>
  <c r="J2" i="6"/>
  <c r="J1" i="6"/>
  <c r="J17" i="8"/>
  <c r="J15" i="8"/>
  <c r="J12" i="8"/>
  <c r="J10" i="8"/>
  <c r="J9" i="8"/>
  <c r="J8" i="8"/>
  <c r="J7" i="8"/>
  <c r="J6" i="8"/>
  <c r="J5" i="8"/>
  <c r="J4" i="8"/>
  <c r="J3" i="8"/>
  <c r="J2" i="8"/>
  <c r="J1" i="8"/>
  <c r="J17" i="5"/>
  <c r="J15" i="5"/>
  <c r="J12" i="5"/>
  <c r="J10" i="5"/>
  <c r="J9" i="5"/>
  <c r="J8" i="5"/>
  <c r="J7" i="5"/>
  <c r="J6" i="5"/>
  <c r="J5" i="5"/>
  <c r="J4" i="5"/>
  <c r="J3" i="5"/>
  <c r="J2" i="5"/>
  <c r="J1" i="5"/>
  <c r="J17" i="20"/>
  <c r="J15" i="20"/>
  <c r="J12" i="20"/>
  <c r="J10" i="20"/>
  <c r="J9" i="20"/>
  <c r="J8" i="20"/>
  <c r="J7" i="20"/>
  <c r="J6" i="20"/>
  <c r="J5" i="20"/>
  <c r="J4" i="20"/>
  <c r="J3" i="20"/>
  <c r="J2" i="20"/>
  <c r="J1" i="20"/>
  <c r="J17" i="4"/>
  <c r="J15" i="4"/>
  <c r="J12" i="4"/>
  <c r="J10" i="4"/>
  <c r="J9" i="4"/>
  <c r="J8" i="4"/>
  <c r="J7" i="4"/>
  <c r="J6" i="4"/>
  <c r="J5" i="4"/>
  <c r="J4" i="4"/>
  <c r="J3" i="4"/>
  <c r="J2" i="4"/>
  <c r="J1" i="4"/>
  <c r="J17" i="17"/>
  <c r="J15" i="17"/>
  <c r="J12" i="17"/>
  <c r="J10" i="17"/>
  <c r="J9" i="17"/>
  <c r="J8" i="17"/>
  <c r="J7" i="17"/>
  <c r="J6" i="17"/>
  <c r="J5" i="17"/>
  <c r="J4" i="17"/>
  <c r="J3" i="17"/>
  <c r="J2" i="17"/>
  <c r="J1" i="17"/>
  <c r="J17" i="18"/>
  <c r="J15" i="18"/>
  <c r="J12" i="18"/>
  <c r="J10" i="18"/>
  <c r="J9" i="18"/>
  <c r="J8" i="18"/>
  <c r="J7" i="18"/>
  <c r="J6" i="18"/>
  <c r="J5" i="18"/>
  <c r="J4" i="18"/>
  <c r="J3" i="18"/>
  <c r="J2" i="18"/>
  <c r="J1" i="18"/>
  <c r="J17" i="14"/>
  <c r="J15" i="14"/>
  <c r="J12" i="14"/>
  <c r="J10" i="14"/>
  <c r="J9" i="14"/>
  <c r="J8" i="14"/>
  <c r="J7" i="14"/>
  <c r="J6" i="14"/>
  <c r="J5" i="14"/>
  <c r="J4" i="14"/>
  <c r="J3" i="14"/>
  <c r="J2" i="14"/>
  <c r="J1" i="14"/>
  <c r="J17" i="13"/>
  <c r="J15" i="13"/>
  <c r="J12" i="13"/>
  <c r="J10" i="13"/>
  <c r="J9" i="13"/>
  <c r="J8" i="13"/>
  <c r="J7" i="13"/>
  <c r="J6" i="13"/>
  <c r="J5" i="13"/>
  <c r="J4" i="13"/>
  <c r="J3" i="13"/>
  <c r="J2" i="13"/>
  <c r="J1" i="13"/>
  <c r="J17" i="12"/>
  <c r="J15" i="12"/>
  <c r="J12" i="12"/>
  <c r="J10" i="12"/>
  <c r="J9" i="12"/>
  <c r="J8" i="12"/>
  <c r="J7" i="12"/>
  <c r="J6" i="12"/>
  <c r="J5" i="12"/>
  <c r="J4" i="12"/>
  <c r="J3" i="12"/>
  <c r="J2" i="12"/>
  <c r="J1" i="12"/>
  <c r="J17" i="9"/>
  <c r="J15" i="9"/>
  <c r="J12" i="9"/>
  <c r="J10" i="9"/>
  <c r="J9" i="9"/>
  <c r="J8" i="9"/>
  <c r="J7" i="9"/>
  <c r="J6" i="9"/>
  <c r="J5" i="9"/>
  <c r="J4" i="9"/>
  <c r="J3" i="9"/>
  <c r="J2" i="9"/>
  <c r="J1" i="9"/>
  <c r="J17" i="3"/>
  <c r="J15" i="3"/>
  <c r="J12" i="3"/>
  <c r="J10" i="3"/>
  <c r="J9" i="3"/>
  <c r="J8" i="3"/>
  <c r="J7" i="3"/>
  <c r="J6" i="3"/>
  <c r="J5" i="3"/>
  <c r="J4" i="3"/>
  <c r="J3" i="3"/>
  <c r="J2" i="3"/>
  <c r="J1" i="3"/>
  <c r="J17" i="10"/>
  <c r="J15" i="10"/>
  <c r="J12" i="10"/>
  <c r="J10" i="10"/>
  <c r="J9" i="10"/>
  <c r="J8" i="10"/>
  <c r="J7" i="10"/>
  <c r="J6" i="10"/>
  <c r="J5" i="10"/>
  <c r="J4" i="10"/>
  <c r="J3" i="10"/>
  <c r="J2" i="10"/>
  <c r="J1" i="10"/>
  <c r="F117" i="1" l="1"/>
  <c r="E117" i="1"/>
  <c r="G117" i="1"/>
  <c r="S116" i="1"/>
  <c r="S112" i="1"/>
  <c r="S108" i="1"/>
  <c r="S104" i="1"/>
  <c r="S100" i="1"/>
  <c r="S98" i="1"/>
  <c r="S113" i="1"/>
  <c r="S110" i="1"/>
  <c r="S109" i="1"/>
  <c r="S105" i="1"/>
  <c r="S102" i="1"/>
  <c r="S101" i="1"/>
  <c r="S114" i="1"/>
  <c r="S106" i="1"/>
  <c r="S117" i="1"/>
  <c r="P117" i="1"/>
  <c r="S115" i="1"/>
  <c r="S111" i="1"/>
  <c r="S107" i="1"/>
  <c r="S103" i="1"/>
  <c r="S99" i="1"/>
  <c r="F98" i="1"/>
  <c r="B45" i="23"/>
  <c r="P115" i="1"/>
  <c r="E98" i="1"/>
  <c r="P111" i="1"/>
  <c r="P107" i="1"/>
  <c r="Q107" i="1" s="1"/>
  <c r="P103" i="1"/>
  <c r="P99" i="1"/>
  <c r="Q99" i="1" s="1"/>
  <c r="P114" i="1"/>
  <c r="P110" i="1"/>
  <c r="P106" i="1"/>
  <c r="P102" i="1"/>
  <c r="P98" i="1"/>
  <c r="P113" i="1"/>
  <c r="P109" i="1"/>
  <c r="P105" i="1"/>
  <c r="P101" i="1"/>
  <c r="P100" i="1"/>
  <c r="P116" i="1"/>
  <c r="P108" i="1"/>
  <c r="P104" i="1"/>
  <c r="F111" i="1"/>
  <c r="F107" i="1"/>
  <c r="F105" i="1"/>
  <c r="P112" i="1"/>
  <c r="F115" i="1"/>
  <c r="F101" i="1"/>
  <c r="E103" i="1"/>
  <c r="F116" i="1"/>
  <c r="F114" i="1"/>
  <c r="F113" i="1"/>
  <c r="F112" i="1"/>
  <c r="F110" i="1"/>
  <c r="F109" i="1"/>
  <c r="F108" i="1"/>
  <c r="F106" i="1"/>
  <c r="F104" i="1"/>
  <c r="F103" i="1"/>
  <c r="F102" i="1"/>
  <c r="F100" i="1"/>
  <c r="F99" i="1"/>
  <c r="B43" i="12"/>
  <c r="J3" i="11"/>
  <c r="B77" i="1"/>
  <c r="B99" i="1" s="1"/>
  <c r="C77" i="1"/>
  <c r="C99" i="1" s="1"/>
  <c r="D77" i="1"/>
  <c r="D99" i="1" s="1"/>
  <c r="B78" i="1"/>
  <c r="B100" i="1" s="1"/>
  <c r="C78" i="1"/>
  <c r="C100" i="1" s="1"/>
  <c r="D78" i="1"/>
  <c r="D100" i="1" s="1"/>
  <c r="B79" i="1"/>
  <c r="B101" i="1" s="1"/>
  <c r="C79" i="1"/>
  <c r="C101" i="1" s="1"/>
  <c r="D79" i="1"/>
  <c r="D101" i="1" s="1"/>
  <c r="B80" i="1"/>
  <c r="B102" i="1" s="1"/>
  <c r="C80" i="1"/>
  <c r="C102" i="1" s="1"/>
  <c r="D80" i="1"/>
  <c r="D102" i="1" s="1"/>
  <c r="B81" i="1"/>
  <c r="B103" i="1" s="1"/>
  <c r="C81" i="1"/>
  <c r="C103" i="1" s="1"/>
  <c r="D81" i="1"/>
  <c r="D103" i="1" s="1"/>
  <c r="B82" i="1"/>
  <c r="B104" i="1" s="1"/>
  <c r="C82" i="1"/>
  <c r="C104" i="1" s="1"/>
  <c r="D82" i="1"/>
  <c r="D104" i="1" s="1"/>
  <c r="B83" i="1"/>
  <c r="B105" i="1" s="1"/>
  <c r="C83" i="1"/>
  <c r="C105" i="1" s="1"/>
  <c r="D83" i="1"/>
  <c r="D105" i="1" s="1"/>
  <c r="B84" i="1"/>
  <c r="B106" i="1" s="1"/>
  <c r="C84" i="1"/>
  <c r="C106" i="1" s="1"/>
  <c r="D84" i="1"/>
  <c r="D106" i="1" s="1"/>
  <c r="B85" i="1"/>
  <c r="B107" i="1" s="1"/>
  <c r="C85" i="1"/>
  <c r="C107" i="1" s="1"/>
  <c r="D85" i="1"/>
  <c r="D107" i="1" s="1"/>
  <c r="B86" i="1"/>
  <c r="B108" i="1" s="1"/>
  <c r="C86" i="1"/>
  <c r="C108" i="1" s="1"/>
  <c r="D86" i="1"/>
  <c r="D108" i="1" s="1"/>
  <c r="B87" i="1"/>
  <c r="B109" i="1" s="1"/>
  <c r="C87" i="1"/>
  <c r="C109" i="1" s="1"/>
  <c r="D87" i="1"/>
  <c r="D109" i="1" s="1"/>
  <c r="B88" i="1"/>
  <c r="B110" i="1" s="1"/>
  <c r="C88" i="1"/>
  <c r="C110" i="1" s="1"/>
  <c r="D88" i="1"/>
  <c r="D110" i="1" s="1"/>
  <c r="B89" i="1"/>
  <c r="B111" i="1" s="1"/>
  <c r="C89" i="1"/>
  <c r="C111" i="1" s="1"/>
  <c r="D89" i="1"/>
  <c r="D111" i="1" s="1"/>
  <c r="B90" i="1"/>
  <c r="B112" i="1" s="1"/>
  <c r="C90" i="1"/>
  <c r="C112" i="1" s="1"/>
  <c r="D90" i="1"/>
  <c r="D112" i="1" s="1"/>
  <c r="B91" i="1"/>
  <c r="B113" i="1" s="1"/>
  <c r="C91" i="1"/>
  <c r="C113" i="1" s="1"/>
  <c r="D91" i="1"/>
  <c r="D113" i="1" s="1"/>
  <c r="B92" i="1"/>
  <c r="B114" i="1" s="1"/>
  <c r="C92" i="1"/>
  <c r="C114" i="1" s="1"/>
  <c r="D92" i="1"/>
  <c r="D114" i="1" s="1"/>
  <c r="B93" i="1"/>
  <c r="B115" i="1" s="1"/>
  <c r="C93" i="1"/>
  <c r="C115" i="1" s="1"/>
  <c r="D93" i="1"/>
  <c r="D115" i="1" s="1"/>
  <c r="B94" i="1"/>
  <c r="B116" i="1" s="1"/>
  <c r="C94" i="1"/>
  <c r="C116" i="1" s="1"/>
  <c r="D94" i="1"/>
  <c r="D116" i="1" s="1"/>
  <c r="B36" i="8"/>
  <c r="B41" i="4"/>
  <c r="S29" i="1"/>
  <c r="S30" i="1"/>
  <c r="S31" i="1"/>
  <c r="S32" i="1"/>
  <c r="S33" i="1"/>
  <c r="S34" i="1"/>
  <c r="S35" i="1"/>
  <c r="S37" i="1"/>
  <c r="S38" i="1"/>
  <c r="S39" i="1"/>
  <c r="S40" i="1"/>
  <c r="S41" i="1"/>
  <c r="S42" i="1"/>
  <c r="S43" i="1"/>
  <c r="S44" i="1"/>
  <c r="S46" i="1"/>
  <c r="I36" i="1"/>
  <c r="S36" i="1" s="1"/>
  <c r="I45" i="1"/>
  <c r="P45" i="1" s="1"/>
  <c r="P29" i="1"/>
  <c r="P30" i="1"/>
  <c r="P31" i="1"/>
  <c r="P32" i="1"/>
  <c r="P33" i="1"/>
  <c r="P34" i="1"/>
  <c r="P35" i="1"/>
  <c r="P37" i="1"/>
  <c r="P38" i="1"/>
  <c r="P39" i="1"/>
  <c r="P40" i="1"/>
  <c r="P41" i="1"/>
  <c r="P42" i="1"/>
  <c r="P43" i="1"/>
  <c r="P44" i="1"/>
  <c r="P46" i="1"/>
  <c r="P28" i="1"/>
  <c r="G98" i="1" l="1"/>
  <c r="Q116" i="1"/>
  <c r="Q105" i="1"/>
  <c r="Q114" i="1"/>
  <c r="Q111" i="1"/>
  <c r="T111" i="1"/>
  <c r="U111" i="1" s="1"/>
  <c r="T105" i="1"/>
  <c r="U105" i="1" s="1"/>
  <c r="Q102" i="1"/>
  <c r="T99" i="1"/>
  <c r="U99" i="1" s="1"/>
  <c r="T115" i="1"/>
  <c r="U115" i="1" s="1"/>
  <c r="W115" i="1" s="1"/>
  <c r="T114" i="1"/>
  <c r="U114" i="1" s="1"/>
  <c r="W114" i="1" s="1"/>
  <c r="T109" i="1"/>
  <c r="U109" i="1" s="1"/>
  <c r="W109" i="1" s="1"/>
  <c r="T100" i="1"/>
  <c r="U100" i="1" s="1"/>
  <c r="T116" i="1"/>
  <c r="U116" i="1" s="1"/>
  <c r="W116" i="1" s="1"/>
  <c r="T98" i="1"/>
  <c r="U98" i="1" s="1"/>
  <c r="W98" i="1" s="1"/>
  <c r="Q112" i="1"/>
  <c r="Q104" i="1"/>
  <c r="Q100" i="1"/>
  <c r="Q109" i="1"/>
  <c r="Q106" i="1"/>
  <c r="Q103" i="1"/>
  <c r="Q115" i="1"/>
  <c r="R115" i="1" s="1"/>
  <c r="T103" i="1"/>
  <c r="U103" i="1" s="1"/>
  <c r="Q117" i="1"/>
  <c r="T101" i="1"/>
  <c r="U101" i="1" s="1"/>
  <c r="T110" i="1"/>
  <c r="U110" i="1" s="1"/>
  <c r="T104" i="1"/>
  <c r="U104" i="1" s="1"/>
  <c r="T106" i="1"/>
  <c r="U106" i="1" s="1"/>
  <c r="W106" i="1" s="1"/>
  <c r="T112" i="1"/>
  <c r="U112" i="1" s="1"/>
  <c r="W112" i="1" s="1"/>
  <c r="Q108" i="1"/>
  <c r="Q101" i="1"/>
  <c r="Q113" i="1"/>
  <c r="Q110" i="1"/>
  <c r="T107" i="1"/>
  <c r="U107" i="1" s="1"/>
  <c r="T117" i="1"/>
  <c r="U117" i="1" s="1"/>
  <c r="W117" i="1" s="1"/>
  <c r="T102" i="1"/>
  <c r="U102" i="1" s="1"/>
  <c r="W102" i="1" s="1"/>
  <c r="T113" i="1"/>
  <c r="U113" i="1" s="1"/>
  <c r="T108" i="1"/>
  <c r="U108" i="1" s="1"/>
  <c r="Q98" i="1"/>
  <c r="J12" i="23"/>
  <c r="J14" i="23" s="1"/>
  <c r="J17" i="23"/>
  <c r="B37" i="23"/>
  <c r="B47" i="23"/>
  <c r="B48" i="23" s="1"/>
  <c r="G103" i="1"/>
  <c r="E108" i="1"/>
  <c r="G108" i="1" s="1"/>
  <c r="E104" i="1"/>
  <c r="G104" i="1" s="1"/>
  <c r="E100" i="1"/>
  <c r="G100" i="1" s="1"/>
  <c r="E109" i="1"/>
  <c r="G109" i="1" s="1"/>
  <c r="E105" i="1"/>
  <c r="G105" i="1" s="1"/>
  <c r="E115" i="1"/>
  <c r="G115" i="1" s="1"/>
  <c r="E111" i="1"/>
  <c r="G111" i="1" s="1"/>
  <c r="E107" i="1"/>
  <c r="G107" i="1" s="1"/>
  <c r="E99" i="1"/>
  <c r="G99" i="1" s="1"/>
  <c r="E114" i="1"/>
  <c r="G114" i="1" s="1"/>
  <c r="E106" i="1"/>
  <c r="G106" i="1" s="1"/>
  <c r="E113" i="1"/>
  <c r="G113" i="1" s="1"/>
  <c r="E101" i="1"/>
  <c r="G101" i="1" s="1"/>
  <c r="E116" i="1"/>
  <c r="G116" i="1" s="1"/>
  <c r="E112" i="1"/>
  <c r="G112" i="1" s="1"/>
  <c r="E110" i="1"/>
  <c r="G110" i="1" s="1"/>
  <c r="E102" i="1"/>
  <c r="G102" i="1" s="1"/>
  <c r="S45" i="1"/>
  <c r="P36" i="1"/>
  <c r="R100" i="1" l="1"/>
  <c r="H100" i="1" s="1"/>
  <c r="R105" i="1"/>
  <c r="H105" i="1" s="1"/>
  <c r="W105" i="1"/>
  <c r="R117" i="1"/>
  <c r="V117" i="1" s="1"/>
  <c r="R106" i="1"/>
  <c r="V106" i="1" s="1"/>
  <c r="R112" i="1"/>
  <c r="R102" i="1"/>
  <c r="V102" i="1" s="1"/>
  <c r="R108" i="1"/>
  <c r="H108" i="1" s="1"/>
  <c r="W108" i="1"/>
  <c r="R107" i="1"/>
  <c r="W107" i="1"/>
  <c r="W104" i="1"/>
  <c r="W103" i="1"/>
  <c r="R109" i="1"/>
  <c r="H109" i="1" s="1"/>
  <c r="R114" i="1"/>
  <c r="H114" i="1" s="1"/>
  <c r="W113" i="1"/>
  <c r="R113" i="1"/>
  <c r="V113" i="1" s="1"/>
  <c r="W110" i="1"/>
  <c r="R110" i="1"/>
  <c r="H110" i="1" s="1"/>
  <c r="R98" i="1"/>
  <c r="V98" i="1" s="1"/>
  <c r="W101" i="1"/>
  <c r="R101" i="1"/>
  <c r="H101" i="1" s="1"/>
  <c r="W100" i="1"/>
  <c r="V100" i="1"/>
  <c r="R99" i="1"/>
  <c r="H99" i="1" s="1"/>
  <c r="W99" i="1"/>
  <c r="W111" i="1"/>
  <c r="R111" i="1"/>
  <c r="V111" i="1" s="1"/>
  <c r="R116" i="1"/>
  <c r="H116" i="1" s="1"/>
  <c r="R103" i="1"/>
  <c r="V103" i="1" s="1"/>
  <c r="R104" i="1"/>
  <c r="V104" i="1" s="1"/>
  <c r="V105" i="1"/>
  <c r="V115" i="1"/>
  <c r="H115" i="1"/>
  <c r="V107" i="1"/>
  <c r="H107" i="1"/>
  <c r="V110" i="1"/>
  <c r="V112" i="1"/>
  <c r="H112" i="1"/>
  <c r="H102" i="1"/>
  <c r="V109" i="1"/>
  <c r="V114" i="1"/>
  <c r="J18" i="23"/>
  <c r="B42" i="23"/>
  <c r="B44" i="23" s="1"/>
  <c r="B47" i="1"/>
  <c r="O29" i="1"/>
  <c r="O30" i="1"/>
  <c r="O31" i="1"/>
  <c r="O32" i="1"/>
  <c r="O33" i="1"/>
  <c r="O34" i="1"/>
  <c r="O35" i="1"/>
  <c r="O36" i="1"/>
  <c r="R36" i="1" s="1"/>
  <c r="T36" i="1" s="1"/>
  <c r="O37" i="1"/>
  <c r="O38" i="1"/>
  <c r="O39" i="1"/>
  <c r="O40" i="1"/>
  <c r="O41" i="1"/>
  <c r="O42" i="1"/>
  <c r="O43" i="1"/>
  <c r="O44" i="1"/>
  <c r="O45" i="1"/>
  <c r="O46" i="1"/>
  <c r="O28" i="1"/>
  <c r="B41" i="8"/>
  <c r="C47" i="1"/>
  <c r="D47" i="1"/>
  <c r="V99" i="1" l="1"/>
  <c r="H117" i="1"/>
  <c r="V108" i="1"/>
  <c r="H111" i="1"/>
  <c r="V116" i="1"/>
  <c r="H106" i="1"/>
  <c r="H103" i="1"/>
  <c r="H113" i="1"/>
  <c r="H104" i="1"/>
  <c r="H98" i="1"/>
  <c r="V101" i="1"/>
  <c r="B53" i="23"/>
  <c r="J20" i="23" s="1"/>
  <c r="B54" i="23"/>
  <c r="B52" i="23"/>
  <c r="J19" i="23" s="1"/>
  <c r="J11" i="23"/>
  <c r="G40" i="1"/>
  <c r="G42" i="1"/>
  <c r="R46" i="1"/>
  <c r="T46" i="1" s="1"/>
  <c r="Q46" i="1"/>
  <c r="R42" i="1"/>
  <c r="T42" i="1" s="1"/>
  <c r="Q42" i="1"/>
  <c r="R38" i="1"/>
  <c r="T38" i="1" s="1"/>
  <c r="Q38" i="1"/>
  <c r="R34" i="1"/>
  <c r="T34" i="1" s="1"/>
  <c r="Q34" i="1"/>
  <c r="R30" i="1"/>
  <c r="T30" i="1" s="1"/>
  <c r="Q30" i="1"/>
  <c r="R28" i="1"/>
  <c r="T28" i="1" s="1"/>
  <c r="O47" i="1"/>
  <c r="Q28" i="1"/>
  <c r="R43" i="1"/>
  <c r="T43" i="1" s="1"/>
  <c r="Q43" i="1"/>
  <c r="Q45" i="1"/>
  <c r="R45" i="1"/>
  <c r="T45" i="1" s="1"/>
  <c r="R41" i="1"/>
  <c r="T41" i="1" s="1"/>
  <c r="Q41" i="1"/>
  <c r="R37" i="1"/>
  <c r="T37" i="1" s="1"/>
  <c r="Q37" i="1"/>
  <c r="R33" i="1"/>
  <c r="T33" i="1" s="1"/>
  <c r="Q33" i="1"/>
  <c r="R29" i="1"/>
  <c r="T29" i="1" s="1"/>
  <c r="Q29" i="1"/>
  <c r="R44" i="1"/>
  <c r="T44" i="1" s="1"/>
  <c r="Q44" i="1"/>
  <c r="R40" i="1"/>
  <c r="T40" i="1" s="1"/>
  <c r="Q40" i="1"/>
  <c r="R32" i="1"/>
  <c r="T32" i="1" s="1"/>
  <c r="Q32" i="1"/>
  <c r="R39" i="1"/>
  <c r="T39" i="1" s="1"/>
  <c r="Q39" i="1"/>
  <c r="R35" i="1"/>
  <c r="T35" i="1" s="1"/>
  <c r="Q35" i="1"/>
  <c r="R31" i="1"/>
  <c r="T31" i="1" s="1"/>
  <c r="Q31" i="1"/>
  <c r="Q36" i="1"/>
  <c r="G45" i="1"/>
  <c r="G32" i="1"/>
  <c r="B40" i="20"/>
  <c r="B41" i="20" s="1"/>
  <c r="B43" i="20"/>
  <c r="B38" i="20"/>
  <c r="B37" i="20"/>
  <c r="B36" i="20"/>
  <c r="B35" i="20"/>
  <c r="B45" i="19"/>
  <c r="B43" i="19"/>
  <c r="B38" i="19"/>
  <c r="B36" i="19"/>
  <c r="B35" i="19"/>
  <c r="B43" i="18"/>
  <c r="B38" i="18"/>
  <c r="B36" i="18"/>
  <c r="B35" i="18"/>
  <c r="B45" i="18" s="1"/>
  <c r="B43" i="17"/>
  <c r="B41" i="17"/>
  <c r="B38" i="17"/>
  <c r="B36" i="17"/>
  <c r="B35" i="17"/>
  <c r="B45" i="17" s="1"/>
  <c r="B45" i="16"/>
  <c r="B46" i="16"/>
  <c r="J16" i="16" s="1"/>
  <c r="B43" i="16"/>
  <c r="B41" i="16"/>
  <c r="B40" i="16"/>
  <c r="B38" i="16"/>
  <c r="B36" i="16"/>
  <c r="B35" i="16"/>
  <c r="B37" i="18" l="1"/>
  <c r="B37" i="17"/>
  <c r="T47" i="1"/>
  <c r="S48" i="1" s="1"/>
  <c r="Q47" i="1"/>
  <c r="P48" i="1" s="1"/>
  <c r="G47" i="1"/>
  <c r="B37" i="19" l="1"/>
  <c r="B47" i="16"/>
  <c r="B48" i="16" s="1"/>
  <c r="J18" i="16" s="1"/>
  <c r="B37" i="16"/>
  <c r="B42" i="16" l="1"/>
  <c r="B44" i="16" s="1"/>
  <c r="J11" i="16" s="1"/>
  <c r="B52" i="16" l="1"/>
  <c r="J19" i="16" s="1"/>
  <c r="B54" i="16"/>
  <c r="B53" i="16"/>
  <c r="J20" i="16" s="1"/>
  <c r="J17" i="11" l="1"/>
  <c r="J15" i="11"/>
  <c r="J12" i="11"/>
  <c r="J10" i="11"/>
  <c r="J9" i="11"/>
  <c r="J8" i="11"/>
  <c r="J7" i="11"/>
  <c r="J6" i="11"/>
  <c r="J5" i="11"/>
  <c r="J4" i="11"/>
  <c r="J2" i="11"/>
  <c r="J1" i="11"/>
  <c r="B36" i="15"/>
  <c r="B35" i="15"/>
  <c r="B45" i="15" s="1"/>
  <c r="B40" i="15"/>
  <c r="B46" i="15"/>
  <c r="J16" i="15" s="1"/>
  <c r="B43" i="15"/>
  <c r="B41" i="15"/>
  <c r="B38" i="15"/>
  <c r="B43" i="4"/>
  <c r="B46" i="14"/>
  <c r="J16" i="14" s="1"/>
  <c r="B43" i="14"/>
  <c r="B41" i="14"/>
  <c r="B38" i="14"/>
  <c r="B37" i="14"/>
  <c r="B36" i="14"/>
  <c r="B35" i="14"/>
  <c r="B46" i="13"/>
  <c r="B43" i="13"/>
  <c r="B41" i="13"/>
  <c r="B38" i="13"/>
  <c r="B37" i="13"/>
  <c r="B36" i="13"/>
  <c r="B35" i="13"/>
  <c r="D17" i="1"/>
  <c r="B46" i="12"/>
  <c r="J16" i="12" s="1"/>
  <c r="B37" i="12"/>
  <c r="B41" i="12"/>
  <c r="B38" i="12"/>
  <c r="B36" i="12"/>
  <c r="B46" i="11"/>
  <c r="B47" i="11" s="1"/>
  <c r="B43" i="11"/>
  <c r="B41" i="11"/>
  <c r="B40" i="11"/>
  <c r="B38" i="11"/>
  <c r="B37" i="11"/>
  <c r="B36" i="11"/>
  <c r="B35" i="11"/>
  <c r="E21" i="1"/>
  <c r="B46" i="20" s="1"/>
  <c r="J16" i="20" s="1"/>
  <c r="B46" i="10"/>
  <c r="J16" i="10" s="1"/>
  <c r="B43" i="10"/>
  <c r="B41" i="10"/>
  <c r="B40" i="10"/>
  <c r="B38" i="10"/>
  <c r="B36" i="10"/>
  <c r="B35" i="10"/>
  <c r="B37" i="10" s="1"/>
  <c r="B43" i="9"/>
  <c r="B46" i="9"/>
  <c r="J16" i="9" s="1"/>
  <c r="B41" i="9"/>
  <c r="B38" i="9"/>
  <c r="B36" i="9"/>
  <c r="B35" i="9"/>
  <c r="B37" i="9" s="1"/>
  <c r="B43" i="3"/>
  <c r="B41" i="3"/>
  <c r="B46" i="8"/>
  <c r="J16" i="8" s="1"/>
  <c r="B43" i="8"/>
  <c r="B40" i="8"/>
  <c r="B38" i="8"/>
  <c r="B35" i="8"/>
  <c r="B45" i="8" s="1"/>
  <c r="B37" i="8" s="1"/>
  <c r="B40" i="2"/>
  <c r="B41" i="2"/>
  <c r="B43" i="2"/>
  <c r="B40" i="6"/>
  <c r="B41" i="6"/>
  <c r="B43" i="6"/>
  <c r="B40" i="7"/>
  <c r="B41" i="7"/>
  <c r="B43" i="7"/>
  <c r="B43" i="5"/>
  <c r="B41" i="5"/>
  <c r="B40" i="5"/>
  <c r="B37" i="7"/>
  <c r="B35" i="7"/>
  <c r="B46" i="7"/>
  <c r="J16" i="7" s="1"/>
  <c r="B38" i="7"/>
  <c r="B36" i="7"/>
  <c r="B46" i="6"/>
  <c r="J16" i="6" s="1"/>
  <c r="B38" i="6"/>
  <c r="B36" i="6"/>
  <c r="B35" i="6"/>
  <c r="B37" i="6" s="1"/>
  <c r="B40" i="9" l="1"/>
  <c r="B40" i="12"/>
  <c r="B47" i="13"/>
  <c r="B48" i="13" s="1"/>
  <c r="J18" i="13" s="1"/>
  <c r="J16" i="13"/>
  <c r="B37" i="15"/>
  <c r="B47" i="15"/>
  <c r="B48" i="15" s="1"/>
  <c r="J18" i="15" s="1"/>
  <c r="B47" i="8"/>
  <c r="B47" i="12"/>
  <c r="B47" i="20"/>
  <c r="B48" i="20" s="1"/>
  <c r="J18" i="20" s="1"/>
  <c r="B40" i="13"/>
  <c r="B40" i="3"/>
  <c r="B40" i="14"/>
  <c r="B47" i="6"/>
  <c r="J16" i="11"/>
  <c r="B47" i="9"/>
  <c r="B47" i="10"/>
  <c r="B47" i="7"/>
  <c r="B47" i="14"/>
  <c r="B48" i="14" s="1"/>
  <c r="J18" i="14" s="1"/>
  <c r="B42" i="15" l="1"/>
  <c r="B44" i="15" s="1"/>
  <c r="J11" i="15" s="1"/>
  <c r="B42" i="20"/>
  <c r="B44" i="20" s="1"/>
  <c r="J11" i="20" s="1"/>
  <c r="B42" i="14"/>
  <c r="B44" i="14" s="1"/>
  <c r="J11" i="14" s="1"/>
  <c r="B42" i="13"/>
  <c r="B44" i="13" s="1"/>
  <c r="J11" i="13" s="1"/>
  <c r="B53" i="15" l="1"/>
  <c r="J20" i="15" s="1"/>
  <c r="B54" i="15"/>
  <c r="B52" i="15"/>
  <c r="J19" i="15" s="1"/>
  <c r="B52" i="20"/>
  <c r="J19" i="20" s="1"/>
  <c r="B53" i="20"/>
  <c r="J20" i="20" s="1"/>
  <c r="B54" i="20"/>
  <c r="B53" i="13"/>
  <c r="J20" i="13" s="1"/>
  <c r="B54" i="14"/>
  <c r="B54" i="13"/>
  <c r="B53" i="14"/>
  <c r="J20" i="14" s="1"/>
  <c r="B52" i="14"/>
  <c r="J19" i="14" s="1"/>
  <c r="B52" i="13"/>
  <c r="J19" i="13" s="1"/>
  <c r="B46" i="5"/>
  <c r="J16" i="5" s="1"/>
  <c r="B38" i="5"/>
  <c r="B36" i="5"/>
  <c r="B35" i="5"/>
  <c r="B45" i="5" s="1"/>
  <c r="B38" i="4"/>
  <c r="B36" i="4"/>
  <c r="B35" i="4"/>
  <c r="B46" i="3"/>
  <c r="J16" i="3" s="1"/>
  <c r="B38" i="3"/>
  <c r="B36" i="3"/>
  <c r="B35" i="3"/>
  <c r="B38" i="2"/>
  <c r="B36" i="2"/>
  <c r="B35" i="2"/>
  <c r="B46" i="2"/>
  <c r="J16" i="2" s="1"/>
  <c r="E19" i="1"/>
  <c r="D19" i="1"/>
  <c r="D20" i="1"/>
  <c r="B5" i="1"/>
  <c r="B37" i="5" l="1"/>
  <c r="B46" i="19"/>
  <c r="J16" i="19" s="1"/>
  <c r="B46" i="18"/>
  <c r="J16" i="18" s="1"/>
  <c r="B39" i="20"/>
  <c r="J13" i="20" s="1"/>
  <c r="J14" i="20" s="1"/>
  <c r="B39" i="18"/>
  <c r="J13" i="18" s="1"/>
  <c r="J14" i="18" s="1"/>
  <c r="B39" i="19"/>
  <c r="J13" i="19" s="1"/>
  <c r="J14" i="19" s="1"/>
  <c r="B39" i="16"/>
  <c r="J13" i="16" s="1"/>
  <c r="J14" i="16" s="1"/>
  <c r="B39" i="17"/>
  <c r="J13" i="17" s="1"/>
  <c r="J14" i="17" s="1"/>
  <c r="B39" i="14"/>
  <c r="J13" i="14" s="1"/>
  <c r="J14" i="14" s="1"/>
  <c r="B39" i="15"/>
  <c r="J13" i="15" s="1"/>
  <c r="J14" i="15" s="1"/>
  <c r="B39" i="13"/>
  <c r="J13" i="13" s="1"/>
  <c r="J14" i="13" s="1"/>
  <c r="E20" i="1"/>
  <c r="B40" i="17"/>
  <c r="B40" i="4"/>
  <c r="B40" i="19"/>
  <c r="B41" i="19" s="1"/>
  <c r="B40" i="18"/>
  <c r="B41" i="18" s="1"/>
  <c r="B39" i="5"/>
  <c r="J13" i="5" s="1"/>
  <c r="J14" i="5" s="1"/>
  <c r="B39" i="3"/>
  <c r="J13" i="3" s="1"/>
  <c r="J14" i="3" s="1"/>
  <c r="B47" i="2"/>
  <c r="B48" i="2" s="1"/>
  <c r="J18" i="2" s="1"/>
  <c r="B47" i="5"/>
  <c r="B48" i="5" s="1"/>
  <c r="J18" i="5" s="1"/>
  <c r="B39" i="4"/>
  <c r="J13" i="4" s="1"/>
  <c r="J14" i="4" s="1"/>
  <c r="B48" i="11"/>
  <c r="B48" i="9"/>
  <c r="J18" i="9" s="1"/>
  <c r="B48" i="10"/>
  <c r="J18" i="10" s="1"/>
  <c r="B39" i="6"/>
  <c r="J13" i="6" s="1"/>
  <c r="J14" i="6" s="1"/>
  <c r="B39" i="7"/>
  <c r="J13" i="7" s="1"/>
  <c r="J14" i="7" s="1"/>
  <c r="B39" i="12"/>
  <c r="J13" i="12" s="1"/>
  <c r="J14" i="12" s="1"/>
  <c r="B39" i="11"/>
  <c r="J13" i="11" s="1"/>
  <c r="J14" i="11" s="1"/>
  <c r="B39" i="8"/>
  <c r="J13" i="8" s="1"/>
  <c r="J14" i="8" s="1"/>
  <c r="B39" i="9"/>
  <c r="J13" i="9" s="1"/>
  <c r="J14" i="9" s="1"/>
  <c r="B39" i="10"/>
  <c r="J13" i="10" s="1"/>
  <c r="J14" i="10" s="1"/>
  <c r="B45" i="3"/>
  <c r="B45" i="2"/>
  <c r="B48" i="6"/>
  <c r="J18" i="6" s="1"/>
  <c r="B48" i="8"/>
  <c r="J18" i="8" s="1"/>
  <c r="B48" i="7"/>
  <c r="J18" i="7" s="1"/>
  <c r="B45" i="4"/>
  <c r="B39" i="2"/>
  <c r="J13" i="2" s="1"/>
  <c r="J14" i="2" s="1"/>
  <c r="B37" i="2" l="1"/>
  <c r="B37" i="3"/>
  <c r="B47" i="3"/>
  <c r="B48" i="3" s="1"/>
  <c r="J18" i="3" s="1"/>
  <c r="B46" i="17"/>
  <c r="J16" i="17" s="1"/>
  <c r="B46" i="4"/>
  <c r="J16" i="4" s="1"/>
  <c r="B47" i="18"/>
  <c r="B47" i="19"/>
  <c r="B48" i="19" s="1"/>
  <c r="J18" i="19" s="1"/>
  <c r="B42" i="2"/>
  <c r="B44" i="2" s="1"/>
  <c r="J11" i="2" s="1"/>
  <c r="B42" i="11"/>
  <c r="B44" i="11" s="1"/>
  <c r="J11" i="11" s="1"/>
  <c r="J18" i="11"/>
  <c r="B42" i="5"/>
  <c r="B44" i="5" s="1"/>
  <c r="J11" i="5" s="1"/>
  <c r="B42" i="6"/>
  <c r="B44" i="6" s="1"/>
  <c r="J11" i="6" s="1"/>
  <c r="B42" i="7"/>
  <c r="B44" i="7" s="1"/>
  <c r="J11" i="7" s="1"/>
  <c r="B42" i="10"/>
  <c r="B44" i="10" s="1"/>
  <c r="J11" i="10" s="1"/>
  <c r="B42" i="9"/>
  <c r="B44" i="9" s="1"/>
  <c r="B37" i="4"/>
  <c r="B42" i="8"/>
  <c r="B44" i="8" s="1"/>
  <c r="J11" i="8" s="1"/>
  <c r="B48" i="12"/>
  <c r="J18" i="12" s="1"/>
  <c r="B48" i="18" l="1"/>
  <c r="J18" i="18" s="1"/>
  <c r="B53" i="9"/>
  <c r="J20" i="9" s="1"/>
  <c r="J11" i="9"/>
  <c r="B54" i="10"/>
  <c r="B54" i="2"/>
  <c r="B53" i="11"/>
  <c r="J20" i="11" s="1"/>
  <c r="B53" i="7"/>
  <c r="J20" i="7" s="1"/>
  <c r="B54" i="9"/>
  <c r="B52" i="5"/>
  <c r="J19" i="5" s="1"/>
  <c r="B54" i="5"/>
  <c r="B42" i="19"/>
  <c r="B44" i="19" s="1"/>
  <c r="J11" i="19" s="1"/>
  <c r="B47" i="4"/>
  <c r="B47" i="17"/>
  <c r="B48" i="17" s="1"/>
  <c r="J18" i="17" s="1"/>
  <c r="B42" i="18"/>
  <c r="B44" i="18" s="1"/>
  <c r="J11" i="18" s="1"/>
  <c r="B53" i="2"/>
  <c r="J20" i="2" s="1"/>
  <c r="B52" i="9"/>
  <c r="J19" i="9" s="1"/>
  <c r="B54" i="7"/>
  <c r="B52" i="2"/>
  <c r="J19" i="2" s="1"/>
  <c r="B53" i="5"/>
  <c r="J20" i="5" s="1"/>
  <c r="B52" i="7"/>
  <c r="J19" i="7" s="1"/>
  <c r="B52" i="11"/>
  <c r="J19" i="11" s="1"/>
  <c r="B54" i="6"/>
  <c r="B53" i="6"/>
  <c r="J20" i="6" s="1"/>
  <c r="B42" i="3"/>
  <c r="B44" i="3" s="1"/>
  <c r="J11" i="3" s="1"/>
  <c r="B42" i="12"/>
  <c r="B44" i="12" s="1"/>
  <c r="J11" i="12" s="1"/>
  <c r="B53" i="10"/>
  <c r="J20" i="10" s="1"/>
  <c r="B52" i="10"/>
  <c r="J19" i="10" s="1"/>
  <c r="B52" i="6"/>
  <c r="J19" i="6" s="1"/>
  <c r="B54" i="11"/>
  <c r="B54" i="8"/>
  <c r="B52" i="8"/>
  <c r="J19" i="8" s="1"/>
  <c r="B53" i="8"/>
  <c r="J20" i="8" s="1"/>
  <c r="B52" i="12" l="1"/>
  <c r="J19" i="12" s="1"/>
  <c r="B48" i="4"/>
  <c r="B52" i="3"/>
  <c r="J19" i="3" s="1"/>
  <c r="B42" i="17"/>
  <c r="B44" i="17" s="1"/>
  <c r="J11" i="17" s="1"/>
  <c r="B52" i="18"/>
  <c r="J19" i="18" s="1"/>
  <c r="B54" i="18"/>
  <c r="B53" i="18"/>
  <c r="J20" i="18" s="1"/>
  <c r="B54" i="19"/>
  <c r="B52" i="19"/>
  <c r="J19" i="19" s="1"/>
  <c r="B53" i="19"/>
  <c r="J20" i="19" s="1"/>
  <c r="B53" i="3"/>
  <c r="J20" i="3" s="1"/>
  <c r="B54" i="3"/>
  <c r="B53" i="12"/>
  <c r="J20" i="12" s="1"/>
  <c r="B54" i="12"/>
  <c r="B42" i="4" l="1"/>
  <c r="B44" i="4" s="1"/>
  <c r="J11" i="4" s="1"/>
  <c r="J18" i="4"/>
  <c r="B52" i="17"/>
  <c r="J19" i="17" s="1"/>
  <c r="B54" i="17"/>
  <c r="B53" i="17"/>
  <c r="J20" i="17" s="1"/>
  <c r="B51" i="4" l="1"/>
  <c r="B53" i="4"/>
  <c r="J20" i="4" s="1"/>
  <c r="B52" i="4"/>
  <c r="J19" i="4" s="1"/>
</calcChain>
</file>

<file path=xl/sharedStrings.xml><?xml version="1.0" encoding="utf-8"?>
<sst xmlns="http://schemas.openxmlformats.org/spreadsheetml/2006/main" count="2171" uniqueCount="189">
  <si>
    <t>crate</t>
  </si>
  <si>
    <t>mrate</t>
  </si>
  <si>
    <t>mult buffer</t>
  </si>
  <si>
    <t>INFLATION</t>
  </si>
  <si>
    <t>POPULATION</t>
  </si>
  <si>
    <t>EFFICIENCY</t>
  </si>
  <si>
    <t>General Assumptions</t>
  </si>
  <si>
    <t>Sector Assumptions</t>
  </si>
  <si>
    <t>Value</t>
  </si>
  <si>
    <t>Explanation</t>
  </si>
  <si>
    <t>5% interest rate</t>
  </si>
  <si>
    <t>10% cost of equity</t>
  </si>
  <si>
    <t>Assuming the current 2-year estimation of downside covering 40% (0.52 sigma), then 95% (1.96 sigma) of the time, the investigated entity is still profitable after interest.</t>
  </si>
  <si>
    <t>3% inflation rate</t>
  </si>
  <si>
    <t>Genetic economic growth due to population growth</t>
  </si>
  <si>
    <t>Norminal</t>
  </si>
  <si>
    <t>Normal growth = Inflation + Efficiency + Efficiency</t>
  </si>
  <si>
    <t>SECTOR</t>
  </si>
  <si>
    <t>EV</t>
  </si>
  <si>
    <t>software</t>
  </si>
  <si>
    <t>Near</t>
  </si>
  <si>
    <t>Consumer product</t>
  </si>
  <si>
    <t>rating</t>
  </si>
  <si>
    <t>Service</t>
  </si>
  <si>
    <t>Energy system</t>
  </si>
  <si>
    <t>solar</t>
  </si>
  <si>
    <t>microgrid</t>
  </si>
  <si>
    <t>Long-term</t>
  </si>
  <si>
    <t>Tech</t>
  </si>
  <si>
    <t>Health</t>
  </si>
  <si>
    <t>pharmacy</t>
  </si>
  <si>
    <t>GOOG</t>
  </si>
  <si>
    <t>Justification</t>
  </si>
  <si>
    <t>* Expanding market</t>
  </si>
  <si>
    <t>* Doubling current capacity in 25 years, then realising only 50% is required to maintain a net-zero fleet.</t>
  </si>
  <si>
    <t>Efficiency improvement (only assumed for mature sector)</t>
  </si>
  <si>
    <t>* 5X in the next 30 years</t>
  </si>
  <si>
    <t>EBIT</t>
  </si>
  <si>
    <t>asset</t>
  </si>
  <si>
    <t>equity</t>
  </si>
  <si>
    <t>million</t>
  </si>
  <si>
    <t>net income</t>
  </si>
  <si>
    <t>gross income</t>
  </si>
  <si>
    <t>revenue</t>
  </si>
  <si>
    <t>share</t>
  </si>
  <si>
    <t>debt</t>
  </si>
  <si>
    <t>dividend</t>
  </si>
  <si>
    <t>per share</t>
  </si>
  <si>
    <t>trailing</t>
  </si>
  <si>
    <t>forward - low</t>
  </si>
  <si>
    <t>next - high</t>
  </si>
  <si>
    <t>next - mid</t>
  </si>
  <si>
    <t>next - low</t>
  </si>
  <si>
    <t>forward - mid</t>
  </si>
  <si>
    <t>forward - high</t>
  </si>
  <si>
    <t>EPS</t>
  </si>
  <si>
    <t>Year 2023</t>
  </si>
  <si>
    <t>past 5 years</t>
  </si>
  <si>
    <t>next 5 years</t>
  </si>
  <si>
    <t>current</t>
  </si>
  <si>
    <t>PE in 10 years</t>
  </si>
  <si>
    <t>Growth in 10 years</t>
  </si>
  <si>
    <t>ROE</t>
  </si>
  <si>
    <t>leverage health</t>
  </si>
  <si>
    <t>yz estimates</t>
  </si>
  <si>
    <t>growth estimates</t>
  </si>
  <si>
    <t>analysis</t>
  </si>
  <si>
    <t>financials</t>
  </si>
  <si>
    <t>code</t>
  </si>
  <si>
    <t>value</t>
  </si>
  <si>
    <t>ROA - before interest</t>
  </si>
  <si>
    <t>downside potential</t>
  </si>
  <si>
    <t>current ROE</t>
  </si>
  <si>
    <t>current EBIT/asset</t>
  </si>
  <si>
    <t>normalised using next year estimates</t>
  </si>
  <si>
    <t>Check whether current leverage rate is sustainable (i.e. profitability if the downside is x times next EPS)</t>
  </si>
  <si>
    <t>growth - sector</t>
  </si>
  <si>
    <t>growth - market</t>
  </si>
  <si>
    <t>growth - average</t>
  </si>
  <si>
    <t>growth - revenue</t>
  </si>
  <si>
    <t>growth - profitability</t>
  </si>
  <si>
    <t>ROE in 10 years</t>
  </si>
  <si>
    <t>WACC</t>
  </si>
  <si>
    <t>current WACC</t>
  </si>
  <si>
    <t>price</t>
  </si>
  <si>
    <t>PE adjusted</t>
  </si>
  <si>
    <t>yz calculation</t>
  </si>
  <si>
    <t>medium</t>
  </si>
  <si>
    <t>low</t>
  </si>
  <si>
    <t>COST</t>
  </si>
  <si>
    <t>ON</t>
  </si>
  <si>
    <t>billion</t>
  </si>
  <si>
    <t>* mannually adjusted</t>
  </si>
  <si>
    <t>CRM</t>
  </si>
  <si>
    <t>next</t>
  </si>
  <si>
    <t>Code</t>
  </si>
  <si>
    <t>ESMG</t>
  </si>
  <si>
    <t>ESEV</t>
  </si>
  <si>
    <t>ESPV</t>
  </si>
  <si>
    <t>Rate</t>
  </si>
  <si>
    <t>HP</t>
  </si>
  <si>
    <t>MSFT</t>
  </si>
  <si>
    <t>high</t>
  </si>
  <si>
    <t>* average of current and a cap of 30%</t>
  </si>
  <si>
    <t>* capped at 30%</t>
  </si>
  <si>
    <t>AAPL</t>
  </si>
  <si>
    <t>* using ROE in 10 years for this case due to expected improvement in ROE</t>
  </si>
  <si>
    <t>ADBE</t>
  </si>
  <si>
    <t>ULTA</t>
  </si>
  <si>
    <t>KO</t>
  </si>
  <si>
    <t>PEP</t>
  </si>
  <si>
    <t>BKNG</t>
  </si>
  <si>
    <t>traditional</t>
  </si>
  <si>
    <t>evolving</t>
  </si>
  <si>
    <t>CPT</t>
  </si>
  <si>
    <t>CPE</t>
  </si>
  <si>
    <t>V</t>
  </si>
  <si>
    <t>PFE</t>
  </si>
  <si>
    <t>index</t>
  </si>
  <si>
    <t>i_cost</t>
  </si>
  <si>
    <t>i</t>
  </si>
  <si>
    <t>ii_low</t>
  </si>
  <si>
    <t>ii_med</t>
  </si>
  <si>
    <t>ii_high</t>
  </si>
  <si>
    <t>iii_low</t>
  </si>
  <si>
    <t>iii_med</t>
  </si>
  <si>
    <t>iii_high</t>
  </si>
  <si>
    <t>iv_rate</t>
  </si>
  <si>
    <t>iv_up</t>
  </si>
  <si>
    <t>iv_do</t>
  </si>
  <si>
    <t>iv_cap</t>
  </si>
  <si>
    <t>x_div</t>
  </si>
  <si>
    <t>x_rate</t>
  </si>
  <si>
    <t>x_roe</t>
  </si>
  <si>
    <t>per</t>
  </si>
  <si>
    <t>MA</t>
  </si>
  <si>
    <t>JNJ</t>
  </si>
  <si>
    <t>TSLA</t>
  </si>
  <si>
    <t>FSLR</t>
  </si>
  <si>
    <t>ENPH</t>
  </si>
  <si>
    <t>MCHP</t>
  </si>
  <si>
    <t>Optimisation results - average shortfall</t>
  </si>
  <si>
    <t>2024-11</t>
  </si>
  <si>
    <t>Price</t>
  </si>
  <si>
    <t>PE</t>
  </si>
  <si>
    <t>G-p</t>
  </si>
  <si>
    <t>G-f</t>
  </si>
  <si>
    <t>G-c</t>
  </si>
  <si>
    <t>G-n</t>
  </si>
  <si>
    <t>PE-regression</t>
  </si>
  <si>
    <t>errors</t>
  </si>
  <si>
    <t>Variance</t>
  </si>
  <si>
    <t>Standard</t>
  </si>
  <si>
    <t>PEG</t>
  </si>
  <si>
    <t>Reference</t>
  </si>
  <si>
    <t>PEG-regression</t>
  </si>
  <si>
    <t>TTM</t>
  </si>
  <si>
    <t>Friction loss</t>
  </si>
  <si>
    <t>Odds</t>
  </si>
  <si>
    <t>ud_min</t>
  </si>
  <si>
    <t>hd_max</t>
  </si>
  <si>
    <t>Scale 1</t>
  </si>
  <si>
    <t>Scale 2</t>
  </si>
  <si>
    <t>Scale 3</t>
  </si>
  <si>
    <t>Tolerance</t>
  </si>
  <si>
    <t>Scale Sum</t>
  </si>
  <si>
    <t>S-point</t>
  </si>
  <si>
    <t>o</t>
  </si>
  <si>
    <t>mid</t>
  </si>
  <si>
    <t>cd_min_50</t>
  </si>
  <si>
    <t>cd_max_50</t>
  </si>
  <si>
    <t>cd_min_80</t>
  </si>
  <si>
    <t>cd_max_80</t>
  </si>
  <si>
    <t>Scale 4</t>
  </si>
  <si>
    <t>Scale 5</t>
  </si>
  <si>
    <t>B-point - relaxed</t>
  </si>
  <si>
    <t>min</t>
  </si>
  <si>
    <t>B-point -adjusted for sufficient range</t>
  </si>
  <si>
    <t>20%-all</t>
  </si>
  <si>
    <t>max</t>
  </si>
  <si>
    <t>S-point - relax</t>
  </si>
  <si>
    <t>Minimum range</t>
  </si>
  <si>
    <t>AMZN</t>
  </si>
  <si>
    <t>Central</t>
  </si>
  <si>
    <t>central</t>
  </si>
  <si>
    <t>Ideal Range</t>
  </si>
  <si>
    <t>Current Range</t>
  </si>
  <si>
    <t>standard errors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</si>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</sst>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0.0%"/>
    <numFmt numFmtId="166" formatCode="_-&quot;$&quot;* #,##0_-;\-&quot;$&quot;* #,##0_-;_-&quot;$&quot;* &quot;-&quot;??_-;_-@_-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Calligraphy"/>
      <family val="4"/>
    </font>
    <font>
      <sz val="11"/>
      <color theme="1"/>
      <name val="Algerian"/>
      <family val="5"/>
    </font>
    <font>
      <sz val="11"/>
      <color rgb="FFFF0000"/>
      <name val="Lucida Calligraphy"/>
      <family val="4"/>
    </font>
    <font>
      <u/>
      <sz val="11"/>
      <color theme="1"/>
      <name val="Lucida Calligraphy"/>
      <family val="4"/>
    </font>
    <font>
      <sz val="8"/>
      <name val="Calibri"/>
      <family val="2"/>
      <scheme val="minor"/>
    </font>
    <font>
      <sz val="11"/>
      <color theme="0"/>
      <name val="Lucida Calligraphy"/>
      <family val="4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/>
    </xf>
    <xf numFmtId="166" fontId="2" fillId="0" borderId="0" xfId="2" applyNumberFormat="1" applyFont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2" fontId="2" fillId="2" borderId="0" xfId="3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9" fontId="2" fillId="5" borderId="0" xfId="3" applyFont="1" applyFill="1" applyAlignment="1">
      <alignment horizontal="center"/>
    </xf>
    <xf numFmtId="9" fontId="2" fillId="6" borderId="0" xfId="3" applyFont="1" applyFill="1" applyAlignment="1">
      <alignment horizontal="center"/>
    </xf>
    <xf numFmtId="2" fontId="2" fillId="7" borderId="0" xfId="3" applyNumberFormat="1" applyFont="1" applyFill="1" applyAlignment="1">
      <alignment horizontal="center"/>
    </xf>
    <xf numFmtId="9" fontId="4" fillId="5" borderId="0" xfId="3" applyFont="1" applyFill="1" applyAlignment="1">
      <alignment horizontal="center"/>
    </xf>
    <xf numFmtId="9" fontId="4" fillId="0" borderId="0" xfId="3" applyFont="1" applyAlignment="1">
      <alignment horizontal="center"/>
    </xf>
    <xf numFmtId="2" fontId="2" fillId="8" borderId="0" xfId="3" applyNumberFormat="1" applyFont="1" applyFill="1" applyAlignment="1">
      <alignment horizontal="center"/>
    </xf>
    <xf numFmtId="1" fontId="2" fillId="0" borderId="0" xfId="0" applyNumberFormat="1" applyFont="1"/>
    <xf numFmtId="2" fontId="2" fillId="9" borderId="0" xfId="3" applyNumberFormat="1" applyFont="1" applyFill="1" applyAlignment="1">
      <alignment horizontal="center"/>
    </xf>
    <xf numFmtId="2" fontId="2" fillId="10" borderId="0" xfId="3" applyNumberFormat="1" applyFont="1" applyFill="1" applyAlignment="1">
      <alignment horizontal="center"/>
    </xf>
    <xf numFmtId="9" fontId="2" fillId="0" borderId="0" xfId="3" applyFont="1"/>
    <xf numFmtId="0" fontId="2" fillId="11" borderId="0" xfId="0" applyFont="1" applyFill="1"/>
    <xf numFmtId="1" fontId="2" fillId="11" borderId="0" xfId="0" applyNumberFormat="1" applyFont="1" applyFill="1"/>
    <xf numFmtId="0" fontId="2" fillId="12" borderId="0" xfId="0" applyFont="1" applyFill="1"/>
    <xf numFmtId="9" fontId="2" fillId="6" borderId="0" xfId="0" applyNumberFormat="1" applyFont="1" applyFill="1" applyAlignment="1">
      <alignment horizontal="center"/>
    </xf>
    <xf numFmtId="1" fontId="2" fillId="13" borderId="0" xfId="0" applyNumberFormat="1" applyFont="1" applyFill="1"/>
    <xf numFmtId="2" fontId="2" fillId="0" borderId="0" xfId="0" applyNumberFormat="1" applyFont="1"/>
    <xf numFmtId="0" fontId="2" fillId="14" borderId="0" xfId="0" applyFont="1" applyFill="1"/>
    <xf numFmtId="0" fontId="2" fillId="9" borderId="0" xfId="0" applyFont="1" applyFill="1"/>
    <xf numFmtId="9" fontId="4" fillId="6" borderId="0" xfId="0" applyNumberFormat="1" applyFont="1" applyFill="1" applyAlignment="1">
      <alignment horizontal="center"/>
    </xf>
    <xf numFmtId="0" fontId="2" fillId="15" borderId="0" xfId="0" applyFont="1" applyFill="1"/>
    <xf numFmtId="1" fontId="2" fillId="15" borderId="0" xfId="0" applyNumberFormat="1" applyFont="1" applyFill="1"/>
    <xf numFmtId="9" fontId="2" fillId="15" borderId="0" xfId="3" applyFont="1" applyFill="1"/>
    <xf numFmtId="9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5" fillId="0" borderId="0" xfId="0" applyFont="1"/>
    <xf numFmtId="9" fontId="2" fillId="16" borderId="0" xfId="0" applyNumberFormat="1" applyFont="1" applyFill="1" applyAlignment="1">
      <alignment horizontal="center"/>
    </xf>
    <xf numFmtId="1" fontId="2" fillId="6" borderId="0" xfId="0" applyNumberFormat="1" applyFont="1" applyFill="1"/>
    <xf numFmtId="0" fontId="2" fillId="17" borderId="0" xfId="0" applyFont="1" applyFill="1"/>
    <xf numFmtId="1" fontId="2" fillId="18" borderId="0" xfId="0" applyNumberFormat="1" applyFont="1" applyFill="1"/>
    <xf numFmtId="0" fontId="7" fillId="0" borderId="0" xfId="0" applyFont="1"/>
    <xf numFmtId="1" fontId="2" fillId="19" borderId="0" xfId="0" applyNumberFormat="1" applyFont="1" applyFill="1"/>
    <xf numFmtId="1" fontId="2" fillId="20" borderId="0" xfId="0" applyNumberFormat="1" applyFont="1" applyFill="1"/>
    <xf numFmtId="1" fontId="2" fillId="17" borderId="0" xfId="0" applyNumberFormat="1" applyFont="1" applyFill="1"/>
    <xf numFmtId="0" fontId="2" fillId="21" borderId="0" xfId="0" applyFont="1" applyFill="1"/>
    <xf numFmtId="1" fontId="2" fillId="0" borderId="0" xfId="0" applyNumberFormat="1" applyFont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calcChain" Target="calcChain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Lucida Calligraphy" panose="03010101010101010101" pitchFamily="66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Assumptions!$I$28:$I$46</c:f>
              <c:numCache>
                <c:formatCode>0%</c:formatCode>
                <c:ptCount val="19"/>
                <c:pt idx="0">
                  <c:v>0.1</c:v>
                </c:pt>
                <c:pt idx="1">
                  <c:v>0.1</c:v>
                </c:pt>
                <c:pt idx="2">
                  <c:v>0.17</c:v>
                </c:pt>
                <c:pt idx="3">
                  <c:v>0.3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0.32</c:v>
                </c:pt>
                <c:pt idx="8">
                  <c:v>0.29500900497091131</c:v>
                </c:pt>
                <c:pt idx="9">
                  <c:v>0.48</c:v>
                </c:pt>
                <c:pt idx="10">
                  <c:v>0.1</c:v>
                </c:pt>
                <c:pt idx="11">
                  <c:v>0.27</c:v>
                </c:pt>
                <c:pt idx="12">
                  <c:v>0.18</c:v>
                </c:pt>
                <c:pt idx="13">
                  <c:v>0.19</c:v>
                </c:pt>
                <c:pt idx="14">
                  <c:v>0.24</c:v>
                </c:pt>
                <c:pt idx="15">
                  <c:v>0.2</c:v>
                </c:pt>
                <c:pt idx="16">
                  <c:v>0.21</c:v>
                </c:pt>
                <c:pt idx="17">
                  <c:v>4.9759674695576628E-2</c:v>
                </c:pt>
                <c:pt idx="18">
                  <c:v>0.06</c:v>
                </c:pt>
              </c:numCache>
            </c:numRef>
          </c:xVal>
          <c:yVal>
            <c:numRef>
              <c:f>Assumptions!$R$28:$R$46</c:f>
              <c:numCache>
                <c:formatCode>0.00</c:formatCode>
                <c:ptCount val="19"/>
                <c:pt idx="0">
                  <c:v>2.68</c:v>
                </c:pt>
                <c:pt idx="1">
                  <c:v>2.4328147100424324</c:v>
                </c:pt>
                <c:pt idx="2">
                  <c:v>3.738783649052841</c:v>
                </c:pt>
                <c:pt idx="3">
                  <c:v>0.47765398898706624</c:v>
                </c:pt>
                <c:pt idx="4">
                  <c:v>1.7655367231638419</c:v>
                </c:pt>
                <c:pt idx="5">
                  <c:v>2.203125</c:v>
                </c:pt>
                <c:pt idx="6">
                  <c:v>2.5897226753670468</c:v>
                </c:pt>
                <c:pt idx="7">
                  <c:v>0.84786821705426352</c:v>
                </c:pt>
                <c:pt idx="8">
                  <c:v>2.8573660591541432</c:v>
                </c:pt>
                <c:pt idx="9">
                  <c:v>0.44495991937055729</c:v>
                </c:pt>
                <c:pt idx="10">
                  <c:v>1.5853658536585364</c:v>
                </c:pt>
                <c:pt idx="11">
                  <c:v>1.3066594575110388</c:v>
                </c:pt>
                <c:pt idx="12">
                  <c:v>1.8193412859179237</c:v>
                </c:pt>
                <c:pt idx="13">
                  <c:v>1.9090098126672612</c:v>
                </c:pt>
                <c:pt idx="14">
                  <c:v>1.2068965517241379</c:v>
                </c:pt>
                <c:pt idx="15">
                  <c:v>2.0069808027923206</c:v>
                </c:pt>
                <c:pt idx="16">
                  <c:v>0.91782744843969322</c:v>
                </c:pt>
                <c:pt idx="17">
                  <c:v>3.1673980309639056</c:v>
                </c:pt>
                <c:pt idx="18">
                  <c:v>2.721774193548387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7-486D-9A81-2996C6EF4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726495"/>
        <c:axId val="701716895"/>
      </c:scatterChart>
      <c:valAx>
        <c:axId val="70172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Lucida Calligraphy" panose="03010101010101010101" pitchFamily="66" charset="0"/>
                <a:ea typeface="+mn-ea"/>
                <a:cs typeface="+mn-cs"/>
              </a:defRPr>
            </a:pPr>
            <a:endParaRPr lang="en-US"/>
          </a:p>
        </c:txPr>
        <c:crossAx val="701716895"/>
        <c:crosses val="autoZero"/>
        <c:crossBetween val="midCat"/>
      </c:valAx>
      <c:valAx>
        <c:axId val="7017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Lucida Calligraphy" panose="03010101010101010101" pitchFamily="66" charset="0"/>
                <a:ea typeface="+mn-ea"/>
                <a:cs typeface="+mn-cs"/>
              </a:defRPr>
            </a:pPr>
            <a:endParaRPr lang="en-US"/>
          </a:p>
        </c:txPr>
        <c:crossAx val="701726495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Lucida Calligraphy" panose="03010101010101010101" pitchFamily="66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BBFF55-1DD9-4253-B234-49B8967FB3FB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87FB6-3A15-215A-99D4-DEF9DCCB24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topLeftCell="A88" zoomScale="90" zoomScaleNormal="90" workbookViewId="0">
      <pane xSplit="2400" topLeftCell="K1" activePane="topRight"/>
      <selection activeCell="A69" sqref="A69"/>
      <selection pane="topRight" activeCell="E63" sqref="E63"/>
    </sheetView>
  </sheetViews>
  <sheetFormatPr defaultColWidth="8.88671875" defaultRowHeight="15" x14ac:dyDescent="0.35"/>
  <cols>
    <col min="1" max="1" width="20.6640625" style="1" customWidth="1"/>
    <col min="2" max="2" width="20.6640625" style="2" customWidth="1"/>
    <col min="3" max="4" width="20.6640625" style="1" customWidth="1"/>
    <col min="5" max="21" width="15.6640625" style="1" customWidth="1"/>
    <col min="22" max="29" width="15.77734375" style="1" customWidth="1"/>
    <col min="30" max="16384" width="8.88671875" style="1"/>
  </cols>
  <sheetData>
    <row r="1" spans="1:6" x14ac:dyDescent="0.35">
      <c r="A1" s="1" t="s">
        <v>6</v>
      </c>
    </row>
    <row r="2" spans="1:6" x14ac:dyDescent="0.35">
      <c r="B2" s="2" t="s">
        <v>8</v>
      </c>
      <c r="C2" s="1" t="s">
        <v>9</v>
      </c>
    </row>
    <row r="3" spans="1:6" x14ac:dyDescent="0.35">
      <c r="A3" s="1" t="s">
        <v>0</v>
      </c>
      <c r="B3" s="4">
        <v>0.05</v>
      </c>
      <c r="C3" s="1" t="s">
        <v>10</v>
      </c>
    </row>
    <row r="4" spans="1:6" x14ac:dyDescent="0.35">
      <c r="A4" s="1" t="s">
        <v>1</v>
      </c>
      <c r="B4" s="4">
        <v>0.1</v>
      </c>
      <c r="C4" s="1" t="s">
        <v>11</v>
      </c>
    </row>
    <row r="5" spans="1:6" x14ac:dyDescent="0.35">
      <c r="A5" s="1" t="s">
        <v>2</v>
      </c>
      <c r="B5" s="3">
        <f>1.96/0.52</f>
        <v>3.7692307692307692</v>
      </c>
      <c r="C5" s="1" t="s">
        <v>12</v>
      </c>
    </row>
    <row r="6" spans="1:6" x14ac:dyDescent="0.35">
      <c r="A6" s="1" t="s">
        <v>3</v>
      </c>
      <c r="B6" s="5">
        <v>0.03</v>
      </c>
      <c r="C6" s="1" t="s">
        <v>13</v>
      </c>
    </row>
    <row r="7" spans="1:6" x14ac:dyDescent="0.35">
      <c r="A7" s="1" t="s">
        <v>4</v>
      </c>
      <c r="B7" s="5">
        <v>0.02</v>
      </c>
      <c r="C7" s="1" t="s">
        <v>14</v>
      </c>
    </row>
    <row r="8" spans="1:6" x14ac:dyDescent="0.35">
      <c r="A8" s="1" t="s">
        <v>5</v>
      </c>
      <c r="B8" s="5">
        <v>0.01</v>
      </c>
      <c r="C8" s="1" t="s">
        <v>35</v>
      </c>
    </row>
    <row r="9" spans="1:6" x14ac:dyDescent="0.35">
      <c r="A9" s="1" t="s">
        <v>15</v>
      </c>
      <c r="B9" s="5">
        <v>0.06</v>
      </c>
      <c r="C9" s="1" t="s">
        <v>16</v>
      </c>
    </row>
    <row r="13" spans="1:6" x14ac:dyDescent="0.35">
      <c r="A13" s="1" t="s">
        <v>7</v>
      </c>
    </row>
    <row r="15" spans="1:6" x14ac:dyDescent="0.35">
      <c r="A15" s="1" t="s">
        <v>17</v>
      </c>
      <c r="B15" s="1"/>
      <c r="C15" s="1" t="s">
        <v>95</v>
      </c>
      <c r="D15" s="2" t="s">
        <v>20</v>
      </c>
      <c r="E15" s="2" t="s">
        <v>27</v>
      </c>
      <c r="F15" s="1" t="s">
        <v>32</v>
      </c>
    </row>
    <row r="16" spans="1:6" x14ac:dyDescent="0.35">
      <c r="A16" s="1" t="s">
        <v>21</v>
      </c>
      <c r="B16" s="1" t="s">
        <v>112</v>
      </c>
      <c r="C16" s="1" t="s">
        <v>114</v>
      </c>
      <c r="D16" s="10">
        <v>0.06</v>
      </c>
      <c r="E16" s="10">
        <v>0.06</v>
      </c>
    </row>
    <row r="17" spans="1:21" x14ac:dyDescent="0.35">
      <c r="A17" s="1" t="s">
        <v>21</v>
      </c>
      <c r="B17" s="1" t="s">
        <v>113</v>
      </c>
      <c r="C17" s="1" t="s">
        <v>115</v>
      </c>
      <c r="D17" s="10">
        <f>(D16+D22)/2</f>
        <v>0.09</v>
      </c>
      <c r="E17" s="10">
        <v>0.06</v>
      </c>
    </row>
    <row r="18" spans="1:21" x14ac:dyDescent="0.35">
      <c r="A18" s="1" t="s">
        <v>23</v>
      </c>
      <c r="B18" s="1" t="s">
        <v>22</v>
      </c>
      <c r="C18" s="1" t="s">
        <v>99</v>
      </c>
      <c r="D18" s="10">
        <v>0.15</v>
      </c>
      <c r="E18" s="10">
        <v>0.06</v>
      </c>
      <c r="F18" s="1" t="s">
        <v>33</v>
      </c>
    </row>
    <row r="19" spans="1:21" x14ac:dyDescent="0.35">
      <c r="A19" s="1" t="s">
        <v>24</v>
      </c>
      <c r="B19" s="1" t="s">
        <v>25</v>
      </c>
      <c r="C19" s="1" t="s">
        <v>98</v>
      </c>
      <c r="D19" s="10">
        <f>3%+2^0.04-1</f>
        <v>5.8113826656066569E-2</v>
      </c>
      <c r="E19" s="10">
        <f>E18+0.5^0.05-1</f>
        <v>2.5936328924845542E-2</v>
      </c>
      <c r="F19" s="1" t="s">
        <v>34</v>
      </c>
    </row>
    <row r="20" spans="1:21" x14ac:dyDescent="0.35">
      <c r="A20" s="1" t="s">
        <v>24</v>
      </c>
      <c r="B20" s="1" t="s">
        <v>18</v>
      </c>
      <c r="C20" s="1" t="s">
        <v>97</v>
      </c>
      <c r="D20" s="10">
        <f>5^(1/30)-1+0.03</f>
        <v>8.5113063536227579E-2</v>
      </c>
      <c r="E20" s="10">
        <f>D20</f>
        <v>8.5113063536227579E-2</v>
      </c>
      <c r="F20" s="1" t="s">
        <v>36</v>
      </c>
    </row>
    <row r="21" spans="1:21" x14ac:dyDescent="0.35">
      <c r="A21" s="1" t="s">
        <v>24</v>
      </c>
      <c r="B21" s="1" t="s">
        <v>26</v>
      </c>
      <c r="C21" s="1" t="s">
        <v>96</v>
      </c>
      <c r="D21" s="10">
        <v>0.1</v>
      </c>
      <c r="E21" s="10">
        <f>E16</f>
        <v>0.06</v>
      </c>
    </row>
    <row r="22" spans="1:21" x14ac:dyDescent="0.35">
      <c r="A22" s="1" t="s">
        <v>28</v>
      </c>
      <c r="B22" s="1" t="s">
        <v>19</v>
      </c>
      <c r="C22" s="1" t="s">
        <v>28</v>
      </c>
      <c r="D22" s="10">
        <v>0.12</v>
      </c>
      <c r="E22" s="10">
        <v>0.06</v>
      </c>
    </row>
    <row r="23" spans="1:21" x14ac:dyDescent="0.35">
      <c r="A23" s="1" t="s">
        <v>29</v>
      </c>
      <c r="B23" s="1" t="s">
        <v>30</v>
      </c>
      <c r="C23" s="1" t="s">
        <v>100</v>
      </c>
      <c r="D23" s="10">
        <v>0.06</v>
      </c>
      <c r="E23" s="10">
        <v>0.06</v>
      </c>
    </row>
    <row r="26" spans="1:21" x14ac:dyDescent="0.35">
      <c r="A26" s="1" t="s">
        <v>141</v>
      </c>
      <c r="H26" s="34">
        <v>117.17407435450608</v>
      </c>
      <c r="I26" s="34">
        <v>0</v>
      </c>
      <c r="J26" s="34">
        <v>17.055614770595472</v>
      </c>
      <c r="K26" s="34">
        <v>12.521677405447273</v>
      </c>
    </row>
    <row r="27" spans="1:21" x14ac:dyDescent="0.35">
      <c r="B27" s="45">
        <v>0.1</v>
      </c>
      <c r="C27" s="45">
        <v>0.2</v>
      </c>
      <c r="D27" s="45">
        <v>0.3</v>
      </c>
      <c r="E27" s="45" t="s">
        <v>178</v>
      </c>
      <c r="F27" s="39" t="s">
        <v>142</v>
      </c>
      <c r="G27" s="39"/>
      <c r="I27" s="32" t="s">
        <v>145</v>
      </c>
      <c r="J27" s="32" t="s">
        <v>146</v>
      </c>
      <c r="K27" s="32" t="s">
        <v>147</v>
      </c>
      <c r="L27" s="32" t="s">
        <v>148</v>
      </c>
      <c r="M27" s="32" t="s">
        <v>143</v>
      </c>
      <c r="N27" s="32" t="s">
        <v>55</v>
      </c>
      <c r="O27" s="32" t="s">
        <v>144</v>
      </c>
      <c r="P27" s="36" t="s">
        <v>149</v>
      </c>
      <c r="Q27" s="36" t="s">
        <v>150</v>
      </c>
      <c r="R27" s="37" t="s">
        <v>153</v>
      </c>
      <c r="S27" s="37" t="s">
        <v>155</v>
      </c>
      <c r="T27" s="37" t="s">
        <v>150</v>
      </c>
      <c r="U27" s="37" t="s">
        <v>187</v>
      </c>
    </row>
    <row r="28" spans="1:21" x14ac:dyDescent="0.35">
      <c r="A28" s="1" t="s">
        <v>109</v>
      </c>
      <c r="B28" s="5">
        <v>0</v>
      </c>
      <c r="C28" s="5"/>
      <c r="D28" s="2">
        <v>0</v>
      </c>
      <c r="E28" s="4">
        <v>0.04</v>
      </c>
      <c r="I28" s="33">
        <v>0.1</v>
      </c>
      <c r="J28" s="33">
        <v>0.06</v>
      </c>
      <c r="K28" s="33">
        <v>0.14000000000000001</v>
      </c>
      <c r="L28" s="33">
        <v>0.05</v>
      </c>
      <c r="M28" s="30">
        <v>67</v>
      </c>
      <c r="N28" s="30">
        <v>2.5</v>
      </c>
      <c r="O28" s="31">
        <f>M28/N28</f>
        <v>26.8</v>
      </c>
      <c r="P28" s="34">
        <f t="shared" ref="P28:P46" si="0">SUMPRODUCT(H$26:K$26,I28:L28)</f>
        <v>14.731277373606339</v>
      </c>
      <c r="Q28" s="34">
        <f>(O28-P28)^2</f>
        <v>145.65406583282632</v>
      </c>
      <c r="R28" s="35">
        <f>O28/I28/100</f>
        <v>2.68</v>
      </c>
      <c r="S28" s="35">
        <f>I28^2*3-I28*7+3</f>
        <v>2.33</v>
      </c>
      <c r="T28" s="35">
        <f>(S28-R28)^2</f>
        <v>0.12250000000000007</v>
      </c>
      <c r="U28" s="35">
        <f>(S28-R28)</f>
        <v>-0.35000000000000009</v>
      </c>
    </row>
    <row r="29" spans="1:21" x14ac:dyDescent="0.35">
      <c r="A29" s="1" t="s">
        <v>110</v>
      </c>
      <c r="B29" s="5">
        <v>0</v>
      </c>
      <c r="C29" s="5"/>
      <c r="D29" s="2"/>
      <c r="E29" s="4">
        <v>0.11</v>
      </c>
      <c r="I29" s="33">
        <v>0.1</v>
      </c>
      <c r="J29" s="33">
        <v>0.06</v>
      </c>
      <c r="K29" s="33">
        <v>0.14000000000000001</v>
      </c>
      <c r="L29" s="33">
        <v>0.05</v>
      </c>
      <c r="M29" s="30">
        <v>172</v>
      </c>
      <c r="N29" s="30">
        <v>7.07</v>
      </c>
      <c r="O29" s="31">
        <f t="shared" ref="O29:O46" si="1">M29/N29</f>
        <v>24.328147100424328</v>
      </c>
      <c r="P29" s="34">
        <f t="shared" si="0"/>
        <v>14.731277373606339</v>
      </c>
      <c r="Q29" s="34">
        <f t="shared" ref="Q29:Q46" si="2">(O29-P29)^2</f>
        <v>92.099908553515576</v>
      </c>
      <c r="R29" s="35">
        <f t="shared" ref="R29:R46" si="3">O29/I29/100</f>
        <v>2.4328147100424324</v>
      </c>
      <c r="S29" s="35">
        <f>I29^2*3-I29*7+3</f>
        <v>2.33</v>
      </c>
      <c r="T29" s="35">
        <f>(S29-R29)^2</f>
        <v>1.0570864601109443E-2</v>
      </c>
      <c r="U29" s="35">
        <f t="shared" ref="U29:U46" si="4">(S29-R29)</f>
        <v>-0.10281471004243237</v>
      </c>
    </row>
    <row r="30" spans="1:21" x14ac:dyDescent="0.35">
      <c r="A30" s="1" t="s">
        <v>89</v>
      </c>
      <c r="C30" s="5"/>
      <c r="D30" s="2"/>
      <c r="E30" s="4"/>
      <c r="I30" s="33">
        <v>0.17</v>
      </c>
      <c r="J30" s="33">
        <v>0.1</v>
      </c>
      <c r="K30" s="33">
        <v>0.08</v>
      </c>
      <c r="L30" s="33">
        <v>0.1</v>
      </c>
      <c r="M30" s="30">
        <v>900</v>
      </c>
      <c r="N30" s="30">
        <v>14.16</v>
      </c>
      <c r="O30" s="31">
        <f t="shared" si="1"/>
        <v>63.559322033898304</v>
      </c>
      <c r="P30" s="34">
        <f t="shared" si="0"/>
        <v>22.536209562458403</v>
      </c>
      <c r="Q30" s="34">
        <f t="shared" si="2"/>
        <v>1682.895756844408</v>
      </c>
      <c r="R30" s="35">
        <f t="shared" si="3"/>
        <v>3.738783649052841</v>
      </c>
      <c r="S30" s="35">
        <f>I30^2*3-I30*7+3</f>
        <v>1.8966999999999998</v>
      </c>
      <c r="T30" s="35">
        <f>(S30-R30)^2</f>
        <v>3.393272170107831</v>
      </c>
      <c r="U30" s="35">
        <f t="shared" si="4"/>
        <v>-1.8420836490528412</v>
      </c>
    </row>
    <row r="31" spans="1:21" x14ac:dyDescent="0.35">
      <c r="A31" s="1" t="s">
        <v>108</v>
      </c>
      <c r="B31" s="5">
        <v>0</v>
      </c>
      <c r="C31" s="5"/>
      <c r="D31" s="5"/>
      <c r="E31" s="4">
        <v>0.08</v>
      </c>
      <c r="I31" s="33">
        <v>0.3</v>
      </c>
      <c r="J31" s="33">
        <v>-2.8000000000000001E-2</v>
      </c>
      <c r="K31" s="33">
        <v>-0.11</v>
      </c>
      <c r="L31" s="33">
        <v>0</v>
      </c>
      <c r="M31" s="30">
        <v>373</v>
      </c>
      <c r="N31" s="30">
        <v>26.03</v>
      </c>
      <c r="O31" s="31">
        <f t="shared" si="1"/>
        <v>14.329619669611986</v>
      </c>
      <c r="P31" s="34">
        <f t="shared" si="0"/>
        <v>33.276104681586325</v>
      </c>
      <c r="Q31" s="34">
        <f t="shared" si="2"/>
        <v>358.96929430896824</v>
      </c>
      <c r="R31" s="35">
        <f t="shared" si="3"/>
        <v>0.47765398898706624</v>
      </c>
      <c r="S31" s="35">
        <f>I31^2*3-I31*7+3</f>
        <v>1.17</v>
      </c>
      <c r="T31" s="35">
        <f>(S31-R31)^2</f>
        <v>0.47934299896552129</v>
      </c>
      <c r="U31" s="35">
        <f t="shared" si="4"/>
        <v>0.69234601101293369</v>
      </c>
    </row>
    <row r="32" spans="1:21" x14ac:dyDescent="0.35">
      <c r="A32" s="1" t="s">
        <v>111</v>
      </c>
      <c r="B32" s="5">
        <v>7.0000000000000007E-2</v>
      </c>
      <c r="C32" s="5">
        <v>7.0000000000000007E-2</v>
      </c>
      <c r="D32" s="5">
        <v>7.0000000000000007E-2</v>
      </c>
      <c r="E32" s="4">
        <v>0.04</v>
      </c>
      <c r="F32" s="1">
        <v>4750</v>
      </c>
      <c r="G32" s="29">
        <f>F32/F$47</f>
        <v>0.10961538461538461</v>
      </c>
      <c r="H32" s="29"/>
      <c r="I32" s="33">
        <v>0.16</v>
      </c>
      <c r="J32" s="33">
        <v>0.22</v>
      </c>
      <c r="K32" s="33">
        <v>0.15</v>
      </c>
      <c r="L32" s="33">
        <v>0.15</v>
      </c>
      <c r="M32" s="30">
        <v>4300</v>
      </c>
      <c r="N32" s="30">
        <v>152.22</v>
      </c>
      <c r="O32" s="31">
        <f t="shared" si="1"/>
        <v>28.248587570621471</v>
      </c>
      <c r="P32" s="34">
        <f t="shared" si="0"/>
        <v>23.184445723127386</v>
      </c>
      <c r="Q32" s="34">
        <f t="shared" si="2"/>
        <v>25.645532651540805</v>
      </c>
      <c r="R32" s="35">
        <f t="shared" si="3"/>
        <v>1.7655367231638419</v>
      </c>
      <c r="S32" s="35">
        <f>I32^2*3-I32*7+3</f>
        <v>1.9567999999999999</v>
      </c>
      <c r="T32" s="35">
        <f>(S32-R32)^2</f>
        <v>3.65816410661048E-2</v>
      </c>
      <c r="U32" s="35">
        <f t="shared" si="4"/>
        <v>0.19126327683615796</v>
      </c>
    </row>
    <row r="33" spans="1:21" x14ac:dyDescent="0.35">
      <c r="A33" s="1" t="s">
        <v>116</v>
      </c>
      <c r="B33" s="5">
        <v>0</v>
      </c>
      <c r="C33" s="5"/>
      <c r="D33" s="5"/>
      <c r="E33" s="4">
        <v>0.11</v>
      </c>
      <c r="I33" s="33">
        <v>0.16</v>
      </c>
      <c r="J33" s="33">
        <v>0.13</v>
      </c>
      <c r="K33" s="33">
        <v>0.24</v>
      </c>
      <c r="L33" s="33">
        <v>0.12</v>
      </c>
      <c r="M33" s="30">
        <v>282</v>
      </c>
      <c r="N33" s="30">
        <v>8</v>
      </c>
      <c r="O33" s="31">
        <f t="shared" si="1"/>
        <v>35.25</v>
      </c>
      <c r="P33" s="34">
        <f t="shared" si="0"/>
        <v>24.343800730317561</v>
      </c>
      <c r="Q33" s="34">
        <f t="shared" si="2"/>
        <v>118.94518251002177</v>
      </c>
      <c r="R33" s="35">
        <f t="shared" si="3"/>
        <v>2.203125</v>
      </c>
      <c r="S33" s="35">
        <f>I33^2*3-I33*7+3</f>
        <v>1.9567999999999999</v>
      </c>
      <c r="T33" s="35">
        <f>(S33-R33)^2</f>
        <v>6.0676005625000064E-2</v>
      </c>
      <c r="U33" s="35">
        <f t="shared" si="4"/>
        <v>-0.24632500000000013</v>
      </c>
    </row>
    <row r="34" spans="1:21" x14ac:dyDescent="0.35">
      <c r="A34" s="1" t="s">
        <v>135</v>
      </c>
      <c r="B34" s="5">
        <v>0</v>
      </c>
      <c r="C34" s="5"/>
      <c r="D34" s="5"/>
      <c r="E34" s="4"/>
      <c r="I34" s="33">
        <v>0.16</v>
      </c>
      <c r="J34" s="33">
        <v>0.16</v>
      </c>
      <c r="K34" s="33">
        <v>0.17</v>
      </c>
      <c r="L34" s="33">
        <v>0.16</v>
      </c>
      <c r="M34" s="30">
        <v>508</v>
      </c>
      <c r="N34" s="30">
        <v>12.26</v>
      </c>
      <c r="O34" s="31">
        <f t="shared" si="1"/>
        <v>41.435562805872756</v>
      </c>
      <c r="P34" s="34">
        <f t="shared" si="0"/>
        <v>23.650774792593769</v>
      </c>
      <c r="Q34" s="34">
        <f t="shared" si="2"/>
        <v>316.29868467727198</v>
      </c>
      <c r="R34" s="35">
        <f t="shared" si="3"/>
        <v>2.5897226753670468</v>
      </c>
      <c r="S34" s="35">
        <f>I34^2*3-I34*7+3</f>
        <v>1.9567999999999999</v>
      </c>
      <c r="T34" s="35">
        <f>(S34-R34)^2</f>
        <v>0.40059111299378031</v>
      </c>
      <c r="U34" s="35">
        <f t="shared" si="4"/>
        <v>-0.63292267536704694</v>
      </c>
    </row>
    <row r="35" spans="1:21" x14ac:dyDescent="0.35">
      <c r="A35" s="1" t="s">
        <v>138</v>
      </c>
      <c r="B35" s="5">
        <v>0</v>
      </c>
      <c r="C35" s="5"/>
      <c r="D35" s="5"/>
      <c r="E35" s="4">
        <v>0.04</v>
      </c>
      <c r="I35" s="33">
        <v>0.32</v>
      </c>
      <c r="J35" s="33">
        <v>0.56000000000000005</v>
      </c>
      <c r="K35" s="33">
        <v>0.74</v>
      </c>
      <c r="L35" s="33">
        <v>0.57999999999999996</v>
      </c>
      <c r="M35" s="30">
        <v>210</v>
      </c>
      <c r="N35" s="30">
        <v>7.74</v>
      </c>
      <c r="O35" s="31">
        <f t="shared" si="1"/>
        <v>27.131782945736433</v>
      </c>
      <c r="P35" s="34">
        <f t="shared" si="0"/>
        <v>57.379431618842013</v>
      </c>
      <c r="Q35" s="34">
        <f t="shared" si="2"/>
        <v>914.9202502516257</v>
      </c>
      <c r="R35" s="35">
        <f t="shared" si="3"/>
        <v>0.84786821705426352</v>
      </c>
      <c r="S35" s="35">
        <f>I35^2*3-I35*7+3</f>
        <v>1.0671999999999997</v>
      </c>
      <c r="T35" s="35">
        <f>(S35-R35)^2</f>
        <v>4.8106431010155534E-2</v>
      </c>
      <c r="U35" s="35">
        <f t="shared" si="4"/>
        <v>0.21933178294573619</v>
      </c>
    </row>
    <row r="36" spans="1:21" x14ac:dyDescent="0.35">
      <c r="A36" s="1" t="s">
        <v>137</v>
      </c>
      <c r="C36" s="2"/>
      <c r="D36" s="2"/>
      <c r="E36" s="4"/>
      <c r="I36" s="38">
        <f>(1.47^4*0.78)^0.2-1</f>
        <v>0.29500900497091131</v>
      </c>
      <c r="J36" s="33">
        <v>0.05</v>
      </c>
      <c r="K36" s="33">
        <v>-0.22</v>
      </c>
      <c r="L36" s="33">
        <v>0.32</v>
      </c>
      <c r="M36" s="30">
        <v>263</v>
      </c>
      <c r="N36" s="30">
        <v>3.12</v>
      </c>
      <c r="O36" s="31">
        <f t="shared" si="1"/>
        <v>84.294871794871796</v>
      </c>
      <c r="P36" s="34">
        <f t="shared" si="0"/>
        <v>34.822108603922537</v>
      </c>
      <c r="Q36" s="34">
        <f t="shared" si="2"/>
        <v>2447.5542977477439</v>
      </c>
      <c r="R36" s="35">
        <f t="shared" si="3"/>
        <v>2.8573660591541432</v>
      </c>
      <c r="S36" s="35">
        <f>I36^2*3-I36*7+3</f>
        <v>1.1960279042454021</v>
      </c>
      <c r="T36" s="35">
        <f>(S36-R36)^2</f>
        <v>2.7600444649555804</v>
      </c>
      <c r="U36" s="35">
        <f t="shared" si="4"/>
        <v>-1.6613381549087411</v>
      </c>
    </row>
    <row r="37" spans="1:21" x14ac:dyDescent="0.35">
      <c r="A37" s="1" t="s">
        <v>90</v>
      </c>
      <c r="C37" s="2"/>
      <c r="D37" s="2"/>
      <c r="E37" s="4">
        <v>0.05</v>
      </c>
      <c r="I37" s="33">
        <v>0.48</v>
      </c>
      <c r="J37" s="33">
        <v>0.05</v>
      </c>
      <c r="K37" s="33">
        <v>-0.22500000000000001</v>
      </c>
      <c r="L37" s="33">
        <v>0.17</v>
      </c>
      <c r="M37" s="30">
        <v>72</v>
      </c>
      <c r="N37" s="30">
        <v>3.3710901469999999</v>
      </c>
      <c r="O37" s="31">
        <f t="shared" si="1"/>
        <v>21.358076129786749</v>
      </c>
      <c r="P37" s="34">
        <f t="shared" si="0"/>
        <v>54.534727525704973</v>
      </c>
      <c r="Q37" s="34">
        <f t="shared" si="2"/>
        <v>1100.6901978462829</v>
      </c>
      <c r="R37" s="35">
        <f t="shared" si="3"/>
        <v>0.44495991937055729</v>
      </c>
      <c r="S37" s="35">
        <f>I37^2*3-I37*7+3</f>
        <v>0.33119999999999994</v>
      </c>
      <c r="T37" s="35">
        <f>(S37-R37)^2</f>
        <v>1.294131925519571E-2</v>
      </c>
      <c r="U37" s="35">
        <f t="shared" si="4"/>
        <v>-0.11375991937055735</v>
      </c>
    </row>
    <row r="38" spans="1:21" x14ac:dyDescent="0.35">
      <c r="A38" s="1" t="s">
        <v>140</v>
      </c>
      <c r="C38" s="2"/>
      <c r="D38" s="2"/>
      <c r="E38" s="4"/>
      <c r="I38" s="33">
        <v>0.1</v>
      </c>
      <c r="J38" s="33">
        <v>-0.1</v>
      </c>
      <c r="K38" s="33">
        <v>-0.6</v>
      </c>
      <c r="L38" s="33">
        <v>0.68</v>
      </c>
      <c r="M38" s="30">
        <v>78</v>
      </c>
      <c r="N38" s="30">
        <v>4.92</v>
      </c>
      <c r="O38" s="31">
        <f t="shared" si="1"/>
        <v>15.853658536585366</v>
      </c>
      <c r="P38" s="34">
        <f t="shared" si="0"/>
        <v>9.9987792087974725</v>
      </c>
      <c r="Q38" s="34">
        <f t="shared" si="2"/>
        <v>34.279611942958013</v>
      </c>
      <c r="R38" s="35">
        <f t="shared" si="3"/>
        <v>1.5853658536585364</v>
      </c>
      <c r="S38" s="35">
        <f>I38^2*3-I38*7+3</f>
        <v>2.33</v>
      </c>
      <c r="T38" s="35">
        <f>(S38-R38)^2</f>
        <v>0.55448001189768026</v>
      </c>
      <c r="U38" s="35">
        <f t="shared" si="4"/>
        <v>0.74463414634146363</v>
      </c>
    </row>
    <row r="39" spans="1:21" x14ac:dyDescent="0.35">
      <c r="A39" s="1" t="s">
        <v>93</v>
      </c>
      <c r="C39" s="2"/>
      <c r="D39" s="2"/>
      <c r="E39" s="4">
        <v>0.01</v>
      </c>
      <c r="I39" s="33">
        <v>0.27</v>
      </c>
      <c r="J39" s="33">
        <v>0.16</v>
      </c>
      <c r="K39" s="33">
        <v>0.23</v>
      </c>
      <c r="L39" s="33">
        <v>0.1</v>
      </c>
      <c r="M39" s="30">
        <v>290</v>
      </c>
      <c r="N39" s="30">
        <v>8.2200000000000006</v>
      </c>
      <c r="O39" s="31">
        <f t="shared" si="1"/>
        <v>35.27980535279805</v>
      </c>
      <c r="P39" s="34">
        <f t="shared" si="0"/>
        <v>36.811959213498326</v>
      </c>
      <c r="Q39" s="34">
        <f t="shared" si="2"/>
        <v>2.3474954528587624</v>
      </c>
      <c r="R39" s="35">
        <f t="shared" si="3"/>
        <v>1.3066594575110388</v>
      </c>
      <c r="S39" s="35">
        <f>I39^2*3-I39*7+3</f>
        <v>1.3287</v>
      </c>
      <c r="T39" s="35">
        <f>(S39-R39)^2</f>
        <v>4.8578551320770157E-4</v>
      </c>
      <c r="U39" s="35">
        <f t="shared" si="4"/>
        <v>2.2040542488961146E-2</v>
      </c>
    </row>
    <row r="40" spans="1:21" x14ac:dyDescent="0.35">
      <c r="A40" s="1" t="s">
        <v>107</v>
      </c>
      <c r="B40" s="5">
        <v>0.28000000000000003</v>
      </c>
      <c r="C40" s="5">
        <v>0.28000000000000003</v>
      </c>
      <c r="D40" s="5">
        <v>0.3</v>
      </c>
      <c r="E40" s="4">
        <v>0.17</v>
      </c>
      <c r="F40" s="1">
        <f>5*485</f>
        <v>2425</v>
      </c>
      <c r="G40" s="29">
        <f t="shared" ref="G40" si="5">F40/F$47</f>
        <v>5.5961538461538458E-2</v>
      </c>
      <c r="H40" s="29"/>
      <c r="I40" s="33">
        <v>0.18</v>
      </c>
      <c r="J40" s="33">
        <v>0.14000000000000001</v>
      </c>
      <c r="K40" s="33">
        <v>0.23</v>
      </c>
      <c r="L40" s="33">
        <v>0.12</v>
      </c>
      <c r="M40" s="30">
        <v>485</v>
      </c>
      <c r="N40" s="30">
        <v>14.81</v>
      </c>
      <c r="O40" s="31">
        <f t="shared" si="1"/>
        <v>32.748143146522622</v>
      </c>
      <c r="P40" s="34">
        <f t="shared" si="0"/>
        <v>26.516726069701726</v>
      </c>
      <c r="Q40" s="34">
        <f t="shared" si="2"/>
        <v>38.830558785295089</v>
      </c>
      <c r="R40" s="35">
        <f t="shared" si="3"/>
        <v>1.8193412859179237</v>
      </c>
      <c r="S40" s="35">
        <f>I40^2*3-I40*7+3</f>
        <v>1.8371999999999999</v>
      </c>
      <c r="T40" s="35">
        <f>(S40-R40)^2</f>
        <v>3.189336686653499E-4</v>
      </c>
      <c r="U40" s="35">
        <f t="shared" si="4"/>
        <v>1.7858714082076288E-2</v>
      </c>
    </row>
    <row r="41" spans="1:21" x14ac:dyDescent="0.35">
      <c r="A41" s="1" t="s">
        <v>101</v>
      </c>
      <c r="B41" s="5"/>
      <c r="C41" s="5"/>
      <c r="D41" s="5"/>
      <c r="E41" s="4">
        <v>0.04</v>
      </c>
      <c r="G41" s="29"/>
      <c r="H41" s="29"/>
      <c r="I41" s="33">
        <v>0.19</v>
      </c>
      <c r="J41" s="33">
        <v>0.15</v>
      </c>
      <c r="K41" s="33">
        <v>0.11</v>
      </c>
      <c r="L41" s="33">
        <v>0.16</v>
      </c>
      <c r="M41" s="30">
        <v>428</v>
      </c>
      <c r="N41" s="30">
        <v>11.8</v>
      </c>
      <c r="O41" s="31">
        <f t="shared" si="1"/>
        <v>36.271186440677965</v>
      </c>
      <c r="P41" s="34">
        <f t="shared" si="0"/>
        <v>26.142660136993221</v>
      </c>
      <c r="Q41" s="34">
        <f t="shared" si="2"/>
        <v>102.58704508443374</v>
      </c>
      <c r="R41" s="35">
        <f t="shared" si="3"/>
        <v>1.9090098126672612</v>
      </c>
      <c r="S41" s="35">
        <f>I41^2*3-I41*7+3</f>
        <v>1.7783</v>
      </c>
      <c r="T41" s="35">
        <f>(S41-R41)^2</f>
        <v>1.7085055127510525E-2</v>
      </c>
      <c r="U41" s="35">
        <f t="shared" si="4"/>
        <v>-0.13070981266726123</v>
      </c>
    </row>
    <row r="42" spans="1:21" x14ac:dyDescent="0.35">
      <c r="A42" s="1" t="s">
        <v>31</v>
      </c>
      <c r="B42" s="5">
        <v>0.28999999999999998</v>
      </c>
      <c r="C42" s="5">
        <v>0.3</v>
      </c>
      <c r="D42" s="5">
        <v>0.31</v>
      </c>
      <c r="E42" s="4">
        <v>0.21</v>
      </c>
      <c r="F42" s="1">
        <f>70*170</f>
        <v>11900</v>
      </c>
      <c r="G42" s="29">
        <f>F42/F$47</f>
        <v>0.27461538461538459</v>
      </c>
      <c r="H42" s="29"/>
      <c r="I42" s="33">
        <v>0.24</v>
      </c>
      <c r="J42" s="33">
        <v>0.2</v>
      </c>
      <c r="K42" s="33">
        <v>0.32</v>
      </c>
      <c r="L42" s="33">
        <v>0.13</v>
      </c>
      <c r="M42" s="30">
        <v>168</v>
      </c>
      <c r="N42" s="30">
        <v>5.8</v>
      </c>
      <c r="O42" s="31">
        <f t="shared" si="1"/>
        <v>28.96551724137931</v>
      </c>
      <c r="P42" s="34">
        <f t="shared" si="0"/>
        <v>35.207392634380156</v>
      </c>
      <c r="Q42" s="34">
        <f t="shared" si="2"/>
        <v>38.961008421749469</v>
      </c>
      <c r="R42" s="35">
        <f t="shared" si="3"/>
        <v>1.2068965517241379</v>
      </c>
      <c r="S42" s="35">
        <f>I42^2*3-I42*7+3</f>
        <v>1.4928000000000001</v>
      </c>
      <c r="T42" s="35">
        <f>(S42-R42)^2</f>
        <v>8.1740781736028625E-2</v>
      </c>
      <c r="U42" s="35">
        <f t="shared" si="4"/>
        <v>0.28590344827586223</v>
      </c>
    </row>
    <row r="43" spans="1:21" x14ac:dyDescent="0.35">
      <c r="A43" s="1" t="s">
        <v>105</v>
      </c>
      <c r="B43" s="5">
        <v>0</v>
      </c>
      <c r="C43" s="5"/>
      <c r="D43" s="5"/>
      <c r="E43" s="4"/>
      <c r="I43" s="33">
        <v>0.2</v>
      </c>
      <c r="J43" s="33">
        <v>0.1</v>
      </c>
      <c r="K43" s="33">
        <v>0.16</v>
      </c>
      <c r="L43" s="33">
        <v>0.12</v>
      </c>
      <c r="M43" s="30">
        <v>230</v>
      </c>
      <c r="N43" s="30">
        <v>5.73</v>
      </c>
      <c r="O43" s="31">
        <f t="shared" si="1"/>
        <v>40.139616055846417</v>
      </c>
      <c r="P43" s="34">
        <f t="shared" si="0"/>
        <v>27.666314522850165</v>
      </c>
      <c r="Q43" s="34">
        <f t="shared" si="2"/>
        <v>155.58325113304667</v>
      </c>
      <c r="R43" s="35">
        <f t="shared" si="3"/>
        <v>2.0069808027923206</v>
      </c>
      <c r="S43" s="35">
        <f>I43^2*3-I43*7+3</f>
        <v>1.72</v>
      </c>
      <c r="T43" s="35">
        <f>(S43-R43)^2</f>
        <v>8.2357981171324826E-2</v>
      </c>
      <c r="U43" s="35">
        <f t="shared" si="4"/>
        <v>-0.28698080279232063</v>
      </c>
    </row>
    <row r="44" spans="1:21" x14ac:dyDescent="0.35">
      <c r="A44" s="1" t="s">
        <v>139</v>
      </c>
      <c r="C44" s="2"/>
      <c r="D44" s="2"/>
      <c r="E44" s="4"/>
      <c r="I44" s="33">
        <v>0.21</v>
      </c>
      <c r="J44" s="33">
        <v>0.1</v>
      </c>
      <c r="K44" s="33">
        <v>-0.51</v>
      </c>
      <c r="L44" s="33">
        <v>0.75</v>
      </c>
      <c r="M44" s="30">
        <v>85</v>
      </c>
      <c r="N44" s="30">
        <v>4.41</v>
      </c>
      <c r="O44" s="31">
        <f t="shared" si="1"/>
        <v>19.274376417233558</v>
      </c>
      <c r="P44" s="34">
        <f t="shared" si="0"/>
        <v>25.299450135528041</v>
      </c>
      <c r="Q44" s="34">
        <f t="shared" si="2"/>
        <v>36.301513310882903</v>
      </c>
      <c r="R44" s="35">
        <f t="shared" si="3"/>
        <v>0.91782744843969322</v>
      </c>
      <c r="S44" s="35">
        <f>I44^2*3-I44*7+3</f>
        <v>1.6623000000000001</v>
      </c>
      <c r="T44" s="35">
        <f>(S44-R44)^2</f>
        <v>0.5542393800267138</v>
      </c>
      <c r="U44" s="35">
        <f t="shared" si="4"/>
        <v>0.74447255156030689</v>
      </c>
    </row>
    <row r="45" spans="1:21" x14ac:dyDescent="0.35">
      <c r="A45" s="1" t="s">
        <v>117</v>
      </c>
      <c r="C45" s="2"/>
      <c r="D45" s="2"/>
      <c r="E45" s="4">
        <v>0.04</v>
      </c>
      <c r="F45" s="1">
        <v>0</v>
      </c>
      <c r="G45" s="29">
        <f>F45/F$47</f>
        <v>0</v>
      </c>
      <c r="H45" s="29"/>
      <c r="I45" s="38">
        <f>(0.97^4*1.44)^0.2-1</f>
        <v>4.9759674695576628E-2</v>
      </c>
      <c r="J45" s="33">
        <v>0.18</v>
      </c>
      <c r="K45" s="33">
        <v>0.44</v>
      </c>
      <c r="L45" s="33">
        <v>0.08</v>
      </c>
      <c r="M45" s="30">
        <v>29</v>
      </c>
      <c r="N45" s="30">
        <v>1.84</v>
      </c>
      <c r="O45" s="31">
        <f t="shared" si="1"/>
        <v>15.760869565217391</v>
      </c>
      <c r="P45" s="34">
        <f t="shared" si="0"/>
        <v>14.336748514133321</v>
      </c>
      <c r="Q45" s="34">
        <f t="shared" si="2"/>
        <v>2.0281207681407958</v>
      </c>
      <c r="R45" s="35">
        <f t="shared" si="3"/>
        <v>3.1673980309639056</v>
      </c>
      <c r="S45" s="35">
        <f>I45^2*3-I45*7+3</f>
        <v>2.6591103528083924</v>
      </c>
      <c r="T45" s="35">
        <f>(S45-R45)^2</f>
        <v>0.2583563637647226</v>
      </c>
      <c r="U45" s="35">
        <f t="shared" si="4"/>
        <v>-0.50828767815551323</v>
      </c>
    </row>
    <row r="46" spans="1:21" x14ac:dyDescent="0.35">
      <c r="A46" s="1" t="s">
        <v>136</v>
      </c>
      <c r="B46" s="5">
        <v>0</v>
      </c>
      <c r="C46" s="5"/>
      <c r="D46" s="5"/>
      <c r="E46" s="4">
        <v>0.05</v>
      </c>
      <c r="I46" s="33">
        <v>0.06</v>
      </c>
      <c r="J46" s="33">
        <v>0.03</v>
      </c>
      <c r="K46" s="33">
        <v>0</v>
      </c>
      <c r="L46" s="33">
        <v>7.0000000000000007E-2</v>
      </c>
      <c r="M46" s="30">
        <v>162</v>
      </c>
      <c r="N46" s="30">
        <v>9.92</v>
      </c>
      <c r="O46" s="31">
        <f t="shared" si="1"/>
        <v>16.330645161290324</v>
      </c>
      <c r="P46" s="34">
        <f t="shared" si="0"/>
        <v>7.9069618796516732</v>
      </c>
      <c r="Q46" s="34">
        <f t="shared" si="2"/>
        <v>70.958440029358513</v>
      </c>
      <c r="R46" s="35">
        <f t="shared" si="3"/>
        <v>2.721774193548387</v>
      </c>
      <c r="S46" s="35">
        <f>I46^2*3-I46*7+3</f>
        <v>2.5907999999999998</v>
      </c>
      <c r="T46" s="35">
        <f>(S46-R46)^2</f>
        <v>1.7154239375650401E-2</v>
      </c>
      <c r="U46" s="35">
        <f t="shared" si="4"/>
        <v>-0.13097419354838724</v>
      </c>
    </row>
    <row r="47" spans="1:21" x14ac:dyDescent="0.35">
      <c r="B47" s="4">
        <f>SUM(B28:B46)</f>
        <v>0.64</v>
      </c>
      <c r="C47" s="4">
        <f t="shared" ref="C47:E47" si="6">SUM(C28:C46)</f>
        <v>0.65</v>
      </c>
      <c r="D47" s="4">
        <f>SUM(D28:D46)</f>
        <v>0.67999999999999994</v>
      </c>
      <c r="E47" s="4">
        <f t="shared" si="6"/>
        <v>0.99</v>
      </c>
      <c r="F47" s="40">
        <f>65000/1.5</f>
        <v>43333.333333333336</v>
      </c>
      <c r="G47" s="41">
        <f>SUM(G28:G46)</f>
        <v>0.44019230769230766</v>
      </c>
      <c r="H47" s="29"/>
      <c r="O47" s="1">
        <f>COUNT(O28:O46)</f>
        <v>19</v>
      </c>
      <c r="P47" s="1" t="s">
        <v>151</v>
      </c>
      <c r="Q47" s="26">
        <f>SUM(Q28:Q46)/O47</f>
        <v>404.50264295541729</v>
      </c>
      <c r="T47" s="26">
        <f>SUM(T28:T46)/O47</f>
        <v>0.46793923899272533</v>
      </c>
    </row>
    <row r="48" spans="1:21" x14ac:dyDescent="0.35">
      <c r="O48" s="1" t="s">
        <v>152</v>
      </c>
      <c r="P48" s="26">
        <f>Q47^0.5</f>
        <v>20.112251066338082</v>
      </c>
      <c r="S48" s="35">
        <f>T47^0.5</f>
        <v>0.68406084451072435</v>
      </c>
    </row>
    <row r="50" spans="1:10" x14ac:dyDescent="0.35">
      <c r="A50" s="1" t="s">
        <v>157</v>
      </c>
      <c r="B50" s="2">
        <v>0.9</v>
      </c>
      <c r="C50" s="1" t="s">
        <v>164</v>
      </c>
      <c r="D50" s="42">
        <v>-0.3</v>
      </c>
    </row>
    <row r="51" spans="1:10" x14ac:dyDescent="0.35">
      <c r="A51" s="1" t="s">
        <v>158</v>
      </c>
      <c r="B51" s="2">
        <v>2</v>
      </c>
      <c r="C51" s="1" t="s">
        <v>181</v>
      </c>
      <c r="D51" s="42">
        <v>0.2</v>
      </c>
    </row>
    <row r="53" spans="1:10" x14ac:dyDescent="0.35">
      <c r="A53" s="1" t="s">
        <v>95</v>
      </c>
      <c r="B53" s="1" t="s">
        <v>183</v>
      </c>
      <c r="C53" s="1" t="s">
        <v>159</v>
      </c>
      <c r="D53" s="1" t="s">
        <v>160</v>
      </c>
      <c r="E53" s="1" t="s">
        <v>171</v>
      </c>
      <c r="F53" s="1" t="s">
        <v>172</v>
      </c>
      <c r="G53" s="1" t="s">
        <v>169</v>
      </c>
      <c r="H53" s="1" t="s">
        <v>170</v>
      </c>
      <c r="J53" s="1" t="s">
        <v>154</v>
      </c>
    </row>
    <row r="54" spans="1:10" x14ac:dyDescent="0.35">
      <c r="A54" s="1" t="s">
        <v>109</v>
      </c>
      <c r="B54" s="26">
        <v>72.400000000000006</v>
      </c>
      <c r="C54" s="26">
        <v>47.2</v>
      </c>
      <c r="D54" s="26">
        <v>55.57</v>
      </c>
      <c r="E54" s="26">
        <v>39.32</v>
      </c>
      <c r="F54" s="26">
        <v>105.16</v>
      </c>
      <c r="G54" s="26">
        <v>43.11</v>
      </c>
      <c r="H54" s="26">
        <v>137.25</v>
      </c>
      <c r="J54" s="1">
        <v>65</v>
      </c>
    </row>
    <row r="55" spans="1:10" x14ac:dyDescent="0.35">
      <c r="A55" s="1" t="s">
        <v>110</v>
      </c>
      <c r="B55" s="26">
        <v>175.2</v>
      </c>
      <c r="C55" s="26">
        <v>125.19</v>
      </c>
      <c r="D55" s="26">
        <v>151.03</v>
      </c>
      <c r="E55" s="26">
        <v>108.27</v>
      </c>
      <c r="F55" s="26">
        <v>271.33999999999997</v>
      </c>
      <c r="G55" s="26">
        <v>120.92</v>
      </c>
      <c r="H55" s="26">
        <v>320.93</v>
      </c>
      <c r="J55" s="1">
        <v>167</v>
      </c>
    </row>
    <row r="56" spans="1:10" x14ac:dyDescent="0.35">
      <c r="A56" s="1" t="s">
        <v>89</v>
      </c>
      <c r="B56" s="26">
        <v>673.85</v>
      </c>
      <c r="C56" s="26">
        <v>320.63</v>
      </c>
      <c r="D56" s="26">
        <v>454.86</v>
      </c>
      <c r="E56" s="26">
        <v>191.53</v>
      </c>
      <c r="F56" s="26">
        <v>845.46</v>
      </c>
      <c r="G56" s="26">
        <v>270.24</v>
      </c>
      <c r="H56" s="26">
        <v>1645.39</v>
      </c>
      <c r="J56" s="1">
        <v>886</v>
      </c>
    </row>
    <row r="57" spans="1:10" x14ac:dyDescent="0.35">
      <c r="A57" s="1" t="s">
        <v>108</v>
      </c>
      <c r="B57" s="26">
        <v>584</v>
      </c>
      <c r="C57" s="26">
        <v>161.72</v>
      </c>
      <c r="D57" s="26">
        <v>634.97</v>
      </c>
      <c r="E57" s="26">
        <v>84.69</v>
      </c>
      <c r="F57" s="26">
        <v>941.96</v>
      </c>
      <c r="G57" s="26">
        <v>112.8</v>
      </c>
      <c r="H57" s="26">
        <v>1367.86</v>
      </c>
      <c r="J57" s="1">
        <v>384</v>
      </c>
    </row>
    <row r="58" spans="1:10" x14ac:dyDescent="0.35">
      <c r="A58" s="1" t="s">
        <v>111</v>
      </c>
      <c r="B58" s="26">
        <v>5079.2</v>
      </c>
      <c r="C58" s="26">
        <v>2463.13</v>
      </c>
      <c r="D58" s="26">
        <v>4711.91</v>
      </c>
      <c r="E58" s="26">
        <v>922.53</v>
      </c>
      <c r="F58" s="26">
        <v>7760.04</v>
      </c>
      <c r="G58" s="26">
        <v>2430.0700000000002</v>
      </c>
      <c r="H58" s="26">
        <v>11422.94</v>
      </c>
      <c r="J58" s="1">
        <v>4776</v>
      </c>
    </row>
    <row r="59" spans="1:10" x14ac:dyDescent="0.35">
      <c r="A59" s="1" t="s">
        <v>116</v>
      </c>
      <c r="B59" s="26">
        <v>345.25</v>
      </c>
      <c r="C59" s="26">
        <v>195.61</v>
      </c>
      <c r="D59" s="26">
        <v>267.48</v>
      </c>
      <c r="E59" s="26">
        <v>172.08</v>
      </c>
      <c r="F59" s="26">
        <v>522.51</v>
      </c>
      <c r="G59" s="26">
        <v>190.72</v>
      </c>
      <c r="H59" s="26">
        <v>660.33</v>
      </c>
      <c r="J59" s="1">
        <v>292</v>
      </c>
    </row>
    <row r="60" spans="1:10" x14ac:dyDescent="0.35">
      <c r="A60" s="1" t="s">
        <v>135</v>
      </c>
      <c r="B60" s="26">
        <v>533.04999999999995</v>
      </c>
      <c r="C60" s="26">
        <v>295.18</v>
      </c>
      <c r="D60" s="26">
        <v>397.87</v>
      </c>
      <c r="E60" s="26">
        <v>253.2</v>
      </c>
      <c r="F60" s="26">
        <v>793.58</v>
      </c>
      <c r="G60" s="26">
        <v>281.73</v>
      </c>
      <c r="H60" s="26">
        <v>1039.67</v>
      </c>
      <c r="J60" s="1">
        <v>506</v>
      </c>
    </row>
    <row r="61" spans="1:10" x14ac:dyDescent="0.35">
      <c r="A61" s="1" t="s">
        <v>138</v>
      </c>
      <c r="B61" s="26">
        <v>0</v>
      </c>
      <c r="C61" s="26">
        <v>0</v>
      </c>
      <c r="D61" s="26">
        <v>621.76</v>
      </c>
      <c r="E61" s="26">
        <v>0</v>
      </c>
      <c r="F61" s="26">
        <v>849.81</v>
      </c>
      <c r="G61" s="26">
        <v>0</v>
      </c>
      <c r="H61" s="26">
        <v>1345.39</v>
      </c>
      <c r="J61" s="1">
        <v>212</v>
      </c>
    </row>
    <row r="62" spans="1:10" x14ac:dyDescent="0.35">
      <c r="A62" s="1" t="s">
        <v>137</v>
      </c>
      <c r="B62" s="26">
        <v>0</v>
      </c>
      <c r="C62" s="26">
        <v>0</v>
      </c>
      <c r="D62" s="26">
        <v>104.66</v>
      </c>
      <c r="E62" s="26">
        <v>0</v>
      </c>
      <c r="F62" s="26">
        <v>132.86000000000001</v>
      </c>
      <c r="G62" s="26">
        <v>0</v>
      </c>
      <c r="H62" s="26">
        <v>210.81</v>
      </c>
      <c r="J62" s="1">
        <v>243</v>
      </c>
    </row>
    <row r="63" spans="1:10" x14ac:dyDescent="0.35">
      <c r="A63" s="1" t="s">
        <v>90</v>
      </c>
      <c r="B63" s="26">
        <v>0.2</v>
      </c>
      <c r="C63" s="26">
        <v>0</v>
      </c>
      <c r="D63" s="26">
        <v>143.72</v>
      </c>
      <c r="E63" s="26">
        <v>0</v>
      </c>
      <c r="F63" s="26">
        <v>182.62</v>
      </c>
      <c r="G63" s="26">
        <v>0</v>
      </c>
      <c r="H63" s="26">
        <v>287.93</v>
      </c>
      <c r="J63" s="1">
        <v>70</v>
      </c>
    </row>
    <row r="64" spans="1:10" x14ac:dyDescent="0.35">
      <c r="A64" s="1" t="s">
        <v>140</v>
      </c>
      <c r="B64" s="26">
        <v>0</v>
      </c>
      <c r="C64" s="26">
        <v>0</v>
      </c>
      <c r="D64" s="26">
        <v>97.41</v>
      </c>
      <c r="E64" s="26">
        <v>0</v>
      </c>
      <c r="F64" s="26">
        <v>114.87</v>
      </c>
      <c r="G64" s="26">
        <v>0</v>
      </c>
      <c r="H64" s="26">
        <v>466.33</v>
      </c>
      <c r="J64" s="1">
        <v>75</v>
      </c>
    </row>
    <row r="65" spans="1:10" x14ac:dyDescent="0.35">
      <c r="A65" s="1" t="s">
        <v>93</v>
      </c>
      <c r="B65" s="26">
        <v>160.19999999999999</v>
      </c>
      <c r="C65" s="26">
        <v>105.76</v>
      </c>
      <c r="D65" s="26">
        <v>285.22000000000003</v>
      </c>
      <c r="E65" s="26">
        <v>33.99</v>
      </c>
      <c r="F65" s="26">
        <v>418.54</v>
      </c>
      <c r="G65" s="26">
        <v>69.05</v>
      </c>
      <c r="H65" s="26">
        <v>515.36</v>
      </c>
      <c r="J65" s="1">
        <v>298</v>
      </c>
    </row>
    <row r="66" spans="1:10" x14ac:dyDescent="0.35">
      <c r="A66" s="1" t="s">
        <v>107</v>
      </c>
      <c r="B66" s="26">
        <v>626.9</v>
      </c>
      <c r="C66" s="26">
        <v>376.16</v>
      </c>
      <c r="D66" s="26">
        <v>503.85</v>
      </c>
      <c r="E66" s="26">
        <v>322.45999999999998</v>
      </c>
      <c r="F66" s="26">
        <v>974.83</v>
      </c>
      <c r="G66" s="26">
        <v>359</v>
      </c>
      <c r="H66" s="26">
        <v>1206.1400000000001</v>
      </c>
      <c r="J66" s="1">
        <v>482</v>
      </c>
    </row>
    <row r="67" spans="1:10" x14ac:dyDescent="0.35">
      <c r="A67" s="1" t="s">
        <v>101</v>
      </c>
      <c r="B67" s="26">
        <v>647.1</v>
      </c>
      <c r="C67" s="26">
        <v>280.3</v>
      </c>
      <c r="D67" s="26">
        <v>403.25</v>
      </c>
      <c r="E67" s="26">
        <v>223.45</v>
      </c>
      <c r="F67" s="26">
        <v>843.81</v>
      </c>
      <c r="G67" s="26">
        <v>251.29</v>
      </c>
      <c r="H67" s="26">
        <v>1482.28</v>
      </c>
      <c r="J67" s="1">
        <v>409</v>
      </c>
    </row>
    <row r="68" spans="1:10" x14ac:dyDescent="0.35">
      <c r="A68" s="1" t="s">
        <v>31</v>
      </c>
      <c r="B68" s="26">
        <v>523.75</v>
      </c>
      <c r="C68" s="26">
        <v>141.36000000000001</v>
      </c>
      <c r="D68" s="26">
        <v>283.52999999999997</v>
      </c>
      <c r="E68" s="26">
        <v>115.44</v>
      </c>
      <c r="F68" s="26">
        <v>667.03</v>
      </c>
      <c r="G68" s="26">
        <v>136.63999999999999</v>
      </c>
      <c r="H68" s="26">
        <v>1456.73</v>
      </c>
      <c r="J68" s="1">
        <v>171</v>
      </c>
    </row>
    <row r="69" spans="1:10" x14ac:dyDescent="0.35">
      <c r="A69" s="1" t="s">
        <v>105</v>
      </c>
      <c r="B69" s="26">
        <v>289.85000000000002</v>
      </c>
      <c r="C69" s="26">
        <v>117.61</v>
      </c>
      <c r="D69" s="26">
        <v>200.1</v>
      </c>
      <c r="E69" s="26">
        <v>48.64</v>
      </c>
      <c r="F69" s="26">
        <v>366.41</v>
      </c>
      <c r="G69" s="26">
        <v>107.88</v>
      </c>
      <c r="H69" s="26">
        <v>762.93</v>
      </c>
      <c r="J69" s="1">
        <v>222</v>
      </c>
    </row>
    <row r="70" spans="1:10" x14ac:dyDescent="0.35">
      <c r="A70" s="1" t="s">
        <v>139</v>
      </c>
      <c r="B70" s="26">
        <v>0</v>
      </c>
      <c r="C70" s="26">
        <v>0</v>
      </c>
      <c r="D70" s="26">
        <v>124.14</v>
      </c>
      <c r="E70" s="26">
        <v>0</v>
      </c>
      <c r="F70" s="26">
        <v>149.6</v>
      </c>
      <c r="G70" s="26">
        <v>0</v>
      </c>
      <c r="H70" s="26">
        <v>353.88</v>
      </c>
      <c r="J70" s="1">
        <v>88</v>
      </c>
    </row>
    <row r="71" spans="1:10" x14ac:dyDescent="0.35">
      <c r="A71" s="1" t="s">
        <v>117</v>
      </c>
      <c r="B71" s="26">
        <v>0</v>
      </c>
      <c r="C71" s="26">
        <v>0</v>
      </c>
      <c r="D71" s="26">
        <v>55.95</v>
      </c>
      <c r="E71" s="26">
        <v>0</v>
      </c>
      <c r="F71" s="26">
        <v>84.25</v>
      </c>
      <c r="G71" s="26">
        <v>0</v>
      </c>
      <c r="H71" s="26">
        <v>123.61</v>
      </c>
      <c r="J71" s="1">
        <v>28</v>
      </c>
    </row>
    <row r="72" spans="1:10" x14ac:dyDescent="0.35">
      <c r="A72" s="1" t="s">
        <v>136</v>
      </c>
      <c r="B72" s="26">
        <v>201.95</v>
      </c>
      <c r="C72" s="26">
        <v>102.67</v>
      </c>
      <c r="D72" s="26">
        <v>145.5</v>
      </c>
      <c r="E72" s="26">
        <v>54.24</v>
      </c>
      <c r="F72" s="26">
        <v>275.86</v>
      </c>
      <c r="G72" s="26">
        <v>85.11</v>
      </c>
      <c r="H72" s="26">
        <v>399.95</v>
      </c>
      <c r="J72" s="1">
        <v>159</v>
      </c>
    </row>
    <row r="73" spans="1:10" x14ac:dyDescent="0.35">
      <c r="A73" s="1" t="s">
        <v>182</v>
      </c>
      <c r="B73" s="54">
        <v>4.8</v>
      </c>
      <c r="C73" s="26">
        <v>0</v>
      </c>
      <c r="D73" s="26">
        <v>168.32</v>
      </c>
      <c r="E73" s="26">
        <v>0</v>
      </c>
      <c r="F73" s="26">
        <v>252.61</v>
      </c>
      <c r="G73" s="26">
        <v>0</v>
      </c>
      <c r="H73" s="26">
        <v>409.13</v>
      </c>
      <c r="J73" s="1">
        <v>196</v>
      </c>
    </row>
    <row r="75" spans="1:10" x14ac:dyDescent="0.35">
      <c r="A75" s="1" t="s">
        <v>95</v>
      </c>
      <c r="B75" s="1" t="s">
        <v>184</v>
      </c>
      <c r="C75" s="1" t="s">
        <v>159</v>
      </c>
      <c r="D75" s="1" t="s">
        <v>160</v>
      </c>
      <c r="E75" s="1" t="s">
        <v>171</v>
      </c>
      <c r="F75" s="1" t="s">
        <v>172</v>
      </c>
      <c r="G75" s="1" t="s">
        <v>169</v>
      </c>
      <c r="H75" s="1" t="s">
        <v>170</v>
      </c>
    </row>
    <row r="76" spans="1:10" x14ac:dyDescent="0.35">
      <c r="A76" s="1" t="str">
        <f>A54</f>
        <v>KO</v>
      </c>
      <c r="B76" s="29">
        <f>B54/$J54-1</f>
        <v>0.11384615384615393</v>
      </c>
      <c r="C76" s="29">
        <f>C54/$J54-1</f>
        <v>-0.27384615384615385</v>
      </c>
      <c r="D76" s="29">
        <f>D54/$J54-1</f>
        <v>-0.1450769230769231</v>
      </c>
      <c r="E76" s="29">
        <f>E54/$J54-1</f>
        <v>-0.3950769230769231</v>
      </c>
      <c r="F76" s="29">
        <f t="shared" ref="F76:H76" si="7">F54/$J54-1</f>
        <v>0.61784615384615371</v>
      </c>
      <c r="G76" s="29">
        <f t="shared" si="7"/>
        <v>-0.33676923076923082</v>
      </c>
      <c r="H76" s="29">
        <f t="shared" si="7"/>
        <v>1.1115384615384616</v>
      </c>
      <c r="J76" s="1">
        <f>1.2^12-1.1^12</f>
        <v>5.7776720715349956</v>
      </c>
    </row>
    <row r="77" spans="1:10" x14ac:dyDescent="0.35">
      <c r="A77" s="1" t="str">
        <f t="shared" ref="A77:A95" si="8">A55</f>
        <v>PEP</v>
      </c>
      <c r="B77" s="29">
        <f t="shared" ref="B77:D95" si="9">B55/$J55-1</f>
        <v>4.9101796407185594E-2</v>
      </c>
      <c r="C77" s="29">
        <f t="shared" si="9"/>
        <v>-0.25035928143712571</v>
      </c>
      <c r="D77" s="29">
        <f t="shared" si="9"/>
        <v>-9.562874251497E-2</v>
      </c>
      <c r="E77" s="29">
        <f t="shared" ref="E77:H77" si="10">E55/$J55-1</f>
        <v>-0.35167664670658683</v>
      </c>
      <c r="F77" s="29">
        <f t="shared" si="10"/>
        <v>0.62479041916167644</v>
      </c>
      <c r="G77" s="29">
        <f t="shared" si="10"/>
        <v>-0.27592814371257479</v>
      </c>
      <c r="H77" s="29">
        <f t="shared" si="10"/>
        <v>0.92173652694610775</v>
      </c>
    </row>
    <row r="78" spans="1:10" x14ac:dyDescent="0.35">
      <c r="A78" s="1" t="str">
        <f t="shared" si="8"/>
        <v>COST</v>
      </c>
      <c r="B78" s="29">
        <f t="shared" si="9"/>
        <v>-0.23944695259593674</v>
      </c>
      <c r="C78" s="29">
        <f t="shared" si="9"/>
        <v>-0.6381151241534988</v>
      </c>
      <c r="D78" s="29">
        <f t="shared" si="9"/>
        <v>-0.48661399548532724</v>
      </c>
      <c r="E78" s="29">
        <f t="shared" ref="E78:H78" si="11">E56/$J56-1</f>
        <v>-0.7838261851015802</v>
      </c>
      <c r="F78" s="29">
        <f t="shared" si="11"/>
        <v>-4.5756207674943483E-2</v>
      </c>
      <c r="G78" s="29">
        <f t="shared" si="11"/>
        <v>-0.69498871331828438</v>
      </c>
      <c r="H78" s="29">
        <f t="shared" si="11"/>
        <v>0.85709932279909729</v>
      </c>
    </row>
    <row r="79" spans="1:10" x14ac:dyDescent="0.35">
      <c r="A79" s="1" t="str">
        <f t="shared" si="8"/>
        <v>ULTA</v>
      </c>
      <c r="B79" s="29">
        <f t="shared" si="9"/>
        <v>0.52083333333333326</v>
      </c>
      <c r="C79" s="29">
        <f t="shared" si="9"/>
        <v>-0.57885416666666667</v>
      </c>
      <c r="D79" s="29">
        <f t="shared" si="9"/>
        <v>0.65356770833333333</v>
      </c>
      <c r="E79" s="29">
        <f t="shared" ref="E79:H79" si="12">E57/$J57-1</f>
        <v>-0.77945312499999997</v>
      </c>
      <c r="F79" s="29">
        <f t="shared" si="12"/>
        <v>1.4530208333333334</v>
      </c>
      <c r="G79" s="29">
        <f t="shared" si="12"/>
        <v>-0.70625000000000004</v>
      </c>
      <c r="H79" s="29">
        <f t="shared" si="12"/>
        <v>2.5621354166666666</v>
      </c>
    </row>
    <row r="80" spans="1:10" x14ac:dyDescent="0.35">
      <c r="A80" s="1" t="str">
        <f t="shared" si="8"/>
        <v>BKNG</v>
      </c>
      <c r="B80" s="29">
        <f t="shared" si="9"/>
        <v>6.3484087102177567E-2</v>
      </c>
      <c r="C80" s="29">
        <f t="shared" si="9"/>
        <v>-0.48426926298157447</v>
      </c>
      <c r="D80" s="29">
        <f t="shared" si="9"/>
        <v>-1.3419179229480771E-2</v>
      </c>
      <c r="E80" s="29">
        <f t="shared" ref="E80:H80" si="13">E58/$J58-1</f>
        <v>-0.80684045226130652</v>
      </c>
      <c r="F80" s="29">
        <f t="shared" si="13"/>
        <v>0.62479899497487446</v>
      </c>
      <c r="G80" s="29">
        <f t="shared" si="13"/>
        <v>-0.49119137353433828</v>
      </c>
      <c r="H80" s="29">
        <f t="shared" si="13"/>
        <v>1.3917378559463986</v>
      </c>
    </row>
    <row r="81" spans="1:8" x14ac:dyDescent="0.35">
      <c r="A81" s="1" t="str">
        <f t="shared" si="8"/>
        <v>V</v>
      </c>
      <c r="B81" s="29">
        <f t="shared" si="9"/>
        <v>0.18236301369863006</v>
      </c>
      <c r="C81" s="29">
        <f t="shared" si="9"/>
        <v>-0.33010273972602733</v>
      </c>
      <c r="D81" s="29">
        <f t="shared" si="9"/>
        <v>-8.3972602739725954E-2</v>
      </c>
      <c r="E81" s="29">
        <f t="shared" ref="E81:H81" si="14">E59/$J59-1</f>
        <v>-0.41068493150684926</v>
      </c>
      <c r="F81" s="29">
        <f t="shared" si="14"/>
        <v>0.78941780821917806</v>
      </c>
      <c r="G81" s="29">
        <f t="shared" si="14"/>
        <v>-0.34684931506849315</v>
      </c>
      <c r="H81" s="29">
        <f t="shared" si="14"/>
        <v>1.2614041095890411</v>
      </c>
    </row>
    <row r="82" spans="1:8" x14ac:dyDescent="0.35">
      <c r="A82" s="1" t="str">
        <f t="shared" si="8"/>
        <v>MA</v>
      </c>
      <c r="B82" s="29">
        <f t="shared" si="9"/>
        <v>5.3458498023715384E-2</v>
      </c>
      <c r="C82" s="29">
        <f t="shared" si="9"/>
        <v>-0.41664031620553355</v>
      </c>
      <c r="D82" s="29">
        <f t="shared" si="9"/>
        <v>-0.21369565217391306</v>
      </c>
      <c r="E82" s="29">
        <f t="shared" ref="E82:H82" si="15">E60/$J60-1</f>
        <v>-0.49960474308300395</v>
      </c>
      <c r="F82" s="29">
        <f t="shared" si="15"/>
        <v>0.56833992094861663</v>
      </c>
      <c r="G82" s="29">
        <f t="shared" si="15"/>
        <v>-0.44322134387351775</v>
      </c>
      <c r="H82" s="29">
        <f t="shared" si="15"/>
        <v>1.0546837944664031</v>
      </c>
    </row>
    <row r="83" spans="1:8" x14ac:dyDescent="0.35">
      <c r="A83" s="1" t="str">
        <f t="shared" si="8"/>
        <v>FSLR</v>
      </c>
      <c r="B83" s="29">
        <f t="shared" si="9"/>
        <v>-1</v>
      </c>
      <c r="C83" s="29">
        <f t="shared" si="9"/>
        <v>-1</v>
      </c>
      <c r="D83" s="29">
        <f t="shared" si="9"/>
        <v>1.9328301886792452</v>
      </c>
      <c r="E83" s="29">
        <f t="shared" ref="E83:H83" si="16">E61/$J61-1</f>
        <v>-1</v>
      </c>
      <c r="F83" s="29">
        <f t="shared" si="16"/>
        <v>3.0085377358490559</v>
      </c>
      <c r="G83" s="29">
        <f t="shared" si="16"/>
        <v>-1</v>
      </c>
      <c r="H83" s="29">
        <f t="shared" si="16"/>
        <v>5.346179245283019</v>
      </c>
    </row>
    <row r="84" spans="1:8" x14ac:dyDescent="0.35">
      <c r="A84" s="1" t="str">
        <f t="shared" si="8"/>
        <v>TSLA</v>
      </c>
      <c r="B84" s="29">
        <f t="shared" si="9"/>
        <v>-1</v>
      </c>
      <c r="C84" s="29">
        <f t="shared" si="9"/>
        <v>-1</v>
      </c>
      <c r="D84" s="29">
        <f t="shared" si="9"/>
        <v>-0.56930041152263378</v>
      </c>
      <c r="E84" s="29">
        <f t="shared" ref="E84:H84" si="17">E62/$J62-1</f>
        <v>-1</v>
      </c>
      <c r="F84" s="29">
        <f t="shared" si="17"/>
        <v>-0.4532510288065843</v>
      </c>
      <c r="G84" s="29">
        <f t="shared" si="17"/>
        <v>-1</v>
      </c>
      <c r="H84" s="29">
        <f t="shared" si="17"/>
        <v>-0.13246913580246911</v>
      </c>
    </row>
    <row r="85" spans="1:8" x14ac:dyDescent="0.35">
      <c r="A85" s="1" t="str">
        <f t="shared" si="8"/>
        <v>ON</v>
      </c>
      <c r="B85" s="29">
        <f t="shared" si="9"/>
        <v>-0.99714285714285711</v>
      </c>
      <c r="C85" s="29">
        <f t="shared" si="9"/>
        <v>-1</v>
      </c>
      <c r="D85" s="29">
        <f t="shared" si="9"/>
        <v>1.0531428571428569</v>
      </c>
      <c r="E85" s="29">
        <f t="shared" ref="E85:H85" si="18">E63/$J63-1</f>
        <v>-1</v>
      </c>
      <c r="F85" s="29">
        <f t="shared" si="18"/>
        <v>1.608857142857143</v>
      </c>
      <c r="G85" s="29">
        <f t="shared" si="18"/>
        <v>-1</v>
      </c>
      <c r="H85" s="29">
        <f t="shared" si="18"/>
        <v>3.1132857142857144</v>
      </c>
    </row>
    <row r="86" spans="1:8" x14ac:dyDescent="0.35">
      <c r="A86" s="1" t="str">
        <f t="shared" si="8"/>
        <v>MCHP</v>
      </c>
      <c r="B86" s="29">
        <f t="shared" si="9"/>
        <v>-1</v>
      </c>
      <c r="C86" s="29">
        <f t="shared" si="9"/>
        <v>-1</v>
      </c>
      <c r="D86" s="29">
        <f t="shared" si="9"/>
        <v>0.29879999999999995</v>
      </c>
      <c r="E86" s="29">
        <f t="shared" ref="E86:H86" si="19">E64/$J64-1</f>
        <v>-1</v>
      </c>
      <c r="F86" s="29">
        <f t="shared" si="19"/>
        <v>0.53160000000000007</v>
      </c>
      <c r="G86" s="29">
        <f t="shared" si="19"/>
        <v>-1</v>
      </c>
      <c r="H86" s="29">
        <f t="shared" si="19"/>
        <v>5.2177333333333333</v>
      </c>
    </row>
    <row r="87" spans="1:8" x14ac:dyDescent="0.35">
      <c r="A87" s="1" t="str">
        <f t="shared" si="8"/>
        <v>CRM</v>
      </c>
      <c r="B87" s="29">
        <f t="shared" si="9"/>
        <v>-0.46241610738255035</v>
      </c>
      <c r="C87" s="29">
        <f t="shared" si="9"/>
        <v>-0.64510067114093961</v>
      </c>
      <c r="D87" s="29">
        <f t="shared" si="9"/>
        <v>-4.2885906040268318E-2</v>
      </c>
      <c r="E87" s="29">
        <f t="shared" ref="E87:H87" si="20">E65/$J65-1</f>
        <v>-0.88593959731543626</v>
      </c>
      <c r="F87" s="29">
        <f t="shared" si="20"/>
        <v>0.40449664429530219</v>
      </c>
      <c r="G87" s="29">
        <f t="shared" si="20"/>
        <v>-0.76828859060402688</v>
      </c>
      <c r="H87" s="29">
        <f t="shared" si="20"/>
        <v>0.72939597315436244</v>
      </c>
    </row>
    <row r="88" spans="1:8" x14ac:dyDescent="0.35">
      <c r="A88" s="1" t="str">
        <f t="shared" si="8"/>
        <v>ADBE</v>
      </c>
      <c r="B88" s="29">
        <f t="shared" si="9"/>
        <v>0.30062240663900419</v>
      </c>
      <c r="C88" s="29">
        <f t="shared" si="9"/>
        <v>-0.21958506224066388</v>
      </c>
      <c r="D88" s="29">
        <f t="shared" si="9"/>
        <v>4.5331950207468941E-2</v>
      </c>
      <c r="E88" s="29">
        <f t="shared" ref="E88:H88" si="21">E66/$J66-1</f>
        <v>-0.33099585062240666</v>
      </c>
      <c r="F88" s="29">
        <f t="shared" si="21"/>
        <v>1.0224688796680499</v>
      </c>
      <c r="G88" s="29">
        <f t="shared" si="21"/>
        <v>-0.25518672199170123</v>
      </c>
      <c r="H88" s="29">
        <f t="shared" si="21"/>
        <v>1.5023651452282158</v>
      </c>
    </row>
    <row r="89" spans="1:8" x14ac:dyDescent="0.35">
      <c r="A89" s="1" t="str">
        <f t="shared" si="8"/>
        <v>MSFT</v>
      </c>
      <c r="B89" s="29">
        <f t="shared" si="9"/>
        <v>0.5821515892420539</v>
      </c>
      <c r="C89" s="29">
        <f t="shared" si="9"/>
        <v>-0.31466992665036675</v>
      </c>
      <c r="D89" s="29">
        <f t="shared" si="9"/>
        <v>-1.4058679706601462E-2</v>
      </c>
      <c r="E89" s="29">
        <f t="shared" ref="E89:H89" si="22">E67/$J67-1</f>
        <v>-0.45366748166259174</v>
      </c>
      <c r="F89" s="29">
        <f t="shared" si="22"/>
        <v>1.0631051344743274</v>
      </c>
      <c r="G89" s="29">
        <f t="shared" si="22"/>
        <v>-0.38559902200489005</v>
      </c>
      <c r="H89" s="29">
        <f t="shared" si="22"/>
        <v>2.624156479217604</v>
      </c>
    </row>
    <row r="90" spans="1:8" x14ac:dyDescent="0.35">
      <c r="A90" s="1" t="str">
        <f t="shared" si="8"/>
        <v>GOOG</v>
      </c>
      <c r="B90" s="29">
        <f t="shared" si="9"/>
        <v>2.0628654970760234</v>
      </c>
      <c r="C90" s="29">
        <f t="shared" si="9"/>
        <v>-0.17333333333333323</v>
      </c>
      <c r="D90" s="29">
        <f t="shared" si="9"/>
        <v>0.65807017543859625</v>
      </c>
      <c r="E90" s="29">
        <f t="shared" ref="E90:H90" si="23">E68/$J68-1</f>
        <v>-0.32491228070175437</v>
      </c>
      <c r="F90" s="29">
        <f t="shared" si="23"/>
        <v>2.9007602339181284</v>
      </c>
      <c r="G90" s="29">
        <f t="shared" si="23"/>
        <v>-0.20093567251461997</v>
      </c>
      <c r="H90" s="29">
        <f t="shared" si="23"/>
        <v>7.5188888888888883</v>
      </c>
    </row>
    <row r="91" spans="1:8" x14ac:dyDescent="0.35">
      <c r="A91" s="1" t="str">
        <f t="shared" si="8"/>
        <v>AAPL</v>
      </c>
      <c r="B91" s="29">
        <f t="shared" si="9"/>
        <v>0.30563063063063067</v>
      </c>
      <c r="C91" s="29">
        <f t="shared" si="9"/>
        <v>-0.47022522522522525</v>
      </c>
      <c r="D91" s="29">
        <f t="shared" si="9"/>
        <v>-9.864864864864864E-2</v>
      </c>
      <c r="E91" s="29">
        <f t="shared" ref="E91:H91" si="24">E69/$J69-1</f>
        <v>-0.78090090090090092</v>
      </c>
      <c r="F91" s="29">
        <f t="shared" si="24"/>
        <v>0.65049549549549557</v>
      </c>
      <c r="G91" s="29">
        <f t="shared" si="24"/>
        <v>-0.51405405405405413</v>
      </c>
      <c r="H91" s="29">
        <f t="shared" si="24"/>
        <v>2.4366216216216214</v>
      </c>
    </row>
    <row r="92" spans="1:8" x14ac:dyDescent="0.35">
      <c r="A92" s="1" t="str">
        <f t="shared" si="8"/>
        <v>ENPH</v>
      </c>
      <c r="B92" s="29">
        <f t="shared" si="9"/>
        <v>-1</v>
      </c>
      <c r="C92" s="29">
        <f t="shared" si="9"/>
        <v>-1</v>
      </c>
      <c r="D92" s="29">
        <f t="shared" si="9"/>
        <v>0.41068181818181815</v>
      </c>
      <c r="E92" s="29">
        <f t="shared" ref="E92:H92" si="25">E70/$J70-1</f>
        <v>-1</v>
      </c>
      <c r="F92" s="29">
        <f t="shared" si="25"/>
        <v>0.7</v>
      </c>
      <c r="G92" s="29">
        <f t="shared" si="25"/>
        <v>-1</v>
      </c>
      <c r="H92" s="29">
        <f t="shared" si="25"/>
        <v>3.0213636363636365</v>
      </c>
    </row>
    <row r="93" spans="1:8" x14ac:dyDescent="0.35">
      <c r="A93" s="1" t="str">
        <f t="shared" si="8"/>
        <v>PFE</v>
      </c>
      <c r="B93" s="29">
        <f t="shared" si="9"/>
        <v>-1</v>
      </c>
      <c r="C93" s="29">
        <f t="shared" si="9"/>
        <v>-1</v>
      </c>
      <c r="D93" s="29">
        <f t="shared" si="9"/>
        <v>0.99821428571428572</v>
      </c>
      <c r="E93" s="29">
        <f t="shared" ref="E93:H93" si="26">E71/$J71-1</f>
        <v>-1</v>
      </c>
      <c r="F93" s="29">
        <f t="shared" si="26"/>
        <v>2.0089285714285716</v>
      </c>
      <c r="G93" s="29">
        <f t="shared" si="26"/>
        <v>-1</v>
      </c>
      <c r="H93" s="29">
        <f t="shared" si="26"/>
        <v>3.4146428571428569</v>
      </c>
    </row>
    <row r="94" spans="1:8" x14ac:dyDescent="0.35">
      <c r="A94" s="1" t="str">
        <f t="shared" si="8"/>
        <v>JNJ</v>
      </c>
      <c r="B94" s="29">
        <f t="shared" si="9"/>
        <v>0.27012578616352201</v>
      </c>
      <c r="C94" s="29">
        <f t="shared" si="9"/>
        <v>-0.35427672955974843</v>
      </c>
      <c r="D94" s="29">
        <f t="shared" si="9"/>
        <v>-8.4905660377358472E-2</v>
      </c>
      <c r="E94" s="29">
        <f t="shared" ref="E94:H95" si="27">E72/$J72-1</f>
        <v>-0.6588679245283019</v>
      </c>
      <c r="F94" s="29">
        <f t="shared" si="27"/>
        <v>0.73496855345911949</v>
      </c>
      <c r="G94" s="29">
        <f t="shared" si="27"/>
        <v>-0.46471698113207549</v>
      </c>
      <c r="H94" s="29">
        <f t="shared" si="27"/>
        <v>1.5154088050314463</v>
      </c>
    </row>
    <row r="95" spans="1:8" x14ac:dyDescent="0.35">
      <c r="A95" s="1" t="str">
        <f t="shared" si="8"/>
        <v>AMZN</v>
      </c>
      <c r="B95" s="29">
        <f t="shared" si="9"/>
        <v>-0.97551020408163269</v>
      </c>
      <c r="C95" s="29">
        <f t="shared" si="9"/>
        <v>-1</v>
      </c>
      <c r="D95" s="29">
        <f t="shared" si="9"/>
        <v>-0.1412244897959184</v>
      </c>
      <c r="E95" s="29">
        <f t="shared" si="27"/>
        <v>-1</v>
      </c>
      <c r="F95" s="29">
        <f t="shared" si="27"/>
        <v>0.28882653061224506</v>
      </c>
      <c r="G95" s="29">
        <f t="shared" si="27"/>
        <v>-1</v>
      </c>
      <c r="H95" s="29">
        <f t="shared" si="27"/>
        <v>1.0873979591836735</v>
      </c>
    </row>
    <row r="97" spans="1:23" x14ac:dyDescent="0.35">
      <c r="A97" s="1" t="s">
        <v>95</v>
      </c>
      <c r="B97" s="36" t="s">
        <v>161</v>
      </c>
      <c r="C97" s="36" t="s">
        <v>162</v>
      </c>
      <c r="D97" s="36" t="s">
        <v>163</v>
      </c>
      <c r="E97" s="36" t="s">
        <v>173</v>
      </c>
      <c r="F97" s="36" t="s">
        <v>174</v>
      </c>
      <c r="G97" s="36" t="s">
        <v>165</v>
      </c>
      <c r="H97" s="47" t="s">
        <v>188</v>
      </c>
      <c r="K97" s="36" t="s">
        <v>161</v>
      </c>
      <c r="L97" s="36" t="s">
        <v>162</v>
      </c>
      <c r="M97" s="36" t="s">
        <v>163</v>
      </c>
      <c r="N97" s="36" t="s">
        <v>173</v>
      </c>
      <c r="O97" s="36" t="s">
        <v>174</v>
      </c>
      <c r="P97" s="36" t="s">
        <v>176</v>
      </c>
      <c r="Q97" s="36" t="s">
        <v>175</v>
      </c>
      <c r="R97" s="36" t="s">
        <v>177</v>
      </c>
      <c r="S97" s="36" t="s">
        <v>179</v>
      </c>
      <c r="T97" s="36" t="s">
        <v>180</v>
      </c>
      <c r="U97" s="47" t="s">
        <v>166</v>
      </c>
      <c r="V97" s="53" t="s">
        <v>185</v>
      </c>
      <c r="W97" s="53" t="s">
        <v>186</v>
      </c>
    </row>
    <row r="98" spans="1:23" x14ac:dyDescent="0.35">
      <c r="A98" s="1" t="str">
        <f>A76</f>
        <v>KO</v>
      </c>
      <c r="B98" s="1">
        <f t="shared" ref="B98:B117" si="28">IF(B76&gt;0,1,0)</f>
        <v>1</v>
      </c>
      <c r="C98" s="1">
        <f t="shared" ref="C98:C116" si="29">IF(C76&gt;D$50,1,0)</f>
        <v>1</v>
      </c>
      <c r="D98" s="1">
        <f>IF(D76&gt;0,1,0)</f>
        <v>0</v>
      </c>
      <c r="E98" s="1">
        <f>IF(F76&gt;-E76,1,0)</f>
        <v>1</v>
      </c>
      <c r="F98" s="1">
        <f>IF(H76&gt;-$B$51*G76,1,0)</f>
        <v>1</v>
      </c>
      <c r="G98" s="1">
        <f>SUM(B98:F98)-3</f>
        <v>1</v>
      </c>
      <c r="H98" s="1">
        <f>IF(J54&lt;R98,1,0)</f>
        <v>0</v>
      </c>
      <c r="J98" s="49">
        <v>0</v>
      </c>
      <c r="K98" s="50">
        <f>B54</f>
        <v>72.400000000000006</v>
      </c>
      <c r="L98" s="50">
        <f>C54/0.7</f>
        <v>67.428571428571431</v>
      </c>
      <c r="M98" s="50">
        <f>D54</f>
        <v>55.57</v>
      </c>
      <c r="N98" s="50">
        <f>(E54+F54)/2</f>
        <v>72.239999999999995</v>
      </c>
      <c r="O98" s="50">
        <f>(G54*2+H54)*(1/3)</f>
        <v>74.489999999999995</v>
      </c>
      <c r="P98" s="51">
        <f>MIN(K98:O98)</f>
        <v>55.57</v>
      </c>
      <c r="Q98" s="51">
        <f>IF(COUNTIF(K98:O98,"="&amp;J98)&gt;1,0,_xlfn.MINIFS(K98:O98,K98:O98,"&gt;"&amp;P98))</f>
        <v>67.428571428571431</v>
      </c>
      <c r="R98" s="46">
        <f>MIN(AVERAGE(P98:Q98),U98*(1-$D$51))</f>
        <v>58.756</v>
      </c>
      <c r="S98" s="52">
        <f>MAX(K98:O98)</f>
        <v>74.489999999999995</v>
      </c>
      <c r="T98" s="52">
        <f>_xlfn.MAXIFS(K98:O98,K98:O98,"&lt;"&amp;S98)</f>
        <v>72.400000000000006</v>
      </c>
      <c r="U98" s="48">
        <f>AVERAGE(S98:T98)</f>
        <v>73.444999999999993</v>
      </c>
      <c r="V98" s="29">
        <f>IFERROR(MIN(U98/R98-1,200%),0)</f>
        <v>0.24999999999999978</v>
      </c>
      <c r="W98" s="29">
        <f>U98/J54-1</f>
        <v>0.12992307692307681</v>
      </c>
    </row>
    <row r="99" spans="1:23" x14ac:dyDescent="0.35">
      <c r="A99" s="1" t="str">
        <f t="shared" ref="A99:A117" si="30">A77</f>
        <v>PEP</v>
      </c>
      <c r="B99" s="1">
        <f t="shared" si="28"/>
        <v>1</v>
      </c>
      <c r="C99" s="1">
        <f t="shared" si="29"/>
        <v>1</v>
      </c>
      <c r="D99" s="1">
        <f t="shared" ref="D99:D117" si="31">IF(D77&gt;0,1,0)</f>
        <v>0</v>
      </c>
      <c r="E99" s="1">
        <f t="shared" ref="E99:E116" si="32">IF(F77&gt;-B$51*E77,1,0)</f>
        <v>0</v>
      </c>
      <c r="F99" s="1">
        <f t="shared" ref="F99:F116" si="33">IF(H77&gt;-$B$51*G77,1,0)</f>
        <v>1</v>
      </c>
      <c r="G99" s="1">
        <f t="shared" ref="G99:G116" si="34">SUM(B99:F99)-3</f>
        <v>0</v>
      </c>
      <c r="H99" s="1">
        <f t="shared" ref="H99:H117" si="35">IF(J55&lt;R99,1,0)</f>
        <v>0</v>
      </c>
      <c r="J99" s="49">
        <v>0</v>
      </c>
      <c r="K99" s="50">
        <f t="shared" ref="K99:K116" si="36">B55</f>
        <v>175.2</v>
      </c>
      <c r="L99" s="50">
        <f t="shared" ref="L99:L116" si="37">C55/0.7</f>
        <v>178.84285714285716</v>
      </c>
      <c r="M99" s="50">
        <f t="shared" ref="M99:M116" si="38">D55</f>
        <v>151.03</v>
      </c>
      <c r="N99" s="50">
        <f t="shared" ref="N99:N116" si="39">(E55+F55)/2</f>
        <v>189.80499999999998</v>
      </c>
      <c r="O99" s="50">
        <f t="shared" ref="O99:O116" si="40">(G55*2+H55)*(1/3)</f>
        <v>187.58999999999997</v>
      </c>
      <c r="P99" s="51">
        <f t="shared" ref="P99:P116" si="41">MIN(K99:O99)</f>
        <v>151.03</v>
      </c>
      <c r="Q99" s="51">
        <f t="shared" ref="Q99:Q116" si="42">IF(COUNTIF(K99:O99,"="&amp;J99)&gt;1,0,_xlfn.MINIFS(K99:O99,K99:O99,"&gt;"&amp;P99))</f>
        <v>175.2</v>
      </c>
      <c r="R99" s="46">
        <f t="shared" ref="R99:R117" si="43">MIN(AVERAGE(P99:Q99),U99*(1-$D$51))</f>
        <v>150.958</v>
      </c>
      <c r="S99" s="52">
        <f t="shared" ref="S99:S116" si="44">MAX(K99:O99)</f>
        <v>189.80499999999998</v>
      </c>
      <c r="T99" s="52">
        <f t="shared" ref="T99:T116" si="45">_xlfn.MAXIFS(K99:O99,K99:O99,"&lt;"&amp;S99)</f>
        <v>187.58999999999997</v>
      </c>
      <c r="U99" s="48">
        <f t="shared" ref="U99:U117" si="46">AVERAGE(S99:T99)</f>
        <v>188.69749999999999</v>
      </c>
      <c r="V99" s="29">
        <f t="shared" ref="V99:V117" si="47">IFERROR(MIN(U99/R99-1,200%),0)</f>
        <v>0.25</v>
      </c>
      <c r="W99" s="29">
        <f t="shared" ref="W99:W117" si="48">U99/J55-1</f>
        <v>0.12992514970059865</v>
      </c>
    </row>
    <row r="100" spans="1:23" x14ac:dyDescent="0.35">
      <c r="A100" s="1" t="str">
        <f t="shared" si="30"/>
        <v>COST</v>
      </c>
      <c r="B100" s="1">
        <f t="shared" si="28"/>
        <v>0</v>
      </c>
      <c r="C100" s="1">
        <f t="shared" si="29"/>
        <v>0</v>
      </c>
      <c r="D100" s="1">
        <f t="shared" si="31"/>
        <v>0</v>
      </c>
      <c r="E100" s="1">
        <f t="shared" si="32"/>
        <v>0</v>
      </c>
      <c r="F100" s="1">
        <f t="shared" si="33"/>
        <v>0</v>
      </c>
      <c r="G100" s="1">
        <f t="shared" si="34"/>
        <v>-3</v>
      </c>
      <c r="H100" s="1">
        <f t="shared" si="35"/>
        <v>0</v>
      </c>
      <c r="J100" s="49">
        <v>0</v>
      </c>
      <c r="K100" s="50">
        <f t="shared" si="36"/>
        <v>673.85</v>
      </c>
      <c r="L100" s="50">
        <f t="shared" si="37"/>
        <v>458.04285714285714</v>
      </c>
      <c r="M100" s="50">
        <f t="shared" si="38"/>
        <v>454.86</v>
      </c>
      <c r="N100" s="50">
        <f t="shared" si="39"/>
        <v>518.495</v>
      </c>
      <c r="O100" s="50">
        <f t="shared" si="40"/>
        <v>728.62333333333322</v>
      </c>
      <c r="P100" s="51">
        <f t="shared" si="41"/>
        <v>454.86</v>
      </c>
      <c r="Q100" s="51">
        <f t="shared" si="42"/>
        <v>458.04285714285714</v>
      </c>
      <c r="R100" s="46">
        <f t="shared" si="43"/>
        <v>456.45142857142855</v>
      </c>
      <c r="S100" s="52">
        <f t="shared" si="44"/>
        <v>728.62333333333322</v>
      </c>
      <c r="T100" s="52">
        <f t="shared" si="45"/>
        <v>673.85</v>
      </c>
      <c r="U100" s="48">
        <f t="shared" si="46"/>
        <v>701.23666666666668</v>
      </c>
      <c r="V100" s="29">
        <f t="shared" si="47"/>
        <v>0.53627883006380483</v>
      </c>
      <c r="W100" s="29">
        <f t="shared" si="48"/>
        <v>-0.20853649360421367</v>
      </c>
    </row>
    <row r="101" spans="1:23" x14ac:dyDescent="0.35">
      <c r="A101" s="1" t="str">
        <f t="shared" si="30"/>
        <v>ULTA</v>
      </c>
      <c r="B101" s="1">
        <f t="shared" si="28"/>
        <v>1</v>
      </c>
      <c r="C101" s="1">
        <f t="shared" si="29"/>
        <v>0</v>
      </c>
      <c r="D101" s="1">
        <f t="shared" si="31"/>
        <v>1</v>
      </c>
      <c r="E101" s="1">
        <f t="shared" si="32"/>
        <v>0</v>
      </c>
      <c r="F101" s="1">
        <f t="shared" si="33"/>
        <v>1</v>
      </c>
      <c r="G101" s="1">
        <f t="shared" si="34"/>
        <v>0</v>
      </c>
      <c r="H101" s="1">
        <f>IF(J57&lt;R101,1,0)</f>
        <v>0</v>
      </c>
      <c r="J101" s="49">
        <v>0</v>
      </c>
      <c r="K101" s="50">
        <f t="shared" si="36"/>
        <v>584</v>
      </c>
      <c r="L101" s="50">
        <f t="shared" si="37"/>
        <v>231.02857142857144</v>
      </c>
      <c r="M101" s="50">
        <f t="shared" si="38"/>
        <v>634.97</v>
      </c>
      <c r="N101" s="50">
        <f t="shared" si="39"/>
        <v>513.32500000000005</v>
      </c>
      <c r="O101" s="50">
        <f t="shared" si="40"/>
        <v>531.15333333333319</v>
      </c>
      <c r="P101" s="51">
        <f t="shared" si="41"/>
        <v>231.02857142857144</v>
      </c>
      <c r="Q101" s="51">
        <f t="shared" si="42"/>
        <v>513.32500000000005</v>
      </c>
      <c r="R101" s="46">
        <f t="shared" si="43"/>
        <v>372.17678571428576</v>
      </c>
      <c r="S101" s="52">
        <f t="shared" si="44"/>
        <v>634.97</v>
      </c>
      <c r="T101" s="52">
        <f t="shared" si="45"/>
        <v>584</v>
      </c>
      <c r="U101" s="48">
        <f t="shared" si="46"/>
        <v>609.48500000000001</v>
      </c>
      <c r="V101" s="29">
        <f t="shared" si="47"/>
        <v>0.63762228971446921</v>
      </c>
      <c r="W101" s="29">
        <f t="shared" si="48"/>
        <v>0.58720052083333329</v>
      </c>
    </row>
    <row r="102" spans="1:23" x14ac:dyDescent="0.35">
      <c r="A102" s="1" t="str">
        <f t="shared" si="30"/>
        <v>BKNG</v>
      </c>
      <c r="B102" s="1">
        <f t="shared" si="28"/>
        <v>1</v>
      </c>
      <c r="C102" s="1">
        <f t="shared" si="29"/>
        <v>0</v>
      </c>
      <c r="D102" s="1">
        <f t="shared" si="31"/>
        <v>0</v>
      </c>
      <c r="E102" s="1">
        <f t="shared" si="32"/>
        <v>0</v>
      </c>
      <c r="F102" s="1">
        <f t="shared" si="33"/>
        <v>1</v>
      </c>
      <c r="G102" s="1">
        <f t="shared" si="34"/>
        <v>-1</v>
      </c>
      <c r="H102" s="1">
        <f t="shared" si="35"/>
        <v>0</v>
      </c>
      <c r="J102" s="49">
        <v>0</v>
      </c>
      <c r="K102" s="50">
        <f t="shared" si="36"/>
        <v>5079.2</v>
      </c>
      <c r="L102" s="50">
        <f t="shared" si="37"/>
        <v>3518.7571428571432</v>
      </c>
      <c r="M102" s="50">
        <f t="shared" si="38"/>
        <v>4711.91</v>
      </c>
      <c r="N102" s="50">
        <f t="shared" si="39"/>
        <v>4341.2849999999999</v>
      </c>
      <c r="O102" s="50">
        <f t="shared" si="40"/>
        <v>5427.6933333333336</v>
      </c>
      <c r="P102" s="51">
        <f t="shared" si="41"/>
        <v>3518.7571428571432</v>
      </c>
      <c r="Q102" s="51">
        <f t="shared" si="42"/>
        <v>4341.2849999999999</v>
      </c>
      <c r="R102" s="46">
        <f t="shared" si="43"/>
        <v>3930.0210714285713</v>
      </c>
      <c r="S102" s="52">
        <f t="shared" si="44"/>
        <v>5427.6933333333336</v>
      </c>
      <c r="T102" s="52">
        <f t="shared" si="45"/>
        <v>5079.2</v>
      </c>
      <c r="U102" s="48">
        <f t="shared" si="46"/>
        <v>5253.4466666666667</v>
      </c>
      <c r="V102" s="29">
        <f t="shared" si="47"/>
        <v>0.33674770979205659</v>
      </c>
      <c r="W102" s="29">
        <f t="shared" si="48"/>
        <v>9.996789503070902E-2</v>
      </c>
    </row>
    <row r="103" spans="1:23" x14ac:dyDescent="0.35">
      <c r="A103" s="1" t="str">
        <f t="shared" si="30"/>
        <v>V</v>
      </c>
      <c r="B103" s="1">
        <f t="shared" si="28"/>
        <v>1</v>
      </c>
      <c r="C103" s="1">
        <f t="shared" si="29"/>
        <v>0</v>
      </c>
      <c r="D103" s="1">
        <f t="shared" si="31"/>
        <v>0</v>
      </c>
      <c r="E103" s="1">
        <f t="shared" si="32"/>
        <v>0</v>
      </c>
      <c r="F103" s="1">
        <f t="shared" si="33"/>
        <v>1</v>
      </c>
      <c r="G103" s="1">
        <f t="shared" si="34"/>
        <v>-1</v>
      </c>
      <c r="H103" s="1">
        <f t="shared" si="35"/>
        <v>0</v>
      </c>
      <c r="J103" s="49">
        <v>0</v>
      </c>
      <c r="K103" s="50">
        <f t="shared" si="36"/>
        <v>345.25</v>
      </c>
      <c r="L103" s="50">
        <f t="shared" si="37"/>
        <v>279.44285714285718</v>
      </c>
      <c r="M103" s="50">
        <f t="shared" si="38"/>
        <v>267.48</v>
      </c>
      <c r="N103" s="50">
        <f t="shared" si="39"/>
        <v>347.29500000000002</v>
      </c>
      <c r="O103" s="50">
        <f t="shared" si="40"/>
        <v>347.25666666666666</v>
      </c>
      <c r="P103" s="51">
        <f t="shared" si="41"/>
        <v>267.48</v>
      </c>
      <c r="Q103" s="51">
        <f t="shared" si="42"/>
        <v>279.44285714285718</v>
      </c>
      <c r="R103" s="46">
        <f t="shared" si="43"/>
        <v>273.4614285714286</v>
      </c>
      <c r="S103" s="52">
        <f t="shared" si="44"/>
        <v>347.29500000000002</v>
      </c>
      <c r="T103" s="52">
        <f t="shared" si="45"/>
        <v>347.25666666666666</v>
      </c>
      <c r="U103" s="48">
        <f t="shared" si="46"/>
        <v>347.27583333333337</v>
      </c>
      <c r="V103" s="29">
        <f t="shared" si="47"/>
        <v>0.26992620183224236</v>
      </c>
      <c r="W103" s="29">
        <f t="shared" si="48"/>
        <v>0.18930079908675812</v>
      </c>
    </row>
    <row r="104" spans="1:23" x14ac:dyDescent="0.35">
      <c r="A104" s="1" t="str">
        <f t="shared" si="30"/>
        <v>MA</v>
      </c>
      <c r="B104" s="1">
        <f t="shared" si="28"/>
        <v>1</v>
      </c>
      <c r="C104" s="1">
        <f t="shared" si="29"/>
        <v>0</v>
      </c>
      <c r="D104" s="1">
        <f t="shared" si="31"/>
        <v>0</v>
      </c>
      <c r="E104" s="1">
        <f t="shared" si="32"/>
        <v>0</v>
      </c>
      <c r="F104" s="1">
        <f t="shared" si="33"/>
        <v>1</v>
      </c>
      <c r="G104" s="1">
        <f t="shared" si="34"/>
        <v>-1</v>
      </c>
      <c r="H104" s="1">
        <f t="shared" si="35"/>
        <v>0</v>
      </c>
      <c r="J104" s="49">
        <v>0</v>
      </c>
      <c r="K104" s="50">
        <f t="shared" si="36"/>
        <v>533.04999999999995</v>
      </c>
      <c r="L104" s="50">
        <f t="shared" si="37"/>
        <v>421.68571428571431</v>
      </c>
      <c r="M104" s="50">
        <f t="shared" si="38"/>
        <v>397.87</v>
      </c>
      <c r="N104" s="50">
        <f t="shared" si="39"/>
        <v>523.39</v>
      </c>
      <c r="O104" s="50">
        <f t="shared" si="40"/>
        <v>534.37666666666667</v>
      </c>
      <c r="P104" s="51">
        <f t="shared" si="41"/>
        <v>397.87</v>
      </c>
      <c r="Q104" s="51">
        <f t="shared" si="42"/>
        <v>421.68571428571431</v>
      </c>
      <c r="R104" s="46">
        <f t="shared" si="43"/>
        <v>409.77785714285716</v>
      </c>
      <c r="S104" s="52">
        <f t="shared" si="44"/>
        <v>534.37666666666667</v>
      </c>
      <c r="T104" s="52">
        <f t="shared" si="45"/>
        <v>533.04999999999995</v>
      </c>
      <c r="U104" s="48">
        <f t="shared" si="46"/>
        <v>533.71333333333337</v>
      </c>
      <c r="V104" s="29">
        <f t="shared" si="47"/>
        <v>0.3024455178095915</v>
      </c>
      <c r="W104" s="29">
        <f t="shared" si="48"/>
        <v>5.4769433465085671E-2</v>
      </c>
    </row>
    <row r="105" spans="1:23" x14ac:dyDescent="0.35">
      <c r="A105" s="1" t="str">
        <f t="shared" si="30"/>
        <v>FSLR</v>
      </c>
      <c r="B105" s="1">
        <f t="shared" si="28"/>
        <v>0</v>
      </c>
      <c r="C105" s="1">
        <f t="shared" si="29"/>
        <v>0</v>
      </c>
      <c r="D105" s="1">
        <f t="shared" si="31"/>
        <v>1</v>
      </c>
      <c r="E105" s="1">
        <f t="shared" si="32"/>
        <v>1</v>
      </c>
      <c r="F105" s="1">
        <f t="shared" si="33"/>
        <v>1</v>
      </c>
      <c r="G105" s="1">
        <f t="shared" si="34"/>
        <v>0</v>
      </c>
      <c r="H105" s="1">
        <f t="shared" si="35"/>
        <v>0</v>
      </c>
      <c r="J105" s="49">
        <v>0</v>
      </c>
      <c r="K105" s="50">
        <f t="shared" si="36"/>
        <v>0</v>
      </c>
      <c r="L105" s="50">
        <f t="shared" si="37"/>
        <v>0</v>
      </c>
      <c r="M105" s="50">
        <f t="shared" si="38"/>
        <v>621.76</v>
      </c>
      <c r="N105" s="50">
        <f t="shared" si="39"/>
        <v>424.90499999999997</v>
      </c>
      <c r="O105" s="50">
        <f t="shared" si="40"/>
        <v>448.46333333333337</v>
      </c>
      <c r="P105" s="51">
        <f t="shared" si="41"/>
        <v>0</v>
      </c>
      <c r="Q105" s="51">
        <f t="shared" si="42"/>
        <v>0</v>
      </c>
      <c r="R105" s="46">
        <f t="shared" si="43"/>
        <v>0</v>
      </c>
      <c r="S105" s="52">
        <f t="shared" si="44"/>
        <v>621.76</v>
      </c>
      <c r="T105" s="52">
        <f t="shared" si="45"/>
        <v>448.46333333333337</v>
      </c>
      <c r="U105" s="48">
        <f t="shared" si="46"/>
        <v>535.11166666666668</v>
      </c>
      <c r="V105" s="29">
        <f t="shared" si="47"/>
        <v>0</v>
      </c>
      <c r="W105" s="29">
        <f t="shared" si="48"/>
        <v>1.5241116352201258</v>
      </c>
    </row>
    <row r="106" spans="1:23" x14ac:dyDescent="0.35">
      <c r="A106" s="1" t="str">
        <f t="shared" si="30"/>
        <v>TSLA</v>
      </c>
      <c r="B106" s="1">
        <f t="shared" si="28"/>
        <v>0</v>
      </c>
      <c r="C106" s="1">
        <f t="shared" si="29"/>
        <v>0</v>
      </c>
      <c r="D106" s="1">
        <f t="shared" si="31"/>
        <v>0</v>
      </c>
      <c r="E106" s="1">
        <f t="shared" si="32"/>
        <v>0</v>
      </c>
      <c r="F106" s="1">
        <f t="shared" si="33"/>
        <v>0</v>
      </c>
      <c r="G106" s="1">
        <f t="shared" si="34"/>
        <v>-3</v>
      </c>
      <c r="H106" s="1">
        <f t="shared" si="35"/>
        <v>0</v>
      </c>
      <c r="J106" s="49">
        <v>0</v>
      </c>
      <c r="K106" s="50">
        <f t="shared" si="36"/>
        <v>0</v>
      </c>
      <c r="L106" s="50">
        <f t="shared" si="37"/>
        <v>0</v>
      </c>
      <c r="M106" s="50">
        <f t="shared" si="38"/>
        <v>104.66</v>
      </c>
      <c r="N106" s="50">
        <f t="shared" si="39"/>
        <v>66.430000000000007</v>
      </c>
      <c r="O106" s="50">
        <f t="shared" si="40"/>
        <v>70.27</v>
      </c>
      <c r="P106" s="51">
        <f t="shared" si="41"/>
        <v>0</v>
      </c>
      <c r="Q106" s="51">
        <f t="shared" si="42"/>
        <v>0</v>
      </c>
      <c r="R106" s="46">
        <f t="shared" si="43"/>
        <v>0</v>
      </c>
      <c r="S106" s="52">
        <f t="shared" si="44"/>
        <v>104.66</v>
      </c>
      <c r="T106" s="52">
        <f t="shared" si="45"/>
        <v>70.27</v>
      </c>
      <c r="U106" s="48">
        <f t="shared" si="46"/>
        <v>87.465000000000003</v>
      </c>
      <c r="V106" s="29">
        <f t="shared" si="47"/>
        <v>0</v>
      </c>
      <c r="W106" s="29">
        <f t="shared" si="48"/>
        <v>-0.6400617283950617</v>
      </c>
    </row>
    <row r="107" spans="1:23" x14ac:dyDescent="0.35">
      <c r="A107" s="1" t="str">
        <f t="shared" si="30"/>
        <v>ON</v>
      </c>
      <c r="B107" s="1">
        <f t="shared" si="28"/>
        <v>0</v>
      </c>
      <c r="C107" s="1">
        <f t="shared" si="29"/>
        <v>0</v>
      </c>
      <c r="D107" s="1">
        <f t="shared" si="31"/>
        <v>1</v>
      </c>
      <c r="E107" s="1">
        <f t="shared" si="32"/>
        <v>0</v>
      </c>
      <c r="F107" s="1">
        <f t="shared" si="33"/>
        <v>1</v>
      </c>
      <c r="G107" s="1">
        <f t="shared" si="34"/>
        <v>-1</v>
      </c>
      <c r="H107" s="1">
        <f t="shared" si="35"/>
        <v>0</v>
      </c>
      <c r="J107" s="49">
        <v>0</v>
      </c>
      <c r="K107" s="50">
        <f t="shared" si="36"/>
        <v>0.2</v>
      </c>
      <c r="L107" s="50">
        <f t="shared" si="37"/>
        <v>0</v>
      </c>
      <c r="M107" s="50">
        <f t="shared" si="38"/>
        <v>143.72</v>
      </c>
      <c r="N107" s="50">
        <f t="shared" si="39"/>
        <v>91.31</v>
      </c>
      <c r="O107" s="50">
        <f t="shared" si="40"/>
        <v>95.976666666666659</v>
      </c>
      <c r="P107" s="51">
        <f t="shared" si="41"/>
        <v>0</v>
      </c>
      <c r="Q107" s="51">
        <f t="shared" si="42"/>
        <v>0.2</v>
      </c>
      <c r="R107" s="46">
        <f t="shared" si="43"/>
        <v>0.1</v>
      </c>
      <c r="S107" s="52">
        <f t="shared" si="44"/>
        <v>143.72</v>
      </c>
      <c r="T107" s="52">
        <f t="shared" si="45"/>
        <v>95.976666666666659</v>
      </c>
      <c r="U107" s="48">
        <f t="shared" si="46"/>
        <v>119.84833333333333</v>
      </c>
      <c r="V107" s="29">
        <f t="shared" si="47"/>
        <v>2</v>
      </c>
      <c r="W107" s="29">
        <f t="shared" si="48"/>
        <v>0.71211904761904754</v>
      </c>
    </row>
    <row r="108" spans="1:23" x14ac:dyDescent="0.35">
      <c r="A108" s="1" t="str">
        <f t="shared" si="30"/>
        <v>MCHP</v>
      </c>
      <c r="B108" s="1">
        <f t="shared" si="28"/>
        <v>0</v>
      </c>
      <c r="C108" s="1">
        <f t="shared" si="29"/>
        <v>0</v>
      </c>
      <c r="D108" s="1">
        <f t="shared" si="31"/>
        <v>1</v>
      </c>
      <c r="E108" s="1">
        <f t="shared" si="32"/>
        <v>0</v>
      </c>
      <c r="F108" s="1">
        <f t="shared" si="33"/>
        <v>1</v>
      </c>
      <c r="G108" s="1">
        <f t="shared" si="34"/>
        <v>-1</v>
      </c>
      <c r="H108" s="1">
        <f t="shared" si="35"/>
        <v>0</v>
      </c>
      <c r="J108" s="49">
        <v>0</v>
      </c>
      <c r="K108" s="50">
        <f t="shared" si="36"/>
        <v>0</v>
      </c>
      <c r="L108" s="50">
        <f t="shared" si="37"/>
        <v>0</v>
      </c>
      <c r="M108" s="50">
        <f t="shared" si="38"/>
        <v>97.41</v>
      </c>
      <c r="N108" s="50">
        <f t="shared" si="39"/>
        <v>57.435000000000002</v>
      </c>
      <c r="O108" s="50">
        <f>(G64*2+H64)*(1/3)</f>
        <v>155.44333333333333</v>
      </c>
      <c r="P108" s="51">
        <f t="shared" si="41"/>
        <v>0</v>
      </c>
      <c r="Q108" s="51">
        <f t="shared" si="42"/>
        <v>0</v>
      </c>
      <c r="R108" s="46">
        <f t="shared" si="43"/>
        <v>0</v>
      </c>
      <c r="S108" s="52">
        <f t="shared" si="44"/>
        <v>155.44333333333333</v>
      </c>
      <c r="T108" s="52">
        <f t="shared" si="45"/>
        <v>97.41</v>
      </c>
      <c r="U108" s="48">
        <f t="shared" si="46"/>
        <v>126.42666666666666</v>
      </c>
      <c r="V108" s="29">
        <f t="shared" si="47"/>
        <v>0</v>
      </c>
      <c r="W108" s="29">
        <f t="shared" si="48"/>
        <v>0.68568888888888879</v>
      </c>
    </row>
    <row r="109" spans="1:23" x14ac:dyDescent="0.35">
      <c r="A109" s="1" t="str">
        <f t="shared" si="30"/>
        <v>CRM</v>
      </c>
      <c r="B109" s="1">
        <f t="shared" si="28"/>
        <v>0</v>
      </c>
      <c r="C109" s="1">
        <f t="shared" si="29"/>
        <v>0</v>
      </c>
      <c r="D109" s="1">
        <f t="shared" si="31"/>
        <v>0</v>
      </c>
      <c r="E109" s="1">
        <f t="shared" si="32"/>
        <v>0</v>
      </c>
      <c r="F109" s="1">
        <f t="shared" si="33"/>
        <v>0</v>
      </c>
      <c r="G109" s="1">
        <f t="shared" si="34"/>
        <v>-3</v>
      </c>
      <c r="H109" s="1">
        <f t="shared" si="35"/>
        <v>0</v>
      </c>
      <c r="J109" s="49">
        <v>0</v>
      </c>
      <c r="K109" s="50">
        <f t="shared" si="36"/>
        <v>160.19999999999999</v>
      </c>
      <c r="L109" s="50">
        <f t="shared" si="37"/>
        <v>151.08571428571429</v>
      </c>
      <c r="M109" s="50">
        <f t="shared" si="38"/>
        <v>285.22000000000003</v>
      </c>
      <c r="N109" s="50">
        <f t="shared" si="39"/>
        <v>226.26500000000001</v>
      </c>
      <c r="O109" s="50">
        <f t="shared" si="40"/>
        <v>217.82</v>
      </c>
      <c r="P109" s="51">
        <f t="shared" si="41"/>
        <v>151.08571428571429</v>
      </c>
      <c r="Q109" s="51">
        <f t="shared" si="42"/>
        <v>160.19999999999999</v>
      </c>
      <c r="R109" s="46">
        <f t="shared" si="43"/>
        <v>155.64285714285714</v>
      </c>
      <c r="S109" s="52">
        <f t="shared" si="44"/>
        <v>285.22000000000003</v>
      </c>
      <c r="T109" s="52">
        <f t="shared" si="45"/>
        <v>226.26500000000001</v>
      </c>
      <c r="U109" s="48">
        <f t="shared" si="46"/>
        <v>255.74250000000001</v>
      </c>
      <c r="V109" s="29">
        <f t="shared" si="47"/>
        <v>0.6431367599816431</v>
      </c>
      <c r="W109" s="29">
        <f t="shared" si="48"/>
        <v>-0.14180369127516779</v>
      </c>
    </row>
    <row r="110" spans="1:23" x14ac:dyDescent="0.35">
      <c r="A110" s="1" t="str">
        <f t="shared" si="30"/>
        <v>ADBE</v>
      </c>
      <c r="B110" s="1">
        <f t="shared" si="28"/>
        <v>1</v>
      </c>
      <c r="C110" s="1">
        <f t="shared" si="29"/>
        <v>1</v>
      </c>
      <c r="D110" s="1">
        <f t="shared" si="31"/>
        <v>1</v>
      </c>
      <c r="E110" s="1">
        <f t="shared" si="32"/>
        <v>1</v>
      </c>
      <c r="F110" s="1">
        <f t="shared" si="33"/>
        <v>1</v>
      </c>
      <c r="G110" s="1">
        <f t="shared" si="34"/>
        <v>2</v>
      </c>
      <c r="H110" s="1">
        <f t="shared" si="35"/>
        <v>1</v>
      </c>
      <c r="J110" s="49">
        <v>0</v>
      </c>
      <c r="K110" s="50">
        <f t="shared" si="36"/>
        <v>626.9</v>
      </c>
      <c r="L110" s="50">
        <f t="shared" si="37"/>
        <v>537.37142857142862</v>
      </c>
      <c r="M110" s="50">
        <f t="shared" si="38"/>
        <v>503.85</v>
      </c>
      <c r="N110" s="50">
        <f t="shared" si="39"/>
        <v>648.64499999999998</v>
      </c>
      <c r="O110" s="50">
        <f t="shared" si="40"/>
        <v>641.38</v>
      </c>
      <c r="P110" s="51">
        <f t="shared" si="41"/>
        <v>503.85</v>
      </c>
      <c r="Q110" s="51">
        <f t="shared" si="42"/>
        <v>537.37142857142862</v>
      </c>
      <c r="R110" s="46">
        <f t="shared" si="43"/>
        <v>516.0100000000001</v>
      </c>
      <c r="S110" s="52">
        <f t="shared" si="44"/>
        <v>648.64499999999998</v>
      </c>
      <c r="T110" s="52">
        <f t="shared" si="45"/>
        <v>641.38</v>
      </c>
      <c r="U110" s="48">
        <f t="shared" si="46"/>
        <v>645.01250000000005</v>
      </c>
      <c r="V110" s="29">
        <f t="shared" si="47"/>
        <v>0.24999999999999978</v>
      </c>
      <c r="W110" s="29">
        <f t="shared" si="48"/>
        <v>0.33820020746887969</v>
      </c>
    </row>
    <row r="111" spans="1:23" x14ac:dyDescent="0.35">
      <c r="A111" s="1" t="str">
        <f t="shared" si="30"/>
        <v>MSFT</v>
      </c>
      <c r="B111" s="1">
        <f t="shared" si="28"/>
        <v>1</v>
      </c>
      <c r="C111" s="1">
        <f t="shared" si="29"/>
        <v>0</v>
      </c>
      <c r="D111" s="1">
        <f t="shared" si="31"/>
        <v>0</v>
      </c>
      <c r="E111" s="1">
        <f t="shared" si="32"/>
        <v>1</v>
      </c>
      <c r="F111" s="1">
        <f t="shared" si="33"/>
        <v>1</v>
      </c>
      <c r="G111" s="1">
        <f t="shared" si="34"/>
        <v>0</v>
      </c>
      <c r="H111" s="1">
        <f t="shared" si="35"/>
        <v>0</v>
      </c>
      <c r="J111" s="49">
        <v>0</v>
      </c>
      <c r="K111" s="50">
        <f t="shared" si="36"/>
        <v>647.1</v>
      </c>
      <c r="L111" s="50">
        <f t="shared" si="37"/>
        <v>400.42857142857144</v>
      </c>
      <c r="M111" s="50">
        <f t="shared" si="38"/>
        <v>403.25</v>
      </c>
      <c r="N111" s="50">
        <f t="shared" si="39"/>
        <v>533.63</v>
      </c>
      <c r="O111" s="50">
        <f t="shared" si="40"/>
        <v>661.61999999999989</v>
      </c>
      <c r="P111" s="51">
        <f t="shared" si="41"/>
        <v>400.42857142857144</v>
      </c>
      <c r="Q111" s="51">
        <f t="shared" si="42"/>
        <v>403.25</v>
      </c>
      <c r="R111" s="46">
        <f t="shared" si="43"/>
        <v>401.83928571428572</v>
      </c>
      <c r="S111" s="52">
        <f t="shared" si="44"/>
        <v>661.61999999999989</v>
      </c>
      <c r="T111" s="52">
        <f t="shared" si="45"/>
        <v>647.1</v>
      </c>
      <c r="U111" s="48">
        <f t="shared" si="46"/>
        <v>654.3599999999999</v>
      </c>
      <c r="V111" s="29">
        <f t="shared" si="47"/>
        <v>0.62841221170510564</v>
      </c>
      <c r="W111" s="29">
        <f t="shared" si="48"/>
        <v>0.59990220048899734</v>
      </c>
    </row>
    <row r="112" spans="1:23" x14ac:dyDescent="0.35">
      <c r="A112" s="1" t="str">
        <f t="shared" si="30"/>
        <v>GOOG</v>
      </c>
      <c r="B112" s="1">
        <f t="shared" si="28"/>
        <v>1</v>
      </c>
      <c r="C112" s="1">
        <f t="shared" si="29"/>
        <v>1</v>
      </c>
      <c r="D112" s="1">
        <f t="shared" si="31"/>
        <v>1</v>
      </c>
      <c r="E112" s="1">
        <f t="shared" si="32"/>
        <v>1</v>
      </c>
      <c r="F112" s="1">
        <f t="shared" si="33"/>
        <v>1</v>
      </c>
      <c r="G112" s="1">
        <f t="shared" si="34"/>
        <v>2</v>
      </c>
      <c r="H112" s="1">
        <f t="shared" si="35"/>
        <v>1</v>
      </c>
      <c r="J112" s="49">
        <v>0</v>
      </c>
      <c r="K112" s="50">
        <f t="shared" si="36"/>
        <v>523.75</v>
      </c>
      <c r="L112" s="50">
        <f t="shared" si="37"/>
        <v>201.94285714285718</v>
      </c>
      <c r="M112" s="50">
        <f t="shared" si="38"/>
        <v>283.52999999999997</v>
      </c>
      <c r="N112" s="50">
        <f t="shared" si="39"/>
        <v>391.23500000000001</v>
      </c>
      <c r="O112" s="50">
        <f t="shared" si="40"/>
        <v>576.66999999999996</v>
      </c>
      <c r="P112" s="51">
        <f t="shared" si="41"/>
        <v>201.94285714285718</v>
      </c>
      <c r="Q112" s="51">
        <f t="shared" si="42"/>
        <v>283.52999999999997</v>
      </c>
      <c r="R112" s="46">
        <f t="shared" si="43"/>
        <v>242.73642857142858</v>
      </c>
      <c r="S112" s="52">
        <f t="shared" si="44"/>
        <v>576.66999999999996</v>
      </c>
      <c r="T112" s="52">
        <f t="shared" si="45"/>
        <v>523.75</v>
      </c>
      <c r="U112" s="48">
        <f t="shared" si="46"/>
        <v>550.21</v>
      </c>
      <c r="V112" s="29">
        <f t="shared" si="47"/>
        <v>1.2666972701136743</v>
      </c>
      <c r="W112" s="29">
        <f t="shared" si="48"/>
        <v>2.2176023391812869</v>
      </c>
    </row>
    <row r="113" spans="1:23" x14ac:dyDescent="0.35">
      <c r="A113" s="1" t="str">
        <f t="shared" si="30"/>
        <v>AAPL</v>
      </c>
      <c r="B113" s="1">
        <f t="shared" si="28"/>
        <v>1</v>
      </c>
      <c r="C113" s="1">
        <f t="shared" si="29"/>
        <v>0</v>
      </c>
      <c r="D113" s="1">
        <f t="shared" si="31"/>
        <v>0</v>
      </c>
      <c r="E113" s="1">
        <f t="shared" si="32"/>
        <v>0</v>
      </c>
      <c r="F113" s="1">
        <f t="shared" si="33"/>
        <v>1</v>
      </c>
      <c r="G113" s="1">
        <f t="shared" si="34"/>
        <v>-1</v>
      </c>
      <c r="H113" s="1">
        <f t="shared" si="35"/>
        <v>0</v>
      </c>
      <c r="J113" s="49">
        <v>0</v>
      </c>
      <c r="K113" s="50">
        <f t="shared" si="36"/>
        <v>289.85000000000002</v>
      </c>
      <c r="L113" s="50">
        <f t="shared" si="37"/>
        <v>168.01428571428573</v>
      </c>
      <c r="M113" s="50">
        <f t="shared" si="38"/>
        <v>200.1</v>
      </c>
      <c r="N113" s="50">
        <f t="shared" si="39"/>
        <v>207.52500000000001</v>
      </c>
      <c r="O113" s="50">
        <f t="shared" si="40"/>
        <v>326.22999999999996</v>
      </c>
      <c r="P113" s="51">
        <f t="shared" si="41"/>
        <v>168.01428571428573</v>
      </c>
      <c r="Q113" s="51">
        <f t="shared" si="42"/>
        <v>200.1</v>
      </c>
      <c r="R113" s="46">
        <f t="shared" si="43"/>
        <v>184.05714285714288</v>
      </c>
      <c r="S113" s="52">
        <f t="shared" si="44"/>
        <v>326.22999999999996</v>
      </c>
      <c r="T113" s="52">
        <f t="shared" si="45"/>
        <v>289.85000000000002</v>
      </c>
      <c r="U113" s="48">
        <f t="shared" si="46"/>
        <v>308.03999999999996</v>
      </c>
      <c r="V113" s="29">
        <f t="shared" si="47"/>
        <v>0.67361067991307011</v>
      </c>
      <c r="W113" s="29">
        <f t="shared" si="48"/>
        <v>0.38756756756756738</v>
      </c>
    </row>
    <row r="114" spans="1:23" x14ac:dyDescent="0.35">
      <c r="A114" s="1" t="str">
        <f t="shared" si="30"/>
        <v>ENPH</v>
      </c>
      <c r="B114" s="1">
        <f t="shared" si="28"/>
        <v>0</v>
      </c>
      <c r="C114" s="1">
        <f t="shared" si="29"/>
        <v>0</v>
      </c>
      <c r="D114" s="1">
        <f t="shared" si="31"/>
        <v>1</v>
      </c>
      <c r="E114" s="1">
        <f t="shared" si="32"/>
        <v>0</v>
      </c>
      <c r="F114" s="1">
        <f t="shared" si="33"/>
        <v>1</v>
      </c>
      <c r="G114" s="1">
        <f t="shared" si="34"/>
        <v>-1</v>
      </c>
      <c r="H114" s="1">
        <f t="shared" si="35"/>
        <v>0</v>
      </c>
      <c r="J114" s="49">
        <v>0</v>
      </c>
      <c r="K114" s="50">
        <f t="shared" si="36"/>
        <v>0</v>
      </c>
      <c r="L114" s="50">
        <f t="shared" si="37"/>
        <v>0</v>
      </c>
      <c r="M114" s="50">
        <f t="shared" si="38"/>
        <v>124.14</v>
      </c>
      <c r="N114" s="50">
        <f t="shared" si="39"/>
        <v>74.8</v>
      </c>
      <c r="O114" s="50">
        <f t="shared" si="40"/>
        <v>117.96</v>
      </c>
      <c r="P114" s="51">
        <f t="shared" si="41"/>
        <v>0</v>
      </c>
      <c r="Q114" s="51">
        <f t="shared" si="42"/>
        <v>0</v>
      </c>
      <c r="R114" s="46">
        <f t="shared" si="43"/>
        <v>0</v>
      </c>
      <c r="S114" s="52">
        <f t="shared" si="44"/>
        <v>124.14</v>
      </c>
      <c r="T114" s="52">
        <f t="shared" si="45"/>
        <v>117.96</v>
      </c>
      <c r="U114" s="48">
        <f t="shared" si="46"/>
        <v>121.05</v>
      </c>
      <c r="V114" s="29">
        <f t="shared" si="47"/>
        <v>0</v>
      </c>
      <c r="W114" s="29">
        <f t="shared" si="48"/>
        <v>0.37556818181818175</v>
      </c>
    </row>
    <row r="115" spans="1:23" x14ac:dyDescent="0.35">
      <c r="A115" s="1" t="str">
        <f t="shared" si="30"/>
        <v>PFE</v>
      </c>
      <c r="B115" s="1">
        <f t="shared" si="28"/>
        <v>0</v>
      </c>
      <c r="C115" s="1">
        <f t="shared" si="29"/>
        <v>0</v>
      </c>
      <c r="D115" s="1">
        <f t="shared" si="31"/>
        <v>1</v>
      </c>
      <c r="E115" s="1">
        <f t="shared" si="32"/>
        <v>1</v>
      </c>
      <c r="F115" s="1">
        <f t="shared" si="33"/>
        <v>1</v>
      </c>
      <c r="G115" s="1">
        <f t="shared" si="34"/>
        <v>0</v>
      </c>
      <c r="H115" s="1">
        <f t="shared" si="35"/>
        <v>0</v>
      </c>
      <c r="J115" s="49">
        <v>0</v>
      </c>
      <c r="K115" s="50">
        <f t="shared" si="36"/>
        <v>0</v>
      </c>
      <c r="L115" s="50">
        <f t="shared" si="37"/>
        <v>0</v>
      </c>
      <c r="M115" s="50">
        <f t="shared" si="38"/>
        <v>55.95</v>
      </c>
      <c r="N115" s="50">
        <f t="shared" si="39"/>
        <v>42.125</v>
      </c>
      <c r="O115" s="50">
        <f t="shared" si="40"/>
        <v>41.203333333333333</v>
      </c>
      <c r="P115" s="51">
        <f t="shared" si="41"/>
        <v>0</v>
      </c>
      <c r="Q115" s="51">
        <f t="shared" si="42"/>
        <v>0</v>
      </c>
      <c r="R115" s="46">
        <f t="shared" si="43"/>
        <v>0</v>
      </c>
      <c r="S115" s="52">
        <f t="shared" si="44"/>
        <v>55.95</v>
      </c>
      <c r="T115" s="52">
        <f t="shared" si="45"/>
        <v>42.125</v>
      </c>
      <c r="U115" s="48">
        <f t="shared" si="46"/>
        <v>49.037500000000001</v>
      </c>
      <c r="V115" s="29">
        <f t="shared" si="47"/>
        <v>0</v>
      </c>
      <c r="W115" s="29">
        <f t="shared" si="48"/>
        <v>0.75133928571428577</v>
      </c>
    </row>
    <row r="116" spans="1:23" x14ac:dyDescent="0.35">
      <c r="A116" s="1" t="str">
        <f t="shared" si="30"/>
        <v>JNJ</v>
      </c>
      <c r="B116" s="1">
        <f t="shared" si="28"/>
        <v>1</v>
      </c>
      <c r="C116" s="1">
        <f t="shared" si="29"/>
        <v>0</v>
      </c>
      <c r="D116" s="1">
        <f t="shared" si="31"/>
        <v>0</v>
      </c>
      <c r="E116" s="1">
        <f t="shared" si="32"/>
        <v>0</v>
      </c>
      <c r="F116" s="1">
        <f t="shared" si="33"/>
        <v>1</v>
      </c>
      <c r="G116" s="1">
        <f t="shared" si="34"/>
        <v>-1</v>
      </c>
      <c r="H116" s="1">
        <f t="shared" si="35"/>
        <v>0</v>
      </c>
      <c r="J116" s="49">
        <v>0</v>
      </c>
      <c r="K116" s="50">
        <f t="shared" si="36"/>
        <v>201.95</v>
      </c>
      <c r="L116" s="50">
        <f t="shared" si="37"/>
        <v>146.67142857142858</v>
      </c>
      <c r="M116" s="50">
        <f t="shared" si="38"/>
        <v>145.5</v>
      </c>
      <c r="N116" s="50">
        <f t="shared" si="39"/>
        <v>165.05</v>
      </c>
      <c r="O116" s="50">
        <f t="shared" si="40"/>
        <v>190.05666666666664</v>
      </c>
      <c r="P116" s="51">
        <f t="shared" si="41"/>
        <v>145.5</v>
      </c>
      <c r="Q116" s="51">
        <f t="shared" si="42"/>
        <v>146.67142857142858</v>
      </c>
      <c r="R116" s="46">
        <f t="shared" si="43"/>
        <v>146.08571428571429</v>
      </c>
      <c r="S116" s="52">
        <f t="shared" si="44"/>
        <v>201.95</v>
      </c>
      <c r="T116" s="52">
        <f t="shared" si="45"/>
        <v>190.05666666666664</v>
      </c>
      <c r="U116" s="48">
        <f t="shared" si="46"/>
        <v>196.00333333333333</v>
      </c>
      <c r="V116" s="29">
        <f t="shared" si="47"/>
        <v>0.34170089314818441</v>
      </c>
      <c r="W116" s="29">
        <f t="shared" si="48"/>
        <v>0.23272536687631029</v>
      </c>
    </row>
    <row r="117" spans="1:23" x14ac:dyDescent="0.35">
      <c r="A117" s="1" t="str">
        <f t="shared" si="30"/>
        <v>AMZN</v>
      </c>
      <c r="B117" s="1">
        <f t="shared" si="28"/>
        <v>0</v>
      </c>
      <c r="C117" s="1">
        <f t="shared" ref="C117" si="49">IF(C95&gt;D$50,1,0)</f>
        <v>0</v>
      </c>
      <c r="D117" s="1">
        <f t="shared" si="31"/>
        <v>0</v>
      </c>
      <c r="E117" s="1">
        <f t="shared" ref="E117" si="50">IF(F95&gt;-B$51*E95,1,0)</f>
        <v>0</v>
      </c>
      <c r="F117" s="1">
        <f t="shared" ref="F117" si="51">IF(H95&gt;-$B$51*G95,1,0)</f>
        <v>0</v>
      </c>
      <c r="G117" s="1">
        <f t="shared" ref="G117" si="52">SUM(B117:F117)-3</f>
        <v>-3</v>
      </c>
      <c r="H117" s="1">
        <f t="shared" si="35"/>
        <v>0</v>
      </c>
      <c r="K117" s="50">
        <f t="shared" ref="K117" si="53">B73</f>
        <v>4.8</v>
      </c>
      <c r="L117" s="50">
        <f t="shared" ref="L117" si="54">C73/0.7</f>
        <v>0</v>
      </c>
      <c r="M117" s="50">
        <f t="shared" ref="M117" si="55">D73</f>
        <v>168.32</v>
      </c>
      <c r="N117" s="50">
        <f t="shared" ref="N117" si="56">(E73+F73)/2</f>
        <v>126.30500000000001</v>
      </c>
      <c r="O117" s="50">
        <f t="shared" ref="O117" si="57">(G73*2+H73)*(1/3)</f>
        <v>136.37666666666667</v>
      </c>
      <c r="P117" s="51">
        <f t="shared" ref="P117" si="58">MIN(K117:O117)</f>
        <v>0</v>
      </c>
      <c r="Q117" s="51">
        <f t="shared" ref="Q117" si="59">IF(COUNTIF(K117:O117,"="&amp;J117)&gt;1,0,_xlfn.MINIFS(K117:O117,K117:O117,"&gt;"&amp;P117))</f>
        <v>4.8</v>
      </c>
      <c r="R117" s="46">
        <f t="shared" si="43"/>
        <v>2.4</v>
      </c>
      <c r="S117" s="52">
        <f t="shared" ref="S117" si="60">MAX(K117:O117)</f>
        <v>168.32</v>
      </c>
      <c r="T117" s="52">
        <f t="shared" ref="T117" si="61">_xlfn.MAXIFS(K117:O117,K117:O117,"&lt;"&amp;S117)</f>
        <v>136.37666666666667</v>
      </c>
      <c r="U117" s="48">
        <f t="shared" si="46"/>
        <v>152.34833333333333</v>
      </c>
      <c r="V117" s="29">
        <f t="shared" si="47"/>
        <v>2</v>
      </c>
      <c r="W117" s="29">
        <f t="shared" si="48"/>
        <v>-0.22271258503401359</v>
      </c>
    </row>
  </sheetData>
  <phoneticPr fontId="6" type="noConversion"/>
  <conditionalFormatting sqref="B28:E47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{FE3F90B9-64D3-47F6-9359-F4E73CB1285F}</x14:id>
        </ext>
      </extLst>
    </cfRule>
  </conditionalFormatting>
  <conditionalFormatting sqref="B98:F117">
    <cfRule type="colorScale" priority="6">
      <colorScale>
        <cfvo type="num" val="-1"/>
        <cfvo type="percentile" val="50"/>
        <cfvo type="num" val="2"/>
        <color theme="8"/>
        <color rgb="FFFFEB84"/>
        <color rgb="FF63BE7B"/>
      </colorScale>
    </cfRule>
  </conditionalFormatting>
  <conditionalFormatting sqref="B76:H9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{9DDE1512-F538-462D-8546-6462BA332A8F}</x14:id>
        </ext>
      </extLst>
    </cfRule>
  </conditionalFormatting>
  <conditionalFormatting sqref="G28:G47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{15BED3F0-7E2C-4E91-85B7-B4ABA89E8185}</x14:id>
        </ext>
      </extLst>
    </cfRule>
  </conditionalFormatting>
  <conditionalFormatting sqref="G97:G117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{A9B131CB-9A08-4E12-83B6-CFBB01822739}</x14:id>
        </ext>
      </extLst>
    </cfRule>
  </conditionalFormatting>
  <conditionalFormatting sqref="H97:H117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{051426CD-99C0-40EA-8B81-9E05DD492243}</x14:id>
        </ext>
      </extLst>
    </cfRule>
  </conditionalFormatting>
  <conditionalFormatting sqref="V97:W9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{3CE0AA25-9540-439A-B7D4-39DEE9AC3412}</x14:id>
        </ext>
      </extLst>
    </cfRule>
  </conditionalFormatting>
  <conditionalFormatting sqref="V98:W1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{1AA42CC3-2439-461A-A32B-86210702BBBA}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3F90B9-64D3-47F6-9359-F4E73CB128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B28:E47</xm:sqref>
        </x14:conditionalFormatting>
        <x14:conditionalFormatting xmlns:xm="http://schemas.microsoft.com/office/excel/2006/main">
          <x14:cfRule type="dataBar" id="{9DDE1512-F538-462D-8546-6462BA332A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B76:H95</xm:sqref>
        </x14:conditionalFormatting>
        <x14:conditionalFormatting xmlns:xm="http://schemas.microsoft.com/office/excel/2006/main">
          <x14:cfRule type="dataBar" id="{15BED3F0-7E2C-4E91-85B7-B4ABA89E81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G28:G47</xm:sqref>
        </x14:conditionalFormatting>
        <x14:conditionalFormatting xmlns:xm="http://schemas.microsoft.com/office/excel/2006/main">
          <x14:cfRule type="dataBar" id="{A9B131CB-9A08-4E12-83B6-CFBB01822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G97:G117</xm:sqref>
        </x14:conditionalFormatting>
        <x14:conditionalFormatting xmlns:xm="http://schemas.microsoft.com/office/excel/2006/main">
          <x14:cfRule type="dataBar" id="{051426CD-99C0-40EA-8B81-9E05DD492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H97:H117</xm:sqref>
        </x14:conditionalFormatting>
        <x14:conditionalFormatting xmlns:xm="http://schemas.microsoft.com/office/excel/2006/main">
          <x14:cfRule type="dataBar" id="{3CE0AA25-9540-439A-B7D4-39DEE9AC34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V97:W97</xm:sqref>
        </x14:conditionalFormatting>
        <x14:conditionalFormatting xmlns:xm="http://schemas.microsoft.com/office/excel/2006/main">
          <x14:cfRule type="dataBar" id="{1AA42CC3-2439-461A-A32B-86210702BB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V98:W117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CEB0-A6D2-435E-BD2A-D1707622B993}">
  <dimension ref="A1:K55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109</v>
      </c>
      <c r="I1" s="1" t="s">
        <v>118</v>
      </c>
      <c r="J1" s="1" t="str">
        <f>B1</f>
        <v>KO</v>
      </c>
      <c r="K1" s="1" t="s">
        <v>109</v>
      </c>
    </row>
    <row r="2" spans="1:11" x14ac:dyDescent="0.35">
      <c r="A2" s="8" t="s">
        <v>84</v>
      </c>
      <c r="B2" s="2">
        <v>67</v>
      </c>
      <c r="I2" s="1" t="s">
        <v>119</v>
      </c>
      <c r="J2" s="1">
        <f>B2</f>
        <v>67</v>
      </c>
      <c r="K2" s="1">
        <v>67</v>
      </c>
    </row>
    <row r="3" spans="1:11" x14ac:dyDescent="0.35">
      <c r="I3" s="1" t="s">
        <v>167</v>
      </c>
      <c r="J3" s="35">
        <f>B28</f>
        <v>0.1</v>
      </c>
      <c r="K3" s="1">
        <v>0.1</v>
      </c>
    </row>
    <row r="4" spans="1:11" x14ac:dyDescent="0.35">
      <c r="A4" s="8" t="s">
        <v>67</v>
      </c>
      <c r="I4" s="1" t="s">
        <v>120</v>
      </c>
      <c r="J4" s="1">
        <f>B18</f>
        <v>2.5</v>
      </c>
      <c r="K4" s="1">
        <v>2.5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2.8</v>
      </c>
      <c r="K5" s="1">
        <v>2.8</v>
      </c>
    </row>
    <row r="6" spans="1:11" x14ac:dyDescent="0.35">
      <c r="A6" s="9" t="s">
        <v>41</v>
      </c>
      <c r="B6" s="11">
        <v>10714</v>
      </c>
      <c r="C6" s="1" t="s">
        <v>40</v>
      </c>
      <c r="D6" s="6"/>
      <c r="I6" s="1" t="s">
        <v>122</v>
      </c>
      <c r="J6" s="1">
        <f t="shared" si="0"/>
        <v>2.82</v>
      </c>
      <c r="K6" s="1">
        <v>2.82</v>
      </c>
    </row>
    <row r="7" spans="1:11" x14ac:dyDescent="0.35">
      <c r="A7" s="9" t="s">
        <v>37</v>
      </c>
      <c r="B7" s="11">
        <v>13083</v>
      </c>
      <c r="C7" s="1" t="s">
        <v>40</v>
      </c>
      <c r="D7" s="6"/>
      <c r="I7" s="1" t="s">
        <v>123</v>
      </c>
      <c r="J7" s="1">
        <f t="shared" si="0"/>
        <v>2.86</v>
      </c>
      <c r="K7" s="1">
        <v>2.86</v>
      </c>
    </row>
    <row r="8" spans="1:11" x14ac:dyDescent="0.35">
      <c r="A8" s="9" t="s">
        <v>42</v>
      </c>
      <c r="B8" s="11">
        <v>27234</v>
      </c>
      <c r="C8" s="1" t="s">
        <v>40</v>
      </c>
      <c r="D8" s="6"/>
      <c r="I8" s="1" t="s">
        <v>124</v>
      </c>
      <c r="J8" s="1">
        <f t="shared" si="0"/>
        <v>2.93</v>
      </c>
      <c r="K8" s="1">
        <v>2.93</v>
      </c>
    </row>
    <row r="9" spans="1:11" x14ac:dyDescent="0.35">
      <c r="A9" s="9" t="s">
        <v>43</v>
      </c>
      <c r="B9" s="11">
        <v>45754</v>
      </c>
      <c r="C9" s="1" t="s">
        <v>40</v>
      </c>
      <c r="D9" s="6"/>
      <c r="I9" s="1" t="s">
        <v>125</v>
      </c>
      <c r="J9" s="1">
        <f t="shared" si="0"/>
        <v>3</v>
      </c>
      <c r="K9" s="1">
        <v>3</v>
      </c>
    </row>
    <row r="10" spans="1:11" x14ac:dyDescent="0.35">
      <c r="A10" s="9" t="s">
        <v>44</v>
      </c>
      <c r="B10" s="12">
        <v>4339</v>
      </c>
      <c r="C10" s="1" t="s">
        <v>40</v>
      </c>
      <c r="D10" s="6"/>
      <c r="I10" s="1" t="s">
        <v>126</v>
      </c>
      <c r="J10" s="1">
        <f t="shared" si="0"/>
        <v>3.12</v>
      </c>
      <c r="K10" s="1">
        <v>3.12</v>
      </c>
    </row>
    <row r="11" spans="1:11" x14ac:dyDescent="0.35">
      <c r="A11" s="9" t="s">
        <v>38</v>
      </c>
      <c r="B11" s="11">
        <v>97703</v>
      </c>
      <c r="C11" s="1" t="s">
        <v>40</v>
      </c>
      <c r="D11" s="6"/>
      <c r="I11" s="1" t="s">
        <v>127</v>
      </c>
      <c r="J11" s="26">
        <f>B44*100</f>
        <v>7.6001372778803411</v>
      </c>
      <c r="K11" s="1">
        <v>7.6001372778803411</v>
      </c>
    </row>
    <row r="12" spans="1:11" x14ac:dyDescent="0.35">
      <c r="A12" s="9" t="s">
        <v>39</v>
      </c>
      <c r="B12" s="11">
        <v>25941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70223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1.94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2.8955223880597014</v>
      </c>
      <c r="K15" s="1">
        <v>2.8955223880597014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2.5</v>
      </c>
      <c r="C18" s="1" t="s">
        <v>47</v>
      </c>
      <c r="D18" s="14">
        <v>42.5</v>
      </c>
      <c r="E18" s="1" t="s">
        <v>91</v>
      </c>
      <c r="F18" s="3"/>
      <c r="H18" s="6"/>
      <c r="I18" s="1" t="s">
        <v>134</v>
      </c>
      <c r="J18" s="26">
        <f>B48</f>
        <v>18.933333333333334</v>
      </c>
      <c r="K18" s="1">
        <v>18.933333333333334</v>
      </c>
    </row>
    <row r="19" spans="1:11" x14ac:dyDescent="0.35">
      <c r="A19" s="8" t="s">
        <v>49</v>
      </c>
      <c r="B19" s="7">
        <v>2.8</v>
      </c>
      <c r="C19" s="1" t="s">
        <v>47</v>
      </c>
      <c r="D19" s="14">
        <v>45.04</v>
      </c>
      <c r="E19" s="1" t="s">
        <v>91</v>
      </c>
      <c r="F19" s="43"/>
      <c r="H19" s="6"/>
      <c r="I19" s="1" t="s">
        <v>88</v>
      </c>
      <c r="J19" s="26">
        <f>B52</f>
        <v>48.980074803051387</v>
      </c>
      <c r="K19" s="1">
        <v>48.980074803051387</v>
      </c>
    </row>
    <row r="20" spans="1:11" x14ac:dyDescent="0.35">
      <c r="A20" s="8" t="s">
        <v>53</v>
      </c>
      <c r="B20" s="7">
        <v>2.82</v>
      </c>
      <c r="C20" s="1" t="s">
        <v>47</v>
      </c>
      <c r="D20" s="14">
        <v>45.7</v>
      </c>
      <c r="E20" s="1" t="s">
        <v>91</v>
      </c>
      <c r="F20" s="43"/>
      <c r="H20" s="6"/>
      <c r="I20" s="1" t="s">
        <v>168</v>
      </c>
      <c r="J20" s="26">
        <f>B53</f>
        <v>51.377700842361591</v>
      </c>
      <c r="K20" s="1">
        <v>51.377700842361591</v>
      </c>
    </row>
    <row r="21" spans="1:11" x14ac:dyDescent="0.35">
      <c r="A21" s="8" t="s">
        <v>54</v>
      </c>
      <c r="B21" s="7">
        <v>2.86</v>
      </c>
      <c r="C21" s="1" t="s">
        <v>47</v>
      </c>
      <c r="D21" s="14">
        <v>46.28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2.93</v>
      </c>
      <c r="C22" s="1" t="s">
        <v>47</v>
      </c>
      <c r="D22" s="14">
        <v>46.86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</v>
      </c>
      <c r="C23" s="1" t="s">
        <v>47</v>
      </c>
      <c r="D23" s="14">
        <v>47.93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3.12</v>
      </c>
      <c r="C24" s="1" t="s">
        <v>47</v>
      </c>
      <c r="D24" s="14">
        <v>48.94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</v>
      </c>
    </row>
    <row r="29" spans="1:11" x14ac:dyDescent="0.35">
      <c r="A29" s="8" t="s">
        <v>58</v>
      </c>
      <c r="B29" s="5">
        <v>0.06</v>
      </c>
    </row>
    <row r="30" spans="1:11" x14ac:dyDescent="0.35">
      <c r="A30" s="8" t="s">
        <v>59</v>
      </c>
      <c r="B30" s="5">
        <v>0.14000000000000001</v>
      </c>
    </row>
    <row r="31" spans="1:11" x14ac:dyDescent="0.35">
      <c r="A31" s="8" t="s">
        <v>94</v>
      </c>
      <c r="B31" s="5">
        <v>0.05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0.41301414748853166</v>
      </c>
      <c r="C35" s="1" t="s">
        <v>72</v>
      </c>
    </row>
    <row r="36" spans="1:3" x14ac:dyDescent="0.35">
      <c r="A36" s="8" t="s">
        <v>70</v>
      </c>
      <c r="B36" s="4">
        <f>B7/B11</f>
        <v>0.13390581660747367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0.11558959295006294</v>
      </c>
      <c r="C37" s="1" t="s">
        <v>83</v>
      </c>
    </row>
    <row r="38" spans="1:3" x14ac:dyDescent="0.35">
      <c r="A38" s="8" t="s">
        <v>71</v>
      </c>
      <c r="B38" s="4">
        <f>(B23-B22)/B23</f>
        <v>2.3333333333333279E-2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7.1246430894564554</v>
      </c>
      <c r="C39" s="1" t="s">
        <v>75</v>
      </c>
    </row>
    <row r="40" spans="1:3" x14ac:dyDescent="0.35">
      <c r="A40" s="8" t="s">
        <v>76</v>
      </c>
      <c r="B40" s="21">
        <f>Assumptions!D16</f>
        <v>0.06</v>
      </c>
    </row>
    <row r="41" spans="1:3" x14ac:dyDescent="0.35">
      <c r="A41" s="8" t="s">
        <v>79</v>
      </c>
      <c r="B41" s="20">
        <f>(D23/D18)^0.5-1</f>
        <v>6.1962666896700824E-2</v>
      </c>
    </row>
    <row r="42" spans="1:3" x14ac:dyDescent="0.35">
      <c r="A42" s="8" t="s">
        <v>80</v>
      </c>
      <c r="B42" s="20">
        <f>(B35-B41)/B48</f>
        <v>1.8541451439709374E-2</v>
      </c>
    </row>
    <row r="43" spans="1:3" x14ac:dyDescent="0.35">
      <c r="A43" s="8" t="s">
        <v>77</v>
      </c>
      <c r="B43" s="19">
        <f>AVERAGE(B28:B31)</f>
        <v>8.7500000000000008E-2</v>
      </c>
    </row>
    <row r="44" spans="1:3" x14ac:dyDescent="0.35">
      <c r="A44" s="8" t="s">
        <v>78</v>
      </c>
      <c r="B44" s="18">
        <f>SUM(B40:B43)/3</f>
        <v>7.6001372778803408E-2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18.933333333333334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48.980074803051387</v>
      </c>
      <c r="C52" s="13"/>
    </row>
    <row r="53" spans="1:3" x14ac:dyDescent="0.35">
      <c r="A53" s="8" t="s">
        <v>87</v>
      </c>
      <c r="B53" s="13">
        <f>(B23*2-B$23)*(1+B$44)^8*B$48/(1+Assumptions!B$4-B$14/B$2)^10</f>
        <v>51.377700842361591</v>
      </c>
      <c r="C53" s="13"/>
    </row>
    <row r="54" spans="1:3" x14ac:dyDescent="0.35">
      <c r="A54" s="8" t="s">
        <v>102</v>
      </c>
      <c r="B54" s="13">
        <f>(B24*2-B$23)*(1+B$44)^8*B$48/(1+Assumptions!B$4-B$14/B$2)^10</f>
        <v>55.487916909750524</v>
      </c>
      <c r="C54" s="13"/>
    </row>
    <row r="55" spans="1:3" x14ac:dyDescent="0.35">
      <c r="C55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386A-5B83-4885-8F1E-06A08603066D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110</v>
      </c>
      <c r="I1" s="1" t="s">
        <v>118</v>
      </c>
      <c r="J1" s="1" t="str">
        <f>B1</f>
        <v>PEP</v>
      </c>
      <c r="K1" s="1" t="s">
        <v>110</v>
      </c>
    </row>
    <row r="2" spans="1:11" x14ac:dyDescent="0.35">
      <c r="A2" s="8" t="s">
        <v>84</v>
      </c>
      <c r="B2" s="2">
        <v>172</v>
      </c>
      <c r="I2" s="1" t="s">
        <v>119</v>
      </c>
      <c r="J2" s="1">
        <f>B2</f>
        <v>172</v>
      </c>
      <c r="K2" s="1">
        <v>172</v>
      </c>
    </row>
    <row r="3" spans="1:11" x14ac:dyDescent="0.35">
      <c r="I3" s="1" t="s">
        <v>167</v>
      </c>
      <c r="J3" s="35">
        <f>B28</f>
        <v>0.09</v>
      </c>
      <c r="K3" s="1">
        <v>0.09</v>
      </c>
    </row>
    <row r="4" spans="1:11" x14ac:dyDescent="0.35">
      <c r="A4" s="8" t="s">
        <v>67</v>
      </c>
      <c r="I4" s="1" t="s">
        <v>120</v>
      </c>
      <c r="J4" s="1">
        <f>B18</f>
        <v>7.07</v>
      </c>
      <c r="K4" s="1">
        <v>7.07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8.11</v>
      </c>
      <c r="K5" s="1">
        <v>8.11</v>
      </c>
    </row>
    <row r="6" spans="1:11" x14ac:dyDescent="0.35">
      <c r="A6" s="9" t="s">
        <v>41</v>
      </c>
      <c r="B6" s="11">
        <v>9074</v>
      </c>
      <c r="C6" s="1" t="s">
        <v>40</v>
      </c>
      <c r="D6" s="6"/>
      <c r="I6" s="1" t="s">
        <v>122</v>
      </c>
      <c r="J6" s="1">
        <f t="shared" si="0"/>
        <v>8.15</v>
      </c>
      <c r="K6" s="1">
        <v>8.15</v>
      </c>
    </row>
    <row r="7" spans="1:11" x14ac:dyDescent="0.35">
      <c r="A7" s="9" t="s">
        <v>37</v>
      </c>
      <c r="B7" s="11">
        <v>12913</v>
      </c>
      <c r="C7" s="1" t="s">
        <v>40</v>
      </c>
      <c r="D7" s="6"/>
      <c r="I7" s="1" t="s">
        <v>123</v>
      </c>
      <c r="J7" s="1">
        <f t="shared" si="0"/>
        <v>8.18</v>
      </c>
      <c r="K7" s="1">
        <v>8.18</v>
      </c>
    </row>
    <row r="8" spans="1:11" x14ac:dyDescent="0.35">
      <c r="A8" s="9" t="s">
        <v>42</v>
      </c>
      <c r="B8" s="11">
        <v>49590</v>
      </c>
      <c r="C8" s="1" t="s">
        <v>40</v>
      </c>
      <c r="D8" s="6"/>
      <c r="I8" s="1" t="s">
        <v>124</v>
      </c>
      <c r="J8" s="1">
        <f t="shared" si="0"/>
        <v>8.35</v>
      </c>
      <c r="K8" s="1">
        <v>8.35</v>
      </c>
    </row>
    <row r="9" spans="1:11" x14ac:dyDescent="0.35">
      <c r="A9" s="9" t="s">
        <v>43</v>
      </c>
      <c r="B9" s="11">
        <v>91471</v>
      </c>
      <c r="C9" s="1" t="s">
        <v>40</v>
      </c>
      <c r="D9" s="6"/>
      <c r="I9" s="1" t="s">
        <v>125</v>
      </c>
      <c r="J9" s="1">
        <f t="shared" si="0"/>
        <v>8.6300000000000008</v>
      </c>
      <c r="K9" s="1">
        <v>8.6300000000000008</v>
      </c>
    </row>
    <row r="10" spans="1:11" x14ac:dyDescent="0.35">
      <c r="A10" s="9" t="s">
        <v>44</v>
      </c>
      <c r="B10" s="12">
        <v>1383</v>
      </c>
      <c r="C10" s="1" t="s">
        <v>40</v>
      </c>
      <c r="D10" s="6"/>
      <c r="I10" s="1" t="s">
        <v>126</v>
      </c>
      <c r="J10" s="1">
        <f t="shared" si="0"/>
        <v>8.7899999999999991</v>
      </c>
      <c r="K10" s="1">
        <v>8.7899999999999991</v>
      </c>
    </row>
    <row r="11" spans="1:11" x14ac:dyDescent="0.35">
      <c r="A11" s="9" t="s">
        <v>38</v>
      </c>
      <c r="B11" s="11">
        <v>100495</v>
      </c>
      <c r="C11" s="1" t="s">
        <v>40</v>
      </c>
      <c r="D11" s="6"/>
      <c r="I11" s="1" t="s">
        <v>127</v>
      </c>
      <c r="J11" s="26">
        <f>B44*100</f>
        <v>8.4070833022810998</v>
      </c>
      <c r="K11" s="1">
        <v>8.4070833022810998</v>
      </c>
    </row>
    <row r="12" spans="1:11" x14ac:dyDescent="0.35">
      <c r="A12" s="9" t="s">
        <v>39</v>
      </c>
      <c r="B12" s="11">
        <v>18503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81858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5.42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3.1511627906976742</v>
      </c>
      <c r="K15" s="1">
        <v>3.1511627906976742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7.07</v>
      </c>
      <c r="C18" s="1" t="s">
        <v>47</v>
      </c>
      <c r="D18" s="14">
        <v>84.9</v>
      </c>
      <c r="E18" s="1" t="s">
        <v>91</v>
      </c>
      <c r="F18" s="3"/>
      <c r="H18" s="6"/>
      <c r="I18" s="1" t="s">
        <v>134</v>
      </c>
      <c r="J18" s="26">
        <f>B48</f>
        <v>18.109382366808109</v>
      </c>
      <c r="K18" s="1">
        <v>18.109382366808109</v>
      </c>
    </row>
    <row r="19" spans="1:11" x14ac:dyDescent="0.35">
      <c r="A19" s="8" t="s">
        <v>49</v>
      </c>
      <c r="B19" s="7">
        <v>8.11</v>
      </c>
      <c r="C19" s="1" t="s">
        <v>47</v>
      </c>
      <c r="D19" s="14">
        <v>93.37</v>
      </c>
      <c r="E19" s="1" t="s">
        <v>91</v>
      </c>
      <c r="F19" s="43"/>
      <c r="H19" s="6"/>
      <c r="I19" s="1" t="s">
        <v>88</v>
      </c>
      <c r="J19" s="26">
        <f>B52</f>
        <v>143.72769126888727</v>
      </c>
      <c r="K19" s="1">
        <v>143.72769126888727</v>
      </c>
    </row>
    <row r="20" spans="1:11" x14ac:dyDescent="0.35">
      <c r="A20" s="8" t="s">
        <v>53</v>
      </c>
      <c r="B20" s="7">
        <v>8.15</v>
      </c>
      <c r="C20" s="1" t="s">
        <v>47</v>
      </c>
      <c r="D20" s="14">
        <v>94.53</v>
      </c>
      <c r="E20" s="1" t="s">
        <v>91</v>
      </c>
      <c r="F20" s="43"/>
      <c r="H20" s="6"/>
      <c r="I20" s="1" t="s">
        <v>168</v>
      </c>
      <c r="J20" s="26">
        <f>B53</f>
        <v>153.70136005582373</v>
      </c>
      <c r="K20" s="1">
        <v>153.70136005582373</v>
      </c>
    </row>
    <row r="21" spans="1:11" x14ac:dyDescent="0.35">
      <c r="A21" s="8" t="s">
        <v>54</v>
      </c>
      <c r="B21" s="7">
        <v>8.18</v>
      </c>
      <c r="C21" s="1" t="s">
        <v>47</v>
      </c>
      <c r="D21" s="14">
        <v>95.13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8.35</v>
      </c>
      <c r="C22" s="1" t="s">
        <v>47</v>
      </c>
      <c r="D22" s="14">
        <v>96.88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8.6300000000000008</v>
      </c>
      <c r="C23" s="1" t="s">
        <v>47</v>
      </c>
      <c r="D23" s="14">
        <v>98.94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8.7899999999999991</v>
      </c>
      <c r="C24" s="1" t="s">
        <v>47</v>
      </c>
      <c r="D24" s="14">
        <v>100.09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0.09</v>
      </c>
    </row>
    <row r="29" spans="1:11" x14ac:dyDescent="0.35">
      <c r="A29" s="8" t="s">
        <v>58</v>
      </c>
      <c r="B29" s="5">
        <v>0.06</v>
      </c>
    </row>
    <row r="30" spans="1:11" x14ac:dyDescent="0.35">
      <c r="A30" s="8" t="s">
        <v>59</v>
      </c>
      <c r="B30" s="5">
        <v>0.15</v>
      </c>
    </row>
    <row r="31" spans="1:11" x14ac:dyDescent="0.35">
      <c r="A31" s="8" t="s">
        <v>94</v>
      </c>
      <c r="B31" s="5">
        <v>0.06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0.49040696103334597</v>
      </c>
      <c r="C35" s="1" t="s">
        <v>72</v>
      </c>
    </row>
    <row r="36" spans="1:3" x14ac:dyDescent="0.35">
      <c r="A36" s="8" t="s">
        <v>70</v>
      </c>
      <c r="B36" s="4">
        <f>B7/B11</f>
        <v>0.12849395492313051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9.5962983232996665E-2</v>
      </c>
      <c r="C37" s="1" t="s">
        <v>83</v>
      </c>
    </row>
    <row r="38" spans="1:3" x14ac:dyDescent="0.35">
      <c r="A38" s="8" t="s">
        <v>71</v>
      </c>
      <c r="B38" s="4">
        <f>(B23-B22)/B23</f>
        <v>3.2444959443800825E-2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4.9952077104253672</v>
      </c>
      <c r="C39" s="1" t="s">
        <v>75</v>
      </c>
    </row>
    <row r="40" spans="1:3" x14ac:dyDescent="0.35">
      <c r="A40" s="8" t="s">
        <v>76</v>
      </c>
      <c r="B40" s="21">
        <f>Assumptions!D16</f>
        <v>0.06</v>
      </c>
    </row>
    <row r="41" spans="1:3" x14ac:dyDescent="0.35">
      <c r="A41" s="8" t="s">
        <v>79</v>
      </c>
      <c r="B41" s="20">
        <f>(D23/D18)^0.5-1</f>
        <v>7.9523517453409687E-2</v>
      </c>
    </row>
    <row r="42" spans="1:3" x14ac:dyDescent="0.35">
      <c r="A42" s="8" t="s">
        <v>80</v>
      </c>
      <c r="B42" s="20">
        <f>(B35-B41)/B48</f>
        <v>2.2688981615023297E-2</v>
      </c>
    </row>
    <row r="43" spans="1:3" x14ac:dyDescent="0.35">
      <c r="A43" s="8" t="s">
        <v>77</v>
      </c>
      <c r="B43" s="19">
        <f>AVERAGE(B28:B31)</f>
        <v>0.09</v>
      </c>
    </row>
    <row r="44" spans="1:3" x14ac:dyDescent="0.35">
      <c r="A44" s="8" t="s">
        <v>78</v>
      </c>
      <c r="B44" s="18">
        <f>SUM(B40:B43)/3</f>
        <v>8.4070833022811001E-2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18.109382366808109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143.72769126888727</v>
      </c>
      <c r="C52" s="13"/>
    </row>
    <row r="53" spans="1:3" x14ac:dyDescent="0.35">
      <c r="A53" s="8" t="s">
        <v>87</v>
      </c>
      <c r="B53" s="13">
        <f>(B23*2-B$23)*(1+B$44)^8*B$48/(1+Assumptions!B$4-B$14/B$2)^10</f>
        <v>153.70136005582373</v>
      </c>
      <c r="C53" s="13"/>
    </row>
    <row r="54" spans="1:3" x14ac:dyDescent="0.35">
      <c r="A54" s="8" t="s">
        <v>102</v>
      </c>
      <c r="B54" s="13">
        <f>(B24*2-B$23)*(1+B$44)^8*B$48/(1+Assumptions!B$4-B$14/B$2)^10</f>
        <v>159.4005993626445</v>
      </c>
      <c r="C5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B877-2A5B-4D3C-B624-29316153773B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89</v>
      </c>
      <c r="I1" s="1" t="s">
        <v>118</v>
      </c>
      <c r="J1" s="1" t="str">
        <f>B1</f>
        <v>COST</v>
      </c>
      <c r="K1" s="1" t="s">
        <v>89</v>
      </c>
    </row>
    <row r="2" spans="1:11" x14ac:dyDescent="0.35">
      <c r="A2" s="8" t="s">
        <v>84</v>
      </c>
      <c r="B2" s="2">
        <v>900</v>
      </c>
      <c r="I2" s="1" t="s">
        <v>119</v>
      </c>
      <c r="J2" s="1">
        <f>B2</f>
        <v>900</v>
      </c>
      <c r="K2" s="1">
        <v>900</v>
      </c>
    </row>
    <row r="3" spans="1:11" x14ac:dyDescent="0.35">
      <c r="I3" s="1" t="s">
        <v>167</v>
      </c>
      <c r="J3" s="35">
        <f>B28</f>
        <v>0.17</v>
      </c>
      <c r="K3" s="1">
        <v>0.17</v>
      </c>
    </row>
    <row r="4" spans="1:11" x14ac:dyDescent="0.35">
      <c r="A4" s="8" t="s">
        <v>67</v>
      </c>
      <c r="I4" s="1" t="s">
        <v>120</v>
      </c>
      <c r="J4" s="1">
        <f>B18</f>
        <v>14.16</v>
      </c>
      <c r="K4" s="1">
        <v>14.16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15.56</v>
      </c>
      <c r="K5" s="1">
        <v>15.56</v>
      </c>
    </row>
    <row r="6" spans="1:11" x14ac:dyDescent="0.35">
      <c r="A6" s="9" t="s">
        <v>41</v>
      </c>
      <c r="B6" s="11">
        <v>6292</v>
      </c>
      <c r="C6" s="1" t="s">
        <v>40</v>
      </c>
      <c r="D6" s="6"/>
      <c r="I6" s="1" t="s">
        <v>122</v>
      </c>
      <c r="J6" s="1">
        <f t="shared" si="0"/>
        <v>16.309999999999999</v>
      </c>
      <c r="K6" s="1">
        <v>16.309999999999999</v>
      </c>
    </row>
    <row r="7" spans="1:11" x14ac:dyDescent="0.35">
      <c r="A7" s="9" t="s">
        <v>37</v>
      </c>
      <c r="B7" s="11">
        <v>8114</v>
      </c>
      <c r="C7" s="1" t="s">
        <v>40</v>
      </c>
      <c r="D7" s="6"/>
      <c r="I7" s="1" t="s">
        <v>123</v>
      </c>
      <c r="J7" s="1">
        <f t="shared" si="0"/>
        <v>16.850000000000001</v>
      </c>
      <c r="K7" s="1">
        <v>16.850000000000001</v>
      </c>
    </row>
    <row r="8" spans="1:11" x14ac:dyDescent="0.35">
      <c r="A8" s="9" t="s">
        <v>42</v>
      </c>
      <c r="B8" s="11">
        <v>29704</v>
      </c>
      <c r="C8" s="1" t="s">
        <v>40</v>
      </c>
      <c r="D8" s="6"/>
      <c r="I8" s="1" t="s">
        <v>124</v>
      </c>
      <c r="J8" s="1">
        <f t="shared" si="0"/>
        <v>16.670000000000002</v>
      </c>
      <c r="K8" s="1">
        <v>16.670000000000002</v>
      </c>
    </row>
    <row r="9" spans="1:11" x14ac:dyDescent="0.35">
      <c r="A9" s="9" t="s">
        <v>43</v>
      </c>
      <c r="B9" s="11">
        <v>242290</v>
      </c>
      <c r="C9" s="1" t="s">
        <v>40</v>
      </c>
      <c r="D9" s="6"/>
      <c r="I9" s="1" t="s">
        <v>125</v>
      </c>
      <c r="J9" s="1">
        <f t="shared" si="0"/>
        <v>17.670000000000002</v>
      </c>
      <c r="K9" s="1">
        <v>17.670000000000002</v>
      </c>
    </row>
    <row r="10" spans="1:11" x14ac:dyDescent="0.35">
      <c r="A10" s="9" t="s">
        <v>44</v>
      </c>
      <c r="B10" s="12">
        <v>445</v>
      </c>
      <c r="C10" s="1" t="s">
        <v>40</v>
      </c>
      <c r="I10" s="1" t="s">
        <v>126</v>
      </c>
      <c r="J10" s="1">
        <f t="shared" si="0"/>
        <v>20</v>
      </c>
      <c r="K10" s="1">
        <v>20</v>
      </c>
    </row>
    <row r="11" spans="1:11" x14ac:dyDescent="0.35">
      <c r="A11" s="9" t="s">
        <v>38</v>
      </c>
      <c r="B11" s="11">
        <v>68994</v>
      </c>
      <c r="C11" s="1" t="s">
        <v>40</v>
      </c>
      <c r="D11" s="6"/>
      <c r="I11" s="1" t="s">
        <v>127</v>
      </c>
      <c r="J11" s="26">
        <f>B44*100</f>
        <v>9.0093798610401006</v>
      </c>
      <c r="K11" s="1">
        <v>9.0093798610401006</v>
      </c>
    </row>
    <row r="12" spans="1:11" x14ac:dyDescent="0.35">
      <c r="A12" s="9" t="s">
        <v>39</v>
      </c>
      <c r="B12" s="11">
        <v>25058</v>
      </c>
      <c r="C12" s="1" t="s">
        <v>40</v>
      </c>
      <c r="D12" s="6"/>
      <c r="I12" s="1" t="s">
        <v>128</v>
      </c>
      <c r="J12" s="26">
        <f>100+B45*100</f>
        <v>127.5548726953468</v>
      </c>
      <c r="K12" s="1">
        <v>127.5548726953468</v>
      </c>
    </row>
    <row r="13" spans="1:11" x14ac:dyDescent="0.35">
      <c r="A13" s="9" t="s">
        <v>45</v>
      </c>
      <c r="B13" s="11">
        <v>43936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4.6399999999999997</v>
      </c>
      <c r="C14" s="1" t="s">
        <v>47</v>
      </c>
      <c r="D14" s="6"/>
      <c r="I14" s="1" t="s">
        <v>130</v>
      </c>
      <c r="J14" s="1">
        <f>MAX(J12:J13)*2</f>
        <v>255.1097453906936</v>
      </c>
      <c r="K14" s="1">
        <v>255.1097453906936</v>
      </c>
    </row>
    <row r="15" spans="1:11" x14ac:dyDescent="0.35">
      <c r="I15" s="1" t="s">
        <v>131</v>
      </c>
      <c r="J15" s="26">
        <f>B14/B2*100</f>
        <v>0.51555555555555554</v>
      </c>
      <c r="K15" s="1">
        <v>0.51555555555555554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27.554872695346795</v>
      </c>
      <c r="K17" s="1">
        <v>27.554872695346795</v>
      </c>
    </row>
    <row r="18" spans="1:11" x14ac:dyDescent="0.35">
      <c r="A18" s="8" t="s">
        <v>48</v>
      </c>
      <c r="B18" s="7">
        <v>14.16</v>
      </c>
      <c r="C18" s="1" t="s">
        <v>47</v>
      </c>
      <c r="D18" s="14">
        <v>242.29</v>
      </c>
      <c r="E18" s="1" t="s">
        <v>91</v>
      </c>
      <c r="F18" s="3"/>
      <c r="H18" s="6"/>
      <c r="I18" s="1" t="s">
        <v>134</v>
      </c>
      <c r="J18" s="26">
        <f>B48</f>
        <v>31.038546248567766</v>
      </c>
      <c r="K18" s="1">
        <v>31.038546248567766</v>
      </c>
    </row>
    <row r="19" spans="1:11" x14ac:dyDescent="0.35">
      <c r="A19" s="8" t="s">
        <v>49</v>
      </c>
      <c r="B19" s="7">
        <v>15.56</v>
      </c>
      <c r="C19" s="1" t="s">
        <v>47</v>
      </c>
      <c r="D19" s="14">
        <v>253.28</v>
      </c>
      <c r="E19" s="1" t="s">
        <v>91</v>
      </c>
      <c r="F19" s="43"/>
      <c r="H19" s="6"/>
      <c r="I19" s="1" t="s">
        <v>88</v>
      </c>
      <c r="J19" s="26">
        <f>B52</f>
        <v>391.88363773006415</v>
      </c>
      <c r="K19" s="1">
        <v>391.88363773006415</v>
      </c>
    </row>
    <row r="20" spans="1:11" x14ac:dyDescent="0.35">
      <c r="A20" s="8" t="s">
        <v>53</v>
      </c>
      <c r="B20" s="7">
        <v>16.309999999999999</v>
      </c>
      <c r="C20" s="1" t="s">
        <v>47</v>
      </c>
      <c r="D20" s="14">
        <v>254.9</v>
      </c>
      <c r="E20" s="1" t="s">
        <v>91</v>
      </c>
      <c r="F20" s="43"/>
      <c r="H20" s="6"/>
      <c r="I20" s="1" t="s">
        <v>168</v>
      </c>
      <c r="J20" s="26">
        <f>B53</f>
        <v>441.90069423677306</v>
      </c>
      <c r="K20" s="1">
        <v>441.90069423677306</v>
      </c>
    </row>
    <row r="21" spans="1:11" x14ac:dyDescent="0.35">
      <c r="A21" s="8" t="s">
        <v>54</v>
      </c>
      <c r="B21" s="7">
        <v>16.850000000000001</v>
      </c>
      <c r="C21" s="1" t="s">
        <v>47</v>
      </c>
      <c r="D21" s="14">
        <v>257.64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16.670000000000002</v>
      </c>
      <c r="C22" s="1" t="s">
        <v>47</v>
      </c>
      <c r="D22" s="14">
        <v>266.63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17.670000000000002</v>
      </c>
      <c r="C23" s="1" t="s">
        <v>47</v>
      </c>
      <c r="D23" s="14">
        <v>273.10000000000002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20</v>
      </c>
      <c r="C24" s="1" t="s">
        <v>47</v>
      </c>
      <c r="D24" s="14">
        <v>278.43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0.17</v>
      </c>
    </row>
    <row r="29" spans="1:11" x14ac:dyDescent="0.35">
      <c r="A29" s="8" t="s">
        <v>58</v>
      </c>
      <c r="B29" s="5">
        <v>0.1</v>
      </c>
    </row>
    <row r="30" spans="1:11" x14ac:dyDescent="0.35">
      <c r="A30" s="8" t="s">
        <v>59</v>
      </c>
      <c r="B30" s="5">
        <v>0.08</v>
      </c>
    </row>
    <row r="31" spans="1:11" x14ac:dyDescent="0.35">
      <c r="A31" s="8" t="s">
        <v>94</v>
      </c>
      <c r="B31" s="5">
        <v>0.1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0.25109745390693589</v>
      </c>
      <c r="C35" s="1" t="s">
        <v>72</v>
      </c>
    </row>
    <row r="36" spans="1:3" x14ac:dyDescent="0.35">
      <c r="A36" s="8" t="s">
        <v>70</v>
      </c>
      <c r="B36" s="4">
        <f>B7/B11</f>
        <v>0.11760442937066991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0.1319172681682465</v>
      </c>
      <c r="C37" s="1" t="s">
        <v>83</v>
      </c>
    </row>
    <row r="38" spans="1:3" x14ac:dyDescent="0.35">
      <c r="A38" s="8" t="s">
        <v>71</v>
      </c>
      <c r="B38" s="4">
        <f>(B23-B22)/B23</f>
        <v>5.6593095642331628E-2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2.694854328371723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6.1678701760764287E-2</v>
      </c>
    </row>
    <row r="42" spans="1:3" x14ac:dyDescent="0.35">
      <c r="A42" s="8" t="s">
        <v>80</v>
      </c>
      <c r="B42" s="20">
        <f>(B35-B41)/B48</f>
        <v>6.1026940704386919E-3</v>
      </c>
    </row>
    <row r="43" spans="1:3" x14ac:dyDescent="0.35">
      <c r="A43" s="8" t="s">
        <v>77</v>
      </c>
      <c r="B43" s="19">
        <f>AVERAGE(B28:B31)</f>
        <v>0.11250000000000002</v>
      </c>
    </row>
    <row r="44" spans="1:3" x14ac:dyDescent="0.35">
      <c r="A44" s="8" t="s">
        <v>78</v>
      </c>
      <c r="B44" s="18">
        <f>SUM(B40:B43)/3</f>
        <v>9.009379861040101E-2</v>
      </c>
    </row>
    <row r="45" spans="1:3" x14ac:dyDescent="0.35">
      <c r="A45" s="8" t="s">
        <v>81</v>
      </c>
      <c r="B45" s="5">
        <f>(B35+0.3)/2</f>
        <v>0.27554872695346794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19.556316711805</v>
      </c>
    </row>
    <row r="48" spans="1:3" x14ac:dyDescent="0.35">
      <c r="A48" s="8" t="s">
        <v>85</v>
      </c>
      <c r="B48" s="13">
        <f>(B2/B18+10+B47)/3</f>
        <v>31.038546248567766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391.88363773006415</v>
      </c>
      <c r="C52" s="13"/>
    </row>
    <row r="53" spans="1:3" x14ac:dyDescent="0.35">
      <c r="A53" s="8" t="s">
        <v>87</v>
      </c>
      <c r="B53" s="13">
        <f>(B23*2-B$23)*(1+B$44)^8*B$48/(1+Assumptions!B$4-B$14/B$2)^10</f>
        <v>441.90069423677306</v>
      </c>
      <c r="C53" s="13"/>
    </row>
    <row r="54" spans="1:3" x14ac:dyDescent="0.35">
      <c r="A54" s="8" t="s">
        <v>102</v>
      </c>
      <c r="B54" s="13">
        <f>(B24*2-B$23)*(1+B$44)^8*B$48/(1+Assumptions!B$4-B$14/B$2)^10</f>
        <v>558.44043589740454</v>
      </c>
      <c r="C5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825-B42B-47CA-9C82-19D5F21C7375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5" width="20.6640625" style="1" customWidth="1"/>
    <col min="6" max="6" width="20.88671875" style="1" customWidth="1"/>
    <col min="7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108</v>
      </c>
      <c r="I1" s="1" t="s">
        <v>118</v>
      </c>
      <c r="J1" s="1" t="str">
        <f>B1</f>
        <v>ULTA</v>
      </c>
      <c r="K1" s="1" t="s">
        <v>108</v>
      </c>
    </row>
    <row r="2" spans="1:11" x14ac:dyDescent="0.35">
      <c r="A2" s="8" t="s">
        <v>84</v>
      </c>
      <c r="B2" s="2">
        <v>373</v>
      </c>
      <c r="I2" s="1" t="s">
        <v>119</v>
      </c>
      <c r="J2" s="1">
        <f>B2</f>
        <v>373</v>
      </c>
      <c r="K2" s="1">
        <v>373</v>
      </c>
    </row>
    <row r="3" spans="1:11" x14ac:dyDescent="0.35">
      <c r="I3" s="1" t="s">
        <v>167</v>
      </c>
      <c r="J3" s="35">
        <f>B28</f>
        <v>0.3</v>
      </c>
      <c r="K3" s="1">
        <v>0.3</v>
      </c>
    </row>
    <row r="4" spans="1:11" x14ac:dyDescent="0.35">
      <c r="A4" s="8" t="s">
        <v>67</v>
      </c>
      <c r="I4" s="1" t="s">
        <v>120</v>
      </c>
      <c r="J4" s="1">
        <f>B18</f>
        <v>26.03</v>
      </c>
      <c r="K4" s="1">
        <v>26.03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22.76</v>
      </c>
      <c r="K5" s="1">
        <v>22.76</v>
      </c>
    </row>
    <row r="6" spans="1:11" x14ac:dyDescent="0.35">
      <c r="A6" s="9" t="s">
        <v>41</v>
      </c>
      <c r="B6" s="11">
        <v>1291</v>
      </c>
      <c r="C6" s="1" t="s">
        <v>40</v>
      </c>
      <c r="D6" s="6"/>
      <c r="I6" s="1" t="s">
        <v>122</v>
      </c>
      <c r="J6" s="1">
        <f t="shared" si="0"/>
        <v>23.14</v>
      </c>
      <c r="K6" s="1">
        <v>23.14</v>
      </c>
    </row>
    <row r="7" spans="1:11" x14ac:dyDescent="0.35">
      <c r="A7" s="9" t="s">
        <v>37</v>
      </c>
      <c r="B7" s="11">
        <v>1687</v>
      </c>
      <c r="C7" s="1" t="s">
        <v>40</v>
      </c>
      <c r="D7" s="6"/>
      <c r="I7" s="1" t="s">
        <v>123</v>
      </c>
      <c r="J7" s="1">
        <f t="shared" si="0"/>
        <v>23.5</v>
      </c>
      <c r="K7" s="1">
        <v>23.5</v>
      </c>
    </row>
    <row r="8" spans="1:11" x14ac:dyDescent="0.35">
      <c r="A8" s="9" t="s">
        <v>42</v>
      </c>
      <c r="B8" s="11">
        <v>4381</v>
      </c>
      <c r="C8" s="1" t="s">
        <v>40</v>
      </c>
      <c r="D8" s="6"/>
      <c r="I8" s="1" t="s">
        <v>124</v>
      </c>
      <c r="J8" s="1">
        <f t="shared" si="0"/>
        <v>20.75</v>
      </c>
      <c r="K8" s="1">
        <v>20.75</v>
      </c>
    </row>
    <row r="9" spans="1:11" x14ac:dyDescent="0.35">
      <c r="A9" s="9" t="s">
        <v>43</v>
      </c>
      <c r="B9" s="11">
        <v>11207</v>
      </c>
      <c r="C9" s="1" t="s">
        <v>40</v>
      </c>
      <c r="D9" s="6"/>
      <c r="I9" s="1" t="s">
        <v>125</v>
      </c>
      <c r="J9" s="1">
        <f t="shared" si="0"/>
        <v>23</v>
      </c>
      <c r="K9" s="1">
        <v>23</v>
      </c>
    </row>
    <row r="10" spans="1:11" x14ac:dyDescent="0.35">
      <c r="A10" s="9" t="s">
        <v>44</v>
      </c>
      <c r="B10" s="12">
        <v>50</v>
      </c>
      <c r="C10" s="1" t="s">
        <v>40</v>
      </c>
      <c r="D10" s="6"/>
      <c r="I10" s="1" t="s">
        <v>126</v>
      </c>
      <c r="J10" s="1">
        <f t="shared" si="0"/>
        <v>26.04</v>
      </c>
      <c r="K10" s="1">
        <v>26.04</v>
      </c>
    </row>
    <row r="11" spans="1:11" x14ac:dyDescent="0.35">
      <c r="A11" s="9" t="s">
        <v>38</v>
      </c>
      <c r="B11" s="11">
        <v>5707</v>
      </c>
      <c r="C11" s="1" t="s">
        <v>40</v>
      </c>
      <c r="D11" s="6"/>
      <c r="I11" s="1" t="s">
        <v>127</v>
      </c>
      <c r="J11" s="26">
        <f>B44*100</f>
        <v>6.1638506742092094</v>
      </c>
      <c r="K11" s="1">
        <v>6.1638506742092094</v>
      </c>
    </row>
    <row r="12" spans="1:11" x14ac:dyDescent="0.35">
      <c r="A12" s="9" t="s">
        <v>39</v>
      </c>
      <c r="B12" s="11">
        <v>2279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1658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</v>
      </c>
      <c r="K15" s="1">
        <v>0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26.03</v>
      </c>
      <c r="C18" s="1" t="s">
        <v>47</v>
      </c>
      <c r="D18" s="14">
        <v>11.21</v>
      </c>
      <c r="E18" s="1" t="s">
        <v>91</v>
      </c>
      <c r="F18" s="3"/>
      <c r="H18" s="6"/>
      <c r="I18" s="1" t="s">
        <v>134</v>
      </c>
      <c r="J18" s="26">
        <f>B48</f>
        <v>14.776539889870662</v>
      </c>
      <c r="K18" s="1">
        <v>14.776539889870662</v>
      </c>
    </row>
    <row r="19" spans="1:11" x14ac:dyDescent="0.35">
      <c r="A19" s="8" t="s">
        <v>49</v>
      </c>
      <c r="B19" s="7">
        <v>22.76</v>
      </c>
      <c r="C19" s="1" t="s">
        <v>47</v>
      </c>
      <c r="D19" s="14">
        <v>11.08</v>
      </c>
      <c r="E19" s="1" t="s">
        <v>91</v>
      </c>
      <c r="F19" s="43"/>
      <c r="H19" s="6"/>
      <c r="I19" s="1" t="s">
        <v>88</v>
      </c>
      <c r="J19" s="26">
        <f>B52</f>
        <v>170.07125911834149</v>
      </c>
      <c r="K19" s="1">
        <v>170.07125911834149</v>
      </c>
    </row>
    <row r="20" spans="1:11" x14ac:dyDescent="0.35">
      <c r="A20" s="8" t="s">
        <v>53</v>
      </c>
      <c r="B20" s="7">
        <v>23.14</v>
      </c>
      <c r="C20" s="1" t="s">
        <v>47</v>
      </c>
      <c r="D20" s="14">
        <v>11.16</v>
      </c>
      <c r="E20" s="1" t="s">
        <v>91</v>
      </c>
      <c r="F20" s="43"/>
      <c r="H20" s="6"/>
      <c r="I20" s="1" t="s">
        <v>168</v>
      </c>
      <c r="J20" s="26">
        <f>B53</f>
        <v>211.43994376874886</v>
      </c>
      <c r="K20" s="1">
        <v>211.43994376874886</v>
      </c>
    </row>
    <row r="21" spans="1:11" x14ac:dyDescent="0.35">
      <c r="A21" s="8" t="s">
        <v>54</v>
      </c>
      <c r="B21" s="7">
        <v>23.5</v>
      </c>
      <c r="C21" s="1" t="s">
        <v>47</v>
      </c>
      <c r="D21" s="14">
        <v>11.29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20.75</v>
      </c>
      <c r="C22" s="1" t="s">
        <v>47</v>
      </c>
      <c r="D22" s="14">
        <v>11.4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23</v>
      </c>
      <c r="C23" s="1" t="s">
        <v>47</v>
      </c>
      <c r="D23" s="14">
        <v>11.6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26.04</v>
      </c>
      <c r="C24" s="1" t="s">
        <v>47</v>
      </c>
      <c r="D24" s="14">
        <v>12.38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0.3</v>
      </c>
    </row>
    <row r="29" spans="1:11" x14ac:dyDescent="0.35">
      <c r="A29" s="8" t="s">
        <v>58</v>
      </c>
      <c r="B29" s="5">
        <v>-2.8000000000000001E-2</v>
      </c>
    </row>
    <row r="30" spans="1:11" x14ac:dyDescent="0.35">
      <c r="A30" s="8" t="s">
        <v>59</v>
      </c>
      <c r="B30" s="5">
        <v>-0.11</v>
      </c>
    </row>
    <row r="31" spans="1:11" x14ac:dyDescent="0.35">
      <c r="A31" s="8" t="s">
        <v>94</v>
      </c>
      <c r="B31" s="5">
        <v>0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0.56647652479157529</v>
      </c>
      <c r="C35" s="1" t="s">
        <v>72</v>
      </c>
    </row>
    <row r="36" spans="1:3" x14ac:dyDescent="0.35">
      <c r="A36" s="8" t="s">
        <v>70</v>
      </c>
      <c r="B36" s="4">
        <f>B7/B11</f>
        <v>0.29560189241282636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0.13432626598913613</v>
      </c>
      <c r="C37" s="1" t="s">
        <v>83</v>
      </c>
    </row>
    <row r="38" spans="1:3" x14ac:dyDescent="0.35">
      <c r="A38" s="8" t="s">
        <v>71</v>
      </c>
      <c r="B38" s="4">
        <f>(B23-B22)/B23</f>
        <v>9.7826086956521743E-2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2.2532899980778716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1.7246462635712723E-2</v>
      </c>
    </row>
    <row r="42" spans="1:3" x14ac:dyDescent="0.35">
      <c r="A42" s="8" t="s">
        <v>80</v>
      </c>
      <c r="B42" s="20">
        <f>(B35-B41)/B48</f>
        <v>3.7169057590563576E-2</v>
      </c>
    </row>
    <row r="43" spans="1:3" x14ac:dyDescent="0.35">
      <c r="A43" s="8" t="s">
        <v>77</v>
      </c>
      <c r="B43" s="19">
        <f>AVERAGE(B28:B31)</f>
        <v>4.0499999999999994E-2</v>
      </c>
    </row>
    <row r="44" spans="1:3" x14ac:dyDescent="0.35">
      <c r="A44" s="8" t="s">
        <v>78</v>
      </c>
      <c r="B44" s="18">
        <f>SUM(B40:B43)/3</f>
        <v>6.1638506742092092E-2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14.776539889870662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170.07125911834149</v>
      </c>
      <c r="C52" s="13"/>
    </row>
    <row r="53" spans="1:3" x14ac:dyDescent="0.35">
      <c r="A53" s="8" t="s">
        <v>87</v>
      </c>
      <c r="B53" s="13">
        <f>(B23*2-B$23)*(1+B$44)^8*B$48/(1+Assumptions!B$4-B$14/B$2)^10</f>
        <v>211.43994376874886</v>
      </c>
      <c r="C53" s="13"/>
    </row>
    <row r="54" spans="1:3" x14ac:dyDescent="0.35">
      <c r="A54" s="8" t="s">
        <v>102</v>
      </c>
      <c r="B54" s="13">
        <f>(B24*2-B$23)*(1+B$44)^8*B$48/(1+Assumptions!B$4-B$14/B$2)^10</f>
        <v>267.33363325196592</v>
      </c>
      <c r="C54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428D-18E6-49D8-A74A-9A3DDEBE50C3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111</v>
      </c>
      <c r="I1" s="1" t="s">
        <v>118</v>
      </c>
      <c r="J1" s="1" t="str">
        <f>B1</f>
        <v>BKNG</v>
      </c>
      <c r="K1" s="1" t="s">
        <v>111</v>
      </c>
    </row>
    <row r="2" spans="1:11" x14ac:dyDescent="0.35">
      <c r="A2" s="8" t="s">
        <v>84</v>
      </c>
      <c r="B2" s="2">
        <v>4750</v>
      </c>
      <c r="I2" s="1" t="s">
        <v>119</v>
      </c>
      <c r="J2" s="1">
        <f>B2</f>
        <v>4750</v>
      </c>
      <c r="K2" s="1">
        <v>4750</v>
      </c>
    </row>
    <row r="3" spans="1:11" x14ac:dyDescent="0.35">
      <c r="I3" s="1" t="s">
        <v>167</v>
      </c>
      <c r="J3" s="35">
        <f>B28</f>
        <v>0.16</v>
      </c>
      <c r="K3" s="1">
        <v>0.16</v>
      </c>
    </row>
    <row r="4" spans="1:11" x14ac:dyDescent="0.35">
      <c r="A4" s="8" t="s">
        <v>67</v>
      </c>
      <c r="I4" s="1" t="s">
        <v>120</v>
      </c>
      <c r="J4" s="1">
        <f>B18</f>
        <v>152.22</v>
      </c>
      <c r="K4" s="1">
        <v>152.22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157.09</v>
      </c>
      <c r="K5" s="1">
        <v>157.09</v>
      </c>
    </row>
    <row r="6" spans="1:11" x14ac:dyDescent="0.35">
      <c r="A6" s="9" t="s">
        <v>41</v>
      </c>
      <c r="B6" s="11">
        <v>5030</v>
      </c>
      <c r="C6" s="1" t="s">
        <v>40</v>
      </c>
      <c r="D6" s="6"/>
      <c r="I6" s="1" t="s">
        <v>122</v>
      </c>
      <c r="J6" s="1">
        <f t="shared" si="0"/>
        <v>178.39</v>
      </c>
      <c r="K6" s="1">
        <v>178.39</v>
      </c>
    </row>
    <row r="7" spans="1:11" x14ac:dyDescent="0.35">
      <c r="A7" s="9" t="s">
        <v>37</v>
      </c>
      <c r="B7" s="11">
        <v>6359</v>
      </c>
      <c r="C7" s="1" t="s">
        <v>40</v>
      </c>
      <c r="D7" s="6"/>
      <c r="I7" s="1" t="s">
        <v>123</v>
      </c>
      <c r="J7" s="1">
        <f t="shared" si="0"/>
        <v>188</v>
      </c>
      <c r="K7" s="1">
        <v>188</v>
      </c>
    </row>
    <row r="8" spans="1:11" x14ac:dyDescent="0.35">
      <c r="A8" s="9" t="s">
        <v>42</v>
      </c>
      <c r="B8" s="11">
        <v>6359</v>
      </c>
      <c r="C8" s="1" t="s">
        <v>40</v>
      </c>
      <c r="D8" s="6"/>
      <c r="I8" s="1" t="s">
        <v>124</v>
      </c>
      <c r="J8" s="1">
        <f t="shared" si="0"/>
        <v>176.16</v>
      </c>
      <c r="K8" s="1">
        <v>176.16</v>
      </c>
    </row>
    <row r="9" spans="1:11" x14ac:dyDescent="0.35">
      <c r="A9" s="9" t="s">
        <v>43</v>
      </c>
      <c r="B9" s="11">
        <v>22399</v>
      </c>
      <c r="C9" s="1" t="s">
        <v>40</v>
      </c>
      <c r="D9" s="6"/>
      <c r="I9" s="1" t="s">
        <v>125</v>
      </c>
      <c r="J9" s="1">
        <f t="shared" si="0"/>
        <v>205.93</v>
      </c>
      <c r="K9" s="1">
        <v>205.93</v>
      </c>
    </row>
    <row r="10" spans="1:11" x14ac:dyDescent="0.35">
      <c r="A10" s="9" t="s">
        <v>44</v>
      </c>
      <c r="B10" s="12">
        <v>33.520000000000003</v>
      </c>
      <c r="C10" s="1" t="s">
        <v>40</v>
      </c>
      <c r="D10" s="6"/>
      <c r="I10" s="1" t="s">
        <v>126</v>
      </c>
      <c r="J10" s="1">
        <f t="shared" si="0"/>
        <v>217.33</v>
      </c>
      <c r="K10" s="1">
        <v>217.33</v>
      </c>
    </row>
    <row r="11" spans="1:11" x14ac:dyDescent="0.35">
      <c r="A11" s="9" t="s">
        <v>38</v>
      </c>
      <c r="B11" s="11">
        <v>24342</v>
      </c>
      <c r="C11" s="1" t="s">
        <v>40</v>
      </c>
      <c r="D11" s="6"/>
      <c r="I11" s="1" t="s">
        <v>127</v>
      </c>
      <c r="J11" s="26">
        <f>B44*100</f>
        <v>14.547834351676173</v>
      </c>
      <c r="K11" s="1">
        <v>14.547834351676173</v>
      </c>
    </row>
    <row r="12" spans="1:11" x14ac:dyDescent="0.35">
      <c r="A12" s="9" t="s">
        <v>39</v>
      </c>
      <c r="B12" s="11">
        <v>-2744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27086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35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0.73684210526315785</v>
      </c>
      <c r="K15" s="1">
        <v>0.73684210526315785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152.22</v>
      </c>
      <c r="C18" s="1" t="s">
        <v>47</v>
      </c>
      <c r="D18" s="14">
        <v>29.78</v>
      </c>
      <c r="E18" s="1" t="s">
        <v>91</v>
      </c>
      <c r="F18" s="3"/>
      <c r="H18" s="6"/>
      <c r="I18" s="1" t="s">
        <v>134</v>
      </c>
      <c r="J18" s="26">
        <f>B48</f>
        <v>20.401611702360615</v>
      </c>
      <c r="K18" s="1">
        <v>20.401611702360615</v>
      </c>
    </row>
    <row r="19" spans="1:11" x14ac:dyDescent="0.35">
      <c r="A19" s="8" t="s">
        <v>49</v>
      </c>
      <c r="B19" s="7">
        <v>157.09</v>
      </c>
      <c r="C19" s="1" t="s">
        <v>47</v>
      </c>
      <c r="D19" s="14">
        <v>35.47</v>
      </c>
      <c r="E19" s="1" t="s">
        <v>91</v>
      </c>
      <c r="F19" s="43"/>
      <c r="H19" s="6"/>
      <c r="I19" s="1" t="s">
        <v>88</v>
      </c>
      <c r="J19" s="26">
        <f>B52</f>
        <v>3650.3412700600111</v>
      </c>
      <c r="K19" s="1">
        <v>3650.3412700600111</v>
      </c>
    </row>
    <row r="20" spans="1:11" x14ac:dyDescent="0.35">
      <c r="A20" s="8" t="s">
        <v>53</v>
      </c>
      <c r="B20" s="7">
        <v>178.39</v>
      </c>
      <c r="C20" s="1" t="s">
        <v>47</v>
      </c>
      <c r="D20" s="14">
        <v>35.94</v>
      </c>
      <c r="E20" s="1" t="s">
        <v>91</v>
      </c>
      <c r="F20" s="43"/>
      <c r="H20" s="6"/>
      <c r="I20" s="1" t="s">
        <v>168</v>
      </c>
      <c r="J20" s="26">
        <f>B53</f>
        <v>5135.0145347596026</v>
      </c>
      <c r="K20" s="1">
        <v>5135.0145347596026</v>
      </c>
    </row>
    <row r="21" spans="1:11" x14ac:dyDescent="0.35">
      <c r="A21" s="8" t="s">
        <v>54</v>
      </c>
      <c r="B21" s="7">
        <v>188</v>
      </c>
      <c r="C21" s="1" t="s">
        <v>47</v>
      </c>
      <c r="D21" s="14">
        <v>36.450000000000003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176.16</v>
      </c>
      <c r="C22" s="1" t="s">
        <v>47</v>
      </c>
      <c r="D22" s="14">
        <v>38.659999999999997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205.93</v>
      </c>
      <c r="C23" s="1" t="s">
        <v>47</v>
      </c>
      <c r="D23" s="14">
        <v>39.700000000000003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217.33</v>
      </c>
      <c r="C24" s="1" t="s">
        <v>47</v>
      </c>
      <c r="D24" s="14">
        <v>40.46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0.16</v>
      </c>
    </row>
    <row r="29" spans="1:11" x14ac:dyDescent="0.35">
      <c r="A29" s="8" t="s">
        <v>58</v>
      </c>
      <c r="B29" s="5">
        <v>0.22</v>
      </c>
    </row>
    <row r="30" spans="1:11" x14ac:dyDescent="0.35">
      <c r="A30" s="8" t="s">
        <v>59</v>
      </c>
      <c r="B30" s="5">
        <v>0.15</v>
      </c>
    </row>
    <row r="31" spans="1:11" x14ac:dyDescent="0.35">
      <c r="A31" s="8" t="s">
        <v>94</v>
      </c>
      <c r="B31" s="5">
        <v>0.15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24">
        <v>0.6</v>
      </c>
      <c r="C35" s="1" t="s">
        <v>72</v>
      </c>
    </row>
    <row r="36" spans="1:3" x14ac:dyDescent="0.35">
      <c r="A36" s="8" t="s">
        <v>70</v>
      </c>
      <c r="B36" s="4">
        <f>B7/B11</f>
        <v>0.2612357242625914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2.181825651137952E-2</v>
      </c>
      <c r="C37" s="1" t="s">
        <v>83</v>
      </c>
    </row>
    <row r="38" spans="1:3" x14ac:dyDescent="0.35">
      <c r="A38" s="8" t="s">
        <v>71</v>
      </c>
      <c r="B38" s="4">
        <f>(B23-B22)/B23</f>
        <v>0.14456368668965186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1.4839622675223716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0.15460359840188387</v>
      </c>
    </row>
    <row r="42" spans="1:3" x14ac:dyDescent="0.35">
      <c r="A42" s="8" t="s">
        <v>80</v>
      </c>
      <c r="B42" s="20">
        <f>(B35-B41)/B48</f>
        <v>2.183143214840132E-2</v>
      </c>
    </row>
    <row r="43" spans="1:3" x14ac:dyDescent="0.35">
      <c r="A43" s="8" t="s">
        <v>77</v>
      </c>
      <c r="B43" s="19">
        <f>AVERAGE(B28:B31)</f>
        <v>0.17</v>
      </c>
    </row>
    <row r="44" spans="1:3" x14ac:dyDescent="0.35">
      <c r="A44" s="8" t="s">
        <v>78</v>
      </c>
      <c r="B44" s="18">
        <f>SUM(B40:B43)/3</f>
        <v>0.14547834351676173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20.401611702360615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3650.3412700600111</v>
      </c>
      <c r="C52" s="13"/>
    </row>
    <row r="53" spans="1:3" x14ac:dyDescent="0.35">
      <c r="A53" s="8" t="s">
        <v>87</v>
      </c>
      <c r="B53" s="13">
        <f>(B23*2-B$23)*(1+B$44)^8*B$48/(1+Assumptions!B$4-B$14/B$2)^10</f>
        <v>5135.0145347596026</v>
      </c>
      <c r="C53" s="13"/>
    </row>
    <row r="54" spans="1:3" x14ac:dyDescent="0.35">
      <c r="A54" s="8" t="s">
        <v>102</v>
      </c>
      <c r="B54" s="13">
        <f>(B24*2-B$23)*(1+B$44)^8*B$48/(1+Assumptions!B$4-B$14/B$2)^10</f>
        <v>5703.5491406573301</v>
      </c>
      <c r="C54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F5EF-A45D-4AC2-8A98-78E10FC958DC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116</v>
      </c>
      <c r="I1" s="1" t="s">
        <v>118</v>
      </c>
      <c r="J1" s="1" t="str">
        <f>B1</f>
        <v>V</v>
      </c>
      <c r="K1" s="1" t="s">
        <v>116</v>
      </c>
    </row>
    <row r="2" spans="1:11" x14ac:dyDescent="0.35">
      <c r="A2" s="8" t="s">
        <v>84</v>
      </c>
      <c r="B2" s="2">
        <v>282</v>
      </c>
      <c r="I2" s="1" t="s">
        <v>119</v>
      </c>
      <c r="J2" s="1">
        <f>B2</f>
        <v>282</v>
      </c>
      <c r="K2" s="1">
        <v>282</v>
      </c>
    </row>
    <row r="3" spans="1:11" x14ac:dyDescent="0.35">
      <c r="I3" s="1" t="s">
        <v>167</v>
      </c>
      <c r="J3" s="35">
        <f>B28</f>
        <v>0.16</v>
      </c>
      <c r="K3" s="1">
        <v>0.16</v>
      </c>
    </row>
    <row r="4" spans="1:11" x14ac:dyDescent="0.35">
      <c r="A4" s="8" t="s">
        <v>67</v>
      </c>
      <c r="I4" s="1" t="s">
        <v>120</v>
      </c>
      <c r="J4" s="1">
        <f>B18</f>
        <v>8</v>
      </c>
      <c r="K4" s="1">
        <v>8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9.85</v>
      </c>
      <c r="K5" s="1">
        <v>9.85</v>
      </c>
    </row>
    <row r="6" spans="1:11" x14ac:dyDescent="0.35">
      <c r="A6" s="9" t="s">
        <v>41</v>
      </c>
      <c r="B6" s="11">
        <v>17273</v>
      </c>
      <c r="C6" s="1" t="s">
        <v>40</v>
      </c>
      <c r="D6" s="6"/>
      <c r="I6" s="1" t="s">
        <v>122</v>
      </c>
      <c r="J6" s="1">
        <f t="shared" si="0"/>
        <v>9.92</v>
      </c>
      <c r="K6" s="1">
        <v>9.92</v>
      </c>
    </row>
    <row r="7" spans="1:11" x14ac:dyDescent="0.35">
      <c r="A7" s="9" t="s">
        <v>37</v>
      </c>
      <c r="B7" s="11">
        <v>21927</v>
      </c>
      <c r="C7" s="1" t="s">
        <v>40</v>
      </c>
      <c r="D7" s="6"/>
      <c r="I7" s="1" t="s">
        <v>123</v>
      </c>
      <c r="J7" s="1">
        <f t="shared" si="0"/>
        <v>9.9600000000000009</v>
      </c>
      <c r="K7" s="1">
        <v>9.9600000000000009</v>
      </c>
    </row>
    <row r="8" spans="1:11" x14ac:dyDescent="0.35">
      <c r="A8" s="9" t="s">
        <v>42</v>
      </c>
      <c r="B8" s="11">
        <v>26086</v>
      </c>
      <c r="C8" s="1" t="s">
        <v>40</v>
      </c>
      <c r="D8" s="6"/>
      <c r="I8" s="1" t="s">
        <v>124</v>
      </c>
      <c r="J8" s="1">
        <f t="shared" si="0"/>
        <v>10.71</v>
      </c>
      <c r="K8" s="1">
        <v>10.71</v>
      </c>
    </row>
    <row r="9" spans="1:11" x14ac:dyDescent="0.35">
      <c r="A9" s="9" t="s">
        <v>43</v>
      </c>
      <c r="B9" s="11">
        <v>32653</v>
      </c>
      <c r="C9" s="1" t="s">
        <v>40</v>
      </c>
      <c r="D9" s="6"/>
      <c r="I9" s="1" t="s">
        <v>125</v>
      </c>
      <c r="J9" s="1">
        <f t="shared" si="0"/>
        <v>11.07</v>
      </c>
      <c r="K9" s="1">
        <v>11.07</v>
      </c>
    </row>
    <row r="10" spans="1:11" x14ac:dyDescent="0.35">
      <c r="A10" s="9" t="s">
        <v>44</v>
      </c>
      <c r="B10" s="12">
        <v>2085</v>
      </c>
      <c r="C10" s="1" t="s">
        <v>40</v>
      </c>
      <c r="D10" s="6"/>
      <c r="I10" s="1" t="s">
        <v>126</v>
      </c>
      <c r="J10" s="1">
        <f t="shared" si="0"/>
        <v>11.43</v>
      </c>
      <c r="K10" s="1">
        <v>11.43</v>
      </c>
    </row>
    <row r="11" spans="1:11" x14ac:dyDescent="0.35">
      <c r="A11" s="9" t="s">
        <v>38</v>
      </c>
      <c r="B11" s="11">
        <v>90499</v>
      </c>
      <c r="C11" s="1" t="s">
        <v>40</v>
      </c>
      <c r="D11" s="6"/>
      <c r="I11" s="1" t="s">
        <v>127</v>
      </c>
      <c r="J11" s="26">
        <f>B44*100</f>
        <v>14.016628579832416</v>
      </c>
      <c r="K11" s="1">
        <v>14.016628579832416</v>
      </c>
    </row>
    <row r="12" spans="1:11" x14ac:dyDescent="0.35">
      <c r="A12" s="9" t="s">
        <v>39</v>
      </c>
      <c r="B12" s="11">
        <v>38733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51766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2.08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0.73758865248226957</v>
      </c>
      <c r="K15" s="1">
        <v>0.73758865248226957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8</v>
      </c>
      <c r="C18" s="1" t="s">
        <v>47</v>
      </c>
      <c r="D18" s="14">
        <v>29.78</v>
      </c>
      <c r="E18" s="1" t="s">
        <v>91</v>
      </c>
      <c r="F18" s="3"/>
      <c r="H18" s="6"/>
      <c r="I18" s="1" t="s">
        <v>134</v>
      </c>
      <c r="J18" s="26">
        <f>B48</f>
        <v>21.75</v>
      </c>
      <c r="K18" s="1">
        <v>21.75</v>
      </c>
    </row>
    <row r="19" spans="1:11" x14ac:dyDescent="0.35">
      <c r="A19" s="8" t="s">
        <v>49</v>
      </c>
      <c r="B19" s="7">
        <v>9.85</v>
      </c>
      <c r="C19" s="1" t="s">
        <v>47</v>
      </c>
      <c r="D19" s="14">
        <v>35.47</v>
      </c>
      <c r="E19" s="1" t="s">
        <v>91</v>
      </c>
      <c r="F19" s="43"/>
      <c r="H19" s="6"/>
      <c r="I19" s="1" t="s">
        <v>88</v>
      </c>
      <c r="J19" s="26">
        <f>B52</f>
        <v>265.11686898779658</v>
      </c>
      <c r="K19" s="1">
        <v>265.11686898779658</v>
      </c>
    </row>
    <row r="20" spans="1:11" x14ac:dyDescent="0.35">
      <c r="A20" s="8" t="s">
        <v>53</v>
      </c>
      <c r="B20" s="7">
        <v>9.92</v>
      </c>
      <c r="C20" s="1" t="s">
        <v>47</v>
      </c>
      <c r="D20" s="14">
        <v>35.94</v>
      </c>
      <c r="E20" s="1" t="s">
        <v>91</v>
      </c>
      <c r="F20" s="43"/>
      <c r="H20" s="6"/>
      <c r="I20" s="1" t="s">
        <v>168</v>
      </c>
      <c r="J20" s="26">
        <f>B53</f>
        <v>283.55978161303454</v>
      </c>
      <c r="K20" s="1">
        <v>283.55978161303454</v>
      </c>
    </row>
    <row r="21" spans="1:11" x14ac:dyDescent="0.35">
      <c r="A21" s="8" t="s">
        <v>54</v>
      </c>
      <c r="B21" s="7">
        <v>9.9600000000000009</v>
      </c>
      <c r="C21" s="1" t="s">
        <v>47</v>
      </c>
      <c r="D21" s="14">
        <v>36.450000000000003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10.71</v>
      </c>
      <c r="C22" s="1" t="s">
        <v>47</v>
      </c>
      <c r="D22" s="14">
        <v>38.659999999999997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11.07</v>
      </c>
      <c r="C23" s="1" t="s">
        <v>47</v>
      </c>
      <c r="D23" s="14">
        <v>39.700000000000003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11.43</v>
      </c>
      <c r="C24" s="1" t="s">
        <v>47</v>
      </c>
      <c r="D24" s="14">
        <v>40.46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0.16</v>
      </c>
    </row>
    <row r="29" spans="1:11" x14ac:dyDescent="0.35">
      <c r="A29" s="8" t="s">
        <v>58</v>
      </c>
      <c r="B29" s="5">
        <v>0.13</v>
      </c>
    </row>
    <row r="30" spans="1:11" x14ac:dyDescent="0.35">
      <c r="A30" s="8" t="s">
        <v>59</v>
      </c>
      <c r="B30" s="5">
        <v>0.24</v>
      </c>
    </row>
    <row r="31" spans="1:11" x14ac:dyDescent="0.35">
      <c r="A31" s="8" t="s">
        <v>94</v>
      </c>
      <c r="B31" s="5">
        <v>0.12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0.44595048150156197</v>
      </c>
      <c r="C35" s="1" t="s">
        <v>72</v>
      </c>
    </row>
    <row r="36" spans="1:3" x14ac:dyDescent="0.35">
      <c r="A36" s="8" t="s">
        <v>70</v>
      </c>
      <c r="B36" s="4">
        <f>B7/B11</f>
        <v>0.24228997005491773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0.1569984198720428</v>
      </c>
      <c r="C37" s="1" t="s">
        <v>83</v>
      </c>
    </row>
    <row r="38" spans="1:3" x14ac:dyDescent="0.35">
      <c r="A38" s="8" t="s">
        <v>71</v>
      </c>
      <c r="B38" s="4">
        <f>(B23-B22)/B23</f>
        <v>3.252032520325198E-2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6.474609616045087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0.15460359840188387</v>
      </c>
    </row>
    <row r="42" spans="1:3" x14ac:dyDescent="0.35">
      <c r="A42" s="8" t="s">
        <v>80</v>
      </c>
      <c r="B42" s="20">
        <f>(B35-B41)/B48</f>
        <v>1.3395258993088648E-2</v>
      </c>
    </row>
    <row r="43" spans="1:3" x14ac:dyDescent="0.35">
      <c r="A43" s="8" t="s">
        <v>77</v>
      </c>
      <c r="B43" s="19">
        <f>AVERAGE(B28:B31)</f>
        <v>0.16250000000000001</v>
      </c>
    </row>
    <row r="44" spans="1:3" x14ac:dyDescent="0.35">
      <c r="A44" s="8" t="s">
        <v>78</v>
      </c>
      <c r="B44" s="18">
        <f>SUM(B40:B43)/3</f>
        <v>0.14016628579832416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21.75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265.11686898779658</v>
      </c>
      <c r="C52" s="13"/>
    </row>
    <row r="53" spans="1:3" x14ac:dyDescent="0.35">
      <c r="A53" s="8" t="s">
        <v>87</v>
      </c>
      <c r="B53" s="13">
        <f>(B23*2-B$23)*(1+B$44)^8*B$48/(1+Assumptions!B$4-B$14/B$2)^10</f>
        <v>283.55978161303454</v>
      </c>
      <c r="C53" s="13"/>
    </row>
    <row r="54" spans="1:3" x14ac:dyDescent="0.35">
      <c r="A54" s="8" t="s">
        <v>102</v>
      </c>
      <c r="B54" s="13">
        <f>(B24*2-B$23)*(1+B$44)^8*B$48/(1+Assumptions!B$4-B$14/B$2)^10</f>
        <v>302.00269423827257</v>
      </c>
      <c r="C54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A46C-F038-439D-BC5E-661DB3BBA22C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135</v>
      </c>
      <c r="I1" s="1" t="s">
        <v>118</v>
      </c>
      <c r="J1" s="1" t="str">
        <f>B1</f>
        <v>MA</v>
      </c>
      <c r="K1" s="1" t="s">
        <v>135</v>
      </c>
    </row>
    <row r="2" spans="1:11" x14ac:dyDescent="0.35">
      <c r="A2" s="8" t="s">
        <v>84</v>
      </c>
      <c r="B2" s="2">
        <v>508</v>
      </c>
      <c r="I2" s="1" t="s">
        <v>119</v>
      </c>
      <c r="J2" s="1">
        <f>B2</f>
        <v>508</v>
      </c>
      <c r="K2" s="1">
        <v>508</v>
      </c>
    </row>
    <row r="3" spans="1:11" x14ac:dyDescent="0.35">
      <c r="I3" s="1" t="s">
        <v>167</v>
      </c>
      <c r="J3" s="35">
        <f>B28</f>
        <v>0.16</v>
      </c>
      <c r="K3" s="1">
        <v>0.16</v>
      </c>
    </row>
    <row r="4" spans="1:11" x14ac:dyDescent="0.35">
      <c r="A4" s="8" t="s">
        <v>67</v>
      </c>
      <c r="I4" s="1" t="s">
        <v>120</v>
      </c>
      <c r="J4" s="1">
        <f>B18</f>
        <v>12.26</v>
      </c>
      <c r="K4" s="1">
        <v>12.26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13.98</v>
      </c>
      <c r="K5" s="1">
        <v>13.98</v>
      </c>
    </row>
    <row r="6" spans="1:11" x14ac:dyDescent="0.35">
      <c r="A6" s="9" t="s">
        <v>41</v>
      </c>
      <c r="B6" s="11">
        <v>11195</v>
      </c>
      <c r="C6" s="1" t="s">
        <v>40</v>
      </c>
      <c r="D6" s="6"/>
      <c r="I6" s="1" t="s">
        <v>122</v>
      </c>
      <c r="J6" s="1">
        <f t="shared" si="0"/>
        <v>14.31</v>
      </c>
      <c r="K6" s="1">
        <v>14.31</v>
      </c>
    </row>
    <row r="7" spans="1:11" x14ac:dyDescent="0.35">
      <c r="A7" s="9" t="s">
        <v>37</v>
      </c>
      <c r="B7" s="11">
        <v>14630</v>
      </c>
      <c r="C7" s="1" t="s">
        <v>40</v>
      </c>
      <c r="D7" s="6"/>
      <c r="I7" s="1" t="s">
        <v>123</v>
      </c>
      <c r="J7" s="1">
        <f t="shared" si="0"/>
        <v>14.65</v>
      </c>
      <c r="K7" s="1">
        <v>14.65</v>
      </c>
    </row>
    <row r="8" spans="1:11" x14ac:dyDescent="0.35">
      <c r="A8" s="9" t="s">
        <v>42</v>
      </c>
      <c r="B8" s="11">
        <v>19076</v>
      </c>
      <c r="C8" s="1" t="s">
        <v>40</v>
      </c>
      <c r="D8" s="6"/>
      <c r="I8" s="1" t="s">
        <v>124</v>
      </c>
      <c r="J8" s="1">
        <f t="shared" si="0"/>
        <v>15.94</v>
      </c>
      <c r="K8" s="1">
        <v>15.94</v>
      </c>
    </row>
    <row r="9" spans="1:11" x14ac:dyDescent="0.35">
      <c r="A9" s="9" t="s">
        <v>43</v>
      </c>
      <c r="B9" s="11">
        <v>25098</v>
      </c>
      <c r="C9" s="1" t="s">
        <v>40</v>
      </c>
      <c r="D9" s="6"/>
      <c r="I9" s="1" t="s">
        <v>125</v>
      </c>
      <c r="J9" s="1">
        <f t="shared" si="0"/>
        <v>16.64</v>
      </c>
      <c r="K9" s="1">
        <v>16.64</v>
      </c>
    </row>
    <row r="10" spans="1:11" x14ac:dyDescent="0.35">
      <c r="A10" s="9" t="s">
        <v>44</v>
      </c>
      <c r="B10" s="12">
        <v>946</v>
      </c>
      <c r="C10" s="1" t="s">
        <v>40</v>
      </c>
      <c r="D10" s="6"/>
      <c r="I10" s="1" t="s">
        <v>126</v>
      </c>
      <c r="J10" s="1">
        <f t="shared" si="0"/>
        <v>17.25</v>
      </c>
      <c r="K10" s="1">
        <v>17.25</v>
      </c>
    </row>
    <row r="11" spans="1:11" x14ac:dyDescent="0.35">
      <c r="A11" s="9" t="s">
        <v>38</v>
      </c>
      <c r="B11" s="11">
        <v>42448</v>
      </c>
      <c r="C11" s="1" t="s">
        <v>40</v>
      </c>
      <c r="D11" s="6"/>
      <c r="I11" s="1" t="s">
        <v>127</v>
      </c>
      <c r="J11" s="26">
        <f>B44*100</f>
        <v>14.427703315162562</v>
      </c>
      <c r="K11" s="1">
        <v>14.427703315162562</v>
      </c>
    </row>
    <row r="12" spans="1:11" x14ac:dyDescent="0.35">
      <c r="A12" s="9" t="s">
        <v>39</v>
      </c>
      <c r="B12" s="11">
        <v>6929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35451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2.64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0.51968503937007871</v>
      </c>
      <c r="K15" s="1">
        <v>0.51968503937007871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12.26</v>
      </c>
      <c r="C18" s="1" t="s">
        <v>47</v>
      </c>
      <c r="D18" s="14">
        <v>25.1</v>
      </c>
      <c r="E18" s="1" t="s">
        <v>91</v>
      </c>
      <c r="F18" s="3"/>
      <c r="H18" s="6"/>
      <c r="I18" s="1" t="s">
        <v>134</v>
      </c>
      <c r="J18" s="26">
        <f>B48</f>
        <v>23.811854268624248</v>
      </c>
      <c r="K18" s="1">
        <v>23.811854268624248</v>
      </c>
    </row>
    <row r="19" spans="1:11" x14ac:dyDescent="0.35">
      <c r="A19" s="8" t="s">
        <v>49</v>
      </c>
      <c r="B19" s="7">
        <v>13.98</v>
      </c>
      <c r="C19" s="1" t="s">
        <v>47</v>
      </c>
      <c r="D19" s="14">
        <v>27.69</v>
      </c>
      <c r="E19" s="1" t="s">
        <v>91</v>
      </c>
      <c r="F19" s="43"/>
      <c r="H19" s="6"/>
      <c r="I19" s="1" t="s">
        <v>88</v>
      </c>
      <c r="J19" s="26">
        <f>B52</f>
        <v>431.18858161548388</v>
      </c>
      <c r="K19" s="1">
        <v>431.18858161548388</v>
      </c>
    </row>
    <row r="20" spans="1:11" x14ac:dyDescent="0.35">
      <c r="A20" s="8" t="s">
        <v>53</v>
      </c>
      <c r="B20" s="7">
        <v>14.31</v>
      </c>
      <c r="C20" s="1" t="s">
        <v>47</v>
      </c>
      <c r="D20" s="14">
        <v>27.85</v>
      </c>
      <c r="E20" s="1" t="s">
        <v>91</v>
      </c>
      <c r="F20" s="43"/>
      <c r="H20" s="6"/>
      <c r="I20" s="1" t="s">
        <v>168</v>
      </c>
      <c r="J20" s="26">
        <f>B53</f>
        <v>470.79908123895365</v>
      </c>
      <c r="K20" s="1">
        <v>470.79908123895365</v>
      </c>
    </row>
    <row r="21" spans="1:11" x14ac:dyDescent="0.35">
      <c r="A21" s="8" t="s">
        <v>54</v>
      </c>
      <c r="B21" s="7">
        <v>14.65</v>
      </c>
      <c r="C21" s="1" t="s">
        <v>47</v>
      </c>
      <c r="D21" s="14">
        <v>28.08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15.94</v>
      </c>
      <c r="C22" s="1" t="s">
        <v>47</v>
      </c>
      <c r="D22" s="14">
        <v>30.8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16.64</v>
      </c>
      <c r="C23" s="1" t="s">
        <v>47</v>
      </c>
      <c r="D23" s="14">
        <v>31.34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17.25</v>
      </c>
      <c r="C24" s="1" t="s">
        <v>47</v>
      </c>
      <c r="D24" s="14">
        <v>31.9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0.16</v>
      </c>
    </row>
    <row r="29" spans="1:11" x14ac:dyDescent="0.35">
      <c r="A29" s="8" t="s">
        <v>58</v>
      </c>
      <c r="B29" s="5">
        <v>0.16</v>
      </c>
    </row>
    <row r="30" spans="1:11" x14ac:dyDescent="0.35">
      <c r="A30" s="8" t="s">
        <v>59</v>
      </c>
      <c r="B30" s="5">
        <v>0.17</v>
      </c>
    </row>
    <row r="31" spans="1:11" x14ac:dyDescent="0.35">
      <c r="A31" s="8" t="s">
        <v>94</v>
      </c>
      <c r="B31" s="5">
        <v>0.16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1.6156732573242891</v>
      </c>
      <c r="C35" s="1" t="s">
        <v>72</v>
      </c>
    </row>
    <row r="36" spans="1:3" x14ac:dyDescent="0.35">
      <c r="A36" s="8" t="s">
        <v>70</v>
      </c>
      <c r="B36" s="4">
        <f>B7/B11</f>
        <v>0.34465699208443273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9.0728656238220878E-2</v>
      </c>
      <c r="C37" s="1" t="s">
        <v>83</v>
      </c>
    </row>
    <row r="38" spans="1:3" x14ac:dyDescent="0.35">
      <c r="A38" s="8" t="s">
        <v>71</v>
      </c>
      <c r="B38" s="4">
        <f>(B23-B22)/B23</f>
        <v>4.2067307692307758E-2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5.3917806017827417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0.1174102101239467</v>
      </c>
    </row>
    <row r="42" spans="1:3" x14ac:dyDescent="0.35">
      <c r="A42" s="8" t="s">
        <v>80</v>
      </c>
      <c r="B42" s="20">
        <f>(B35-B41)/B48</f>
        <v>6.2920889330930124E-2</v>
      </c>
    </row>
    <row r="43" spans="1:3" x14ac:dyDescent="0.35">
      <c r="A43" s="8" t="s">
        <v>77</v>
      </c>
      <c r="B43" s="19">
        <f>AVERAGE(B28:B31)</f>
        <v>0.16250000000000001</v>
      </c>
    </row>
    <row r="44" spans="1:3" x14ac:dyDescent="0.35">
      <c r="A44" s="8" t="s">
        <v>78</v>
      </c>
      <c r="B44" s="18">
        <f>SUM(B40:B43)/3</f>
        <v>0.14427703315162563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23.811854268624248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431.18858161548388</v>
      </c>
      <c r="C52" s="13"/>
    </row>
    <row r="53" spans="1:3" x14ac:dyDescent="0.35">
      <c r="A53" s="8" t="s">
        <v>87</v>
      </c>
      <c r="B53" s="13">
        <f>(B23*2-B$23)*(1+B$44)^8*B$48/(1+Assumptions!B$4-B$14/B$2)^10</f>
        <v>470.79908123895365</v>
      </c>
      <c r="C53" s="13"/>
    </row>
    <row r="54" spans="1:3" x14ac:dyDescent="0.35">
      <c r="A54" s="8" t="s">
        <v>102</v>
      </c>
      <c r="B54" s="13">
        <f>(B24*2-B$23)*(1+B$44)^8*B$48/(1+Assumptions!B$4-B$14/B$2)^10</f>
        <v>505.31680233940574</v>
      </c>
      <c r="C54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4B1-B1BA-4973-BF71-965D81323301}">
  <dimension ref="A1:K54"/>
  <sheetViews>
    <sheetView topLeftCell="A16" workbookViewId="0">
      <selection activeCell="B25" sqref="B25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138</v>
      </c>
      <c r="I1" s="1" t="s">
        <v>118</v>
      </c>
      <c r="J1" s="1" t="str">
        <f>B1</f>
        <v>FSLR</v>
      </c>
      <c r="K1" s="1" t="s">
        <v>138</v>
      </c>
    </row>
    <row r="2" spans="1:11" x14ac:dyDescent="0.35">
      <c r="A2" s="8" t="s">
        <v>84</v>
      </c>
      <c r="B2" s="2">
        <v>210</v>
      </c>
      <c r="I2" s="1" t="s">
        <v>119</v>
      </c>
      <c r="J2" s="1">
        <f>B2</f>
        <v>210</v>
      </c>
      <c r="K2" s="1">
        <v>210</v>
      </c>
    </row>
    <row r="3" spans="1:11" x14ac:dyDescent="0.35">
      <c r="I3" s="1" t="s">
        <v>167</v>
      </c>
      <c r="J3" s="35">
        <f>B28</f>
        <v>0.32</v>
      </c>
      <c r="K3" s="1">
        <v>0.32</v>
      </c>
    </row>
    <row r="4" spans="1:11" x14ac:dyDescent="0.35">
      <c r="A4" s="8" t="s">
        <v>67</v>
      </c>
      <c r="I4" s="1" t="s">
        <v>120</v>
      </c>
      <c r="J4" s="1">
        <f>B18</f>
        <v>7.74</v>
      </c>
      <c r="K4" s="1">
        <v>7.74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12.91</v>
      </c>
      <c r="K5" s="1">
        <v>12.79</v>
      </c>
    </row>
    <row r="6" spans="1:11" x14ac:dyDescent="0.35">
      <c r="A6" s="9" t="s">
        <v>41</v>
      </c>
      <c r="B6" s="11">
        <v>831</v>
      </c>
      <c r="C6" s="1" t="s">
        <v>40</v>
      </c>
      <c r="D6" s="6"/>
      <c r="I6" s="1" t="s">
        <v>122</v>
      </c>
      <c r="J6" s="1">
        <f t="shared" si="0"/>
        <v>13.29</v>
      </c>
      <c r="K6" s="1">
        <v>13.44</v>
      </c>
    </row>
    <row r="7" spans="1:11" x14ac:dyDescent="0.35">
      <c r="A7" s="9" t="s">
        <v>37</v>
      </c>
      <c r="B7" s="11">
        <v>886</v>
      </c>
      <c r="C7" s="1" t="s">
        <v>40</v>
      </c>
      <c r="D7" s="6"/>
      <c r="I7" s="1" t="s">
        <v>123</v>
      </c>
      <c r="J7" s="1">
        <f t="shared" si="0"/>
        <v>14</v>
      </c>
      <c r="K7" s="1">
        <v>14.43</v>
      </c>
    </row>
    <row r="8" spans="1:11" x14ac:dyDescent="0.35">
      <c r="A8" s="9" t="s">
        <v>42</v>
      </c>
      <c r="B8" s="11">
        <v>1301</v>
      </c>
      <c r="C8" s="1" t="s">
        <v>40</v>
      </c>
      <c r="D8" s="6"/>
      <c r="I8" s="1" t="s">
        <v>124</v>
      </c>
      <c r="J8" s="1">
        <f t="shared" si="0"/>
        <v>15.05</v>
      </c>
      <c r="K8" s="1">
        <v>15.05</v>
      </c>
    </row>
    <row r="9" spans="1:11" x14ac:dyDescent="0.35">
      <c r="A9" s="9" t="s">
        <v>43</v>
      </c>
      <c r="B9" s="11">
        <v>3319</v>
      </c>
      <c r="C9" s="1" t="s">
        <v>40</v>
      </c>
      <c r="D9" s="6"/>
      <c r="I9" s="1" t="s">
        <v>125</v>
      </c>
      <c r="J9" s="1">
        <f t="shared" si="0"/>
        <v>20.91</v>
      </c>
      <c r="K9" s="1">
        <v>21.31</v>
      </c>
    </row>
    <row r="10" spans="1:11" x14ac:dyDescent="0.35">
      <c r="A10" s="9" t="s">
        <v>44</v>
      </c>
      <c r="B10" s="12">
        <v>107</v>
      </c>
      <c r="C10" s="1" t="s">
        <v>40</v>
      </c>
      <c r="D10" s="6"/>
      <c r="I10" s="1" t="s">
        <v>126</v>
      </c>
      <c r="J10" s="1">
        <f t="shared" si="0"/>
        <v>24.52</v>
      </c>
      <c r="K10" s="1">
        <v>23.79</v>
      </c>
    </row>
    <row r="11" spans="1:11" x14ac:dyDescent="0.35">
      <c r="A11" s="9" t="s">
        <v>38</v>
      </c>
      <c r="B11" s="11">
        <v>10365</v>
      </c>
      <c r="C11" s="1" t="s">
        <v>40</v>
      </c>
      <c r="D11" s="6"/>
      <c r="I11" s="1" t="s">
        <v>127</v>
      </c>
      <c r="J11" s="26">
        <f>B44*100</f>
        <v>15.827803336540988</v>
      </c>
      <c r="K11" s="1">
        <v>15.827803336540988</v>
      </c>
    </row>
    <row r="12" spans="1:11" x14ac:dyDescent="0.35">
      <c r="A12" s="9" t="s">
        <v>39</v>
      </c>
      <c r="B12" s="11">
        <v>6687</v>
      </c>
      <c r="C12" s="1" t="s">
        <v>40</v>
      </c>
      <c r="D12" s="6"/>
      <c r="I12" s="1" t="s">
        <v>128</v>
      </c>
      <c r="J12" s="26">
        <f>100+B45*100</f>
        <v>121.21354867653656</v>
      </c>
      <c r="K12" s="1">
        <v>121.21354867653656</v>
      </c>
    </row>
    <row r="13" spans="1:11" x14ac:dyDescent="0.35">
      <c r="A13" s="9" t="s">
        <v>45</v>
      </c>
      <c r="B13" s="11">
        <v>3678</v>
      </c>
      <c r="C13" s="1" t="s">
        <v>40</v>
      </c>
      <c r="D13" s="6"/>
      <c r="I13" s="1" t="s">
        <v>129</v>
      </c>
      <c r="J13" s="1">
        <f>130+IF(B39&gt;1,-20)+IF(B39&lt;-1,20)</f>
        <v>130</v>
      </c>
      <c r="K13" s="1">
        <v>130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</v>
      </c>
      <c r="K15" s="1">
        <v>0</v>
      </c>
    </row>
    <row r="16" spans="1:11" x14ac:dyDescent="0.35">
      <c r="A16" s="1" t="s">
        <v>66</v>
      </c>
      <c r="I16" s="1" t="s">
        <v>132</v>
      </c>
      <c r="J16" s="26">
        <f>B46*100</f>
        <v>2.5936328924845542</v>
      </c>
      <c r="K16" s="1">
        <v>2.5936328924845542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21.213548676536565</v>
      </c>
      <c r="K17" s="1">
        <v>21.213548676536565</v>
      </c>
    </row>
    <row r="18" spans="1:11" x14ac:dyDescent="0.35">
      <c r="A18" s="8" t="s">
        <v>48</v>
      </c>
      <c r="B18" s="7">
        <v>7.74</v>
      </c>
      <c r="C18" s="1" t="s">
        <v>47</v>
      </c>
      <c r="D18" s="14">
        <v>3.32</v>
      </c>
      <c r="E18" s="1" t="s">
        <v>91</v>
      </c>
      <c r="F18" s="3"/>
      <c r="H18" s="6"/>
      <c r="I18" s="1" t="s">
        <v>134</v>
      </c>
      <c r="J18" s="26">
        <f>B48</f>
        <v>16.327632106231974</v>
      </c>
      <c r="K18" s="1">
        <v>16.327632106231974</v>
      </c>
    </row>
    <row r="19" spans="1:11" x14ac:dyDescent="0.35">
      <c r="A19" s="8" t="s">
        <v>49</v>
      </c>
      <c r="B19" s="7">
        <v>12.91</v>
      </c>
      <c r="C19" s="1" t="s">
        <v>47</v>
      </c>
      <c r="D19" s="14">
        <v>4.4000000000000004</v>
      </c>
      <c r="E19" s="1" t="s">
        <v>91</v>
      </c>
      <c r="F19" s="43"/>
      <c r="H19" s="6"/>
      <c r="I19" s="1" t="s">
        <v>88</v>
      </c>
      <c r="J19" s="26">
        <f>B52</f>
        <v>187.41934970113962</v>
      </c>
      <c r="K19" s="1">
        <v>179.26181543776033</v>
      </c>
    </row>
    <row r="20" spans="1:11" x14ac:dyDescent="0.35">
      <c r="A20" s="8" t="s">
        <v>53</v>
      </c>
      <c r="B20" s="7">
        <v>13.29</v>
      </c>
      <c r="C20" s="1" t="s">
        <v>47</v>
      </c>
      <c r="D20" s="14">
        <v>4.5199999999999996</v>
      </c>
      <c r="E20" s="1" t="s">
        <v>91</v>
      </c>
      <c r="F20" s="43"/>
      <c r="H20" s="6"/>
      <c r="I20" s="1" t="s">
        <v>168</v>
      </c>
      <c r="J20" s="26">
        <f>B53</f>
        <v>426.43510361815333</v>
      </c>
      <c r="K20" s="1">
        <v>434.59263788153254</v>
      </c>
    </row>
    <row r="21" spans="1:11" x14ac:dyDescent="0.35">
      <c r="A21" s="8" t="s">
        <v>54</v>
      </c>
      <c r="B21" s="7">
        <v>14</v>
      </c>
      <c r="C21" s="1" t="s">
        <v>47</v>
      </c>
      <c r="D21" s="14">
        <v>4.5999999999999996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15.05</v>
      </c>
      <c r="C22" s="1" t="s">
        <v>47</v>
      </c>
      <c r="D22" s="14">
        <v>5.35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20.91</v>
      </c>
      <c r="C23" s="1" t="s">
        <v>47</v>
      </c>
      <c r="D23" s="14">
        <v>5.65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24.52</v>
      </c>
      <c r="C24" s="1" t="s">
        <v>47</v>
      </c>
      <c r="D24" s="14">
        <v>5.98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0.32</v>
      </c>
    </row>
    <row r="29" spans="1:11" x14ac:dyDescent="0.35">
      <c r="A29" s="8" t="s">
        <v>58</v>
      </c>
      <c r="B29" s="5">
        <v>0.56000000000000005</v>
      </c>
    </row>
    <row r="30" spans="1:11" x14ac:dyDescent="0.35">
      <c r="A30" s="8" t="s">
        <v>59</v>
      </c>
      <c r="B30" s="5">
        <v>0.74</v>
      </c>
    </row>
    <row r="31" spans="1:11" x14ac:dyDescent="0.35">
      <c r="A31" s="8" t="s">
        <v>94</v>
      </c>
      <c r="B31" s="5">
        <v>0.57999999999999996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0.12427097353073127</v>
      </c>
      <c r="C35" s="1" t="s">
        <v>72</v>
      </c>
    </row>
    <row r="36" spans="1:3" x14ac:dyDescent="0.35">
      <c r="A36" s="8" t="s">
        <v>70</v>
      </c>
      <c r="B36" s="4">
        <f>B7/B11</f>
        <v>8.5479980704293301E-2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0.15460202604920406</v>
      </c>
      <c r="C37" s="1" t="s">
        <v>83</v>
      </c>
    </row>
    <row r="38" spans="1:3" x14ac:dyDescent="0.35">
      <c r="A38" s="8" t="s">
        <v>71</v>
      </c>
      <c r="B38" s="4">
        <f>(B23-B22)/B23</f>
        <v>0.28024868483978954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0.39293674985075044</v>
      </c>
      <c r="C39" s="1" t="s">
        <v>75</v>
      </c>
    </row>
    <row r="40" spans="1:3" x14ac:dyDescent="0.35">
      <c r="A40" s="8" t="s">
        <v>76</v>
      </c>
      <c r="B40" s="21">
        <f>Assumptions!D19</f>
        <v>5.8113826656066569E-2</v>
      </c>
    </row>
    <row r="41" spans="1:3" x14ac:dyDescent="0.35">
      <c r="A41" s="8" t="s">
        <v>79</v>
      </c>
      <c r="B41" s="20">
        <f>MIN((D23/D18)^0.5-1,B40*2)</f>
        <v>0.11622765331213314</v>
      </c>
    </row>
    <row r="42" spans="1:3" x14ac:dyDescent="0.35">
      <c r="A42" s="8" t="s">
        <v>80</v>
      </c>
      <c r="B42" s="20">
        <f>(B35-B41)/B48</f>
        <v>4.9262012802996319E-4</v>
      </c>
    </row>
    <row r="43" spans="1:3" x14ac:dyDescent="0.35">
      <c r="A43" s="8" t="s">
        <v>77</v>
      </c>
      <c r="B43" s="19">
        <f>MIN(AVERAGE(B28:B31),0.3)</f>
        <v>0.3</v>
      </c>
    </row>
    <row r="44" spans="1:3" x14ac:dyDescent="0.35">
      <c r="A44" s="8" t="s">
        <v>78</v>
      </c>
      <c r="B44" s="18">
        <f>SUM(B40:B43)/3</f>
        <v>0.15827803336540988</v>
      </c>
    </row>
    <row r="45" spans="1:3" x14ac:dyDescent="0.35">
      <c r="A45" s="8" t="s">
        <v>81</v>
      </c>
      <c r="B45" s="5">
        <f>(B35+0.3)/2</f>
        <v>0.21213548676536564</v>
      </c>
      <c r="C45" s="1" t="s">
        <v>103</v>
      </c>
    </row>
    <row r="46" spans="1:3" x14ac:dyDescent="0.35">
      <c r="A46" s="8" t="s">
        <v>61</v>
      </c>
      <c r="B46" s="4">
        <f>Assumptions!E19</f>
        <v>2.5936328924845542E-2</v>
      </c>
    </row>
    <row r="47" spans="1:3" x14ac:dyDescent="0.35">
      <c r="A47" s="8" t="s">
        <v>60</v>
      </c>
      <c r="B47" s="13">
        <f>(B45-B46)/(Assumptions!B4-B46)/B45</f>
        <v>11.851113372959491</v>
      </c>
    </row>
    <row r="48" spans="1:3" x14ac:dyDescent="0.35">
      <c r="A48" s="8" t="s">
        <v>85</v>
      </c>
      <c r="B48" s="13">
        <f>(B2/B18+10+B47)/3</f>
        <v>16.327632106231974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187.41934970113962</v>
      </c>
      <c r="C52" s="13"/>
    </row>
    <row r="53" spans="1:3" x14ac:dyDescent="0.35">
      <c r="A53" s="8" t="s">
        <v>87</v>
      </c>
      <c r="B53" s="13">
        <f>(B23*2-B$23)*(1+B$44)^8*B$48/(1+Assumptions!B$4-B$14/B$2)^10</f>
        <v>426.43510361815333</v>
      </c>
      <c r="C53" s="13"/>
    </row>
    <row r="54" spans="1:3" x14ac:dyDescent="0.35">
      <c r="A54" s="8" t="s">
        <v>102</v>
      </c>
      <c r="B54" s="13">
        <f>(B24*2-B$23)*(1+B$44)^8*B$48/(1+Assumptions!B$4-B$14/B$2)^10</f>
        <v>573.67859707214973</v>
      </c>
      <c r="C54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2197-ECDC-41AB-A795-F71C269A814D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137</v>
      </c>
      <c r="I1" s="1" t="s">
        <v>118</v>
      </c>
      <c r="J1" s="1" t="str">
        <f>B1</f>
        <v>TSLA</v>
      </c>
      <c r="K1" s="1" t="s">
        <v>137</v>
      </c>
    </row>
    <row r="2" spans="1:11" x14ac:dyDescent="0.35">
      <c r="A2" s="8" t="s">
        <v>84</v>
      </c>
      <c r="B2" s="2">
        <v>263</v>
      </c>
      <c r="I2" s="1" t="s">
        <v>119</v>
      </c>
      <c r="J2" s="1">
        <f>B2</f>
        <v>263</v>
      </c>
      <c r="K2" s="1">
        <v>263</v>
      </c>
    </row>
    <row r="3" spans="1:11" x14ac:dyDescent="0.35">
      <c r="I3" s="1" t="s">
        <v>167</v>
      </c>
      <c r="J3" s="35">
        <f>B28</f>
        <v>0.47</v>
      </c>
      <c r="K3" s="1">
        <v>0.47</v>
      </c>
    </row>
    <row r="4" spans="1:11" x14ac:dyDescent="0.35">
      <c r="A4" s="8" t="s">
        <v>67</v>
      </c>
      <c r="I4" s="1" t="s">
        <v>120</v>
      </c>
      <c r="J4" s="1">
        <f>B18</f>
        <v>3.12</v>
      </c>
      <c r="K4" s="1">
        <v>3.12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1.96</v>
      </c>
      <c r="K5" s="1">
        <v>1.96</v>
      </c>
    </row>
    <row r="6" spans="1:11" x14ac:dyDescent="0.35">
      <c r="A6" s="9" t="s">
        <v>41</v>
      </c>
      <c r="B6" s="11">
        <v>14999</v>
      </c>
      <c r="C6" s="1" t="s">
        <v>40</v>
      </c>
      <c r="D6" s="6"/>
      <c r="I6" s="1" t="s">
        <v>122</v>
      </c>
      <c r="J6" s="1">
        <f t="shared" si="0"/>
        <v>2.42</v>
      </c>
      <c r="K6" s="1">
        <v>2.42</v>
      </c>
    </row>
    <row r="7" spans="1:11" x14ac:dyDescent="0.35">
      <c r="A7" s="9" t="s">
        <v>37</v>
      </c>
      <c r="B7" s="11">
        <v>8891</v>
      </c>
      <c r="C7" s="1" t="s">
        <v>40</v>
      </c>
      <c r="D7" s="6"/>
      <c r="I7" s="1" t="s">
        <v>123</v>
      </c>
      <c r="J7" s="1">
        <f t="shared" si="0"/>
        <v>2.82</v>
      </c>
      <c r="K7" s="1">
        <v>2.82</v>
      </c>
    </row>
    <row r="8" spans="1:11" x14ac:dyDescent="0.35">
      <c r="A8" s="9" t="s">
        <v>42</v>
      </c>
      <c r="B8" s="11">
        <v>17660</v>
      </c>
      <c r="C8" s="1" t="s">
        <v>40</v>
      </c>
      <c r="D8" s="6"/>
      <c r="I8" s="1" t="s">
        <v>124</v>
      </c>
      <c r="J8" s="1">
        <f t="shared" si="0"/>
        <v>2.0499999999999998</v>
      </c>
      <c r="K8" s="1">
        <v>2.0499999999999998</v>
      </c>
    </row>
    <row r="9" spans="1:11" x14ac:dyDescent="0.35">
      <c r="A9" s="9" t="s">
        <v>43</v>
      </c>
      <c r="B9" s="11">
        <v>96773</v>
      </c>
      <c r="C9" s="1" t="s">
        <v>40</v>
      </c>
      <c r="D9" s="6"/>
      <c r="I9" s="1" t="s">
        <v>125</v>
      </c>
      <c r="J9" s="1">
        <f t="shared" si="0"/>
        <v>3.2</v>
      </c>
      <c r="K9" s="1">
        <v>3.2</v>
      </c>
    </row>
    <row r="10" spans="1:11" x14ac:dyDescent="0.35">
      <c r="A10" s="9" t="s">
        <v>44</v>
      </c>
      <c r="B10" s="12">
        <v>3483</v>
      </c>
      <c r="C10" s="1" t="s">
        <v>40</v>
      </c>
      <c r="D10" s="6"/>
      <c r="I10" s="1" t="s">
        <v>126</v>
      </c>
      <c r="J10" s="1">
        <f t="shared" si="0"/>
        <v>4.17</v>
      </c>
      <c r="K10" s="1">
        <v>4.17</v>
      </c>
    </row>
    <row r="11" spans="1:11" x14ac:dyDescent="0.35">
      <c r="A11" s="9" t="s">
        <v>38</v>
      </c>
      <c r="B11" s="11">
        <v>106618</v>
      </c>
      <c r="C11" s="1" t="s">
        <v>40</v>
      </c>
      <c r="D11" s="6"/>
      <c r="I11" s="1" t="s">
        <v>127</v>
      </c>
      <c r="J11" s="26">
        <f>B44*100</f>
        <v>11.071270864202036</v>
      </c>
      <c r="K11" s="1">
        <v>11.071270864202036</v>
      </c>
    </row>
    <row r="12" spans="1:11" x14ac:dyDescent="0.35">
      <c r="A12" s="9" t="s">
        <v>39</v>
      </c>
      <c r="B12" s="11">
        <v>62634</v>
      </c>
      <c r="C12" s="1" t="s">
        <v>40</v>
      </c>
      <c r="D12" s="6"/>
      <c r="I12" s="1" t="s">
        <v>128</v>
      </c>
      <c r="J12" s="26">
        <f>100+B45*100</f>
        <v>126.97352875435067</v>
      </c>
      <c r="K12" s="1">
        <v>126.97352875435067</v>
      </c>
    </row>
    <row r="13" spans="1:11" x14ac:dyDescent="0.35">
      <c r="A13" s="9" t="s">
        <v>45</v>
      </c>
      <c r="B13" s="11">
        <v>43009</v>
      </c>
      <c r="C13" s="1" t="s">
        <v>40</v>
      </c>
      <c r="D13" s="6"/>
      <c r="I13" s="1" t="s">
        <v>129</v>
      </c>
      <c r="J13" s="1">
        <f>130+IF(B39&gt;1,-20)+IF(B39&lt;-1,20)</f>
        <v>130</v>
      </c>
      <c r="K13" s="1">
        <v>130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</v>
      </c>
      <c r="K15" s="1">
        <v>0</v>
      </c>
    </row>
    <row r="16" spans="1:11" x14ac:dyDescent="0.35">
      <c r="A16" s="1" t="s">
        <v>66</v>
      </c>
      <c r="I16" s="1" t="s">
        <v>132</v>
      </c>
      <c r="J16" s="26">
        <f>B46*100</f>
        <v>8.5113063536227571</v>
      </c>
      <c r="K16" s="1">
        <v>8.5113063536227571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26.973528754350674</v>
      </c>
      <c r="K17" s="1">
        <v>26.973528754350674</v>
      </c>
    </row>
    <row r="18" spans="1:11" x14ac:dyDescent="0.35">
      <c r="A18" s="8" t="s">
        <v>48</v>
      </c>
      <c r="B18" s="7">
        <v>3.12</v>
      </c>
      <c r="C18" s="1" t="s">
        <v>47</v>
      </c>
      <c r="D18" s="14">
        <v>96.77</v>
      </c>
      <c r="E18" s="1" t="s">
        <v>91</v>
      </c>
      <c r="F18" s="3"/>
      <c r="H18" s="6"/>
      <c r="I18" s="1" t="s">
        <v>134</v>
      </c>
      <c r="J18" s="26">
        <f>B48</f>
        <v>46.757299331978153</v>
      </c>
      <c r="K18" s="1">
        <v>46.757299331978153</v>
      </c>
    </row>
    <row r="19" spans="1:11" x14ac:dyDescent="0.35">
      <c r="A19" s="8" t="s">
        <v>49</v>
      </c>
      <c r="B19" s="7">
        <v>1.96</v>
      </c>
      <c r="C19" s="1" t="s">
        <v>47</v>
      </c>
      <c r="D19" s="14">
        <v>95.47</v>
      </c>
      <c r="E19" s="1" t="s">
        <v>91</v>
      </c>
      <c r="F19" s="43"/>
      <c r="H19" s="6"/>
      <c r="I19" s="1" t="s">
        <v>88</v>
      </c>
      <c r="J19" s="26">
        <f>B52</f>
        <v>37.581923558924714</v>
      </c>
      <c r="K19" s="1">
        <v>37.581923558924714</v>
      </c>
    </row>
    <row r="20" spans="1:11" x14ac:dyDescent="0.35">
      <c r="A20" s="8" t="s">
        <v>53</v>
      </c>
      <c r="B20" s="7">
        <v>2.42</v>
      </c>
      <c r="C20" s="1" t="s">
        <v>47</v>
      </c>
      <c r="D20" s="14">
        <v>99.41</v>
      </c>
      <c r="E20" s="1" t="s">
        <v>91</v>
      </c>
      <c r="F20" s="43"/>
      <c r="H20" s="6"/>
      <c r="I20" s="1" t="s">
        <v>168</v>
      </c>
      <c r="J20" s="26">
        <f>B53</f>
        <v>133.62461709839906</v>
      </c>
      <c r="K20" s="1">
        <v>133.62461709839906</v>
      </c>
    </row>
    <row r="21" spans="1:11" x14ac:dyDescent="0.35">
      <c r="A21" s="8" t="s">
        <v>54</v>
      </c>
      <c r="B21" s="7">
        <v>2.82</v>
      </c>
      <c r="C21" s="1" t="s">
        <v>47</v>
      </c>
      <c r="D21" s="14">
        <v>107.98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2.0499999999999998</v>
      </c>
      <c r="C22" s="1" t="s">
        <v>47</v>
      </c>
      <c r="D22" s="14">
        <v>95.24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3.2</v>
      </c>
      <c r="C23" s="1" t="s">
        <v>47</v>
      </c>
      <c r="D23" s="14">
        <v>114.72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4.17</v>
      </c>
      <c r="C24" s="1" t="s">
        <v>47</v>
      </c>
      <c r="D24" s="14">
        <v>143.53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0.47</v>
      </c>
    </row>
    <row r="29" spans="1:11" x14ac:dyDescent="0.35">
      <c r="A29" s="8" t="s">
        <v>58</v>
      </c>
      <c r="B29" s="5">
        <v>0.05</v>
      </c>
    </row>
    <row r="30" spans="1:11" x14ac:dyDescent="0.35">
      <c r="A30" s="8" t="s">
        <v>59</v>
      </c>
      <c r="B30" s="5">
        <v>-0.22</v>
      </c>
    </row>
    <row r="31" spans="1:11" x14ac:dyDescent="0.35">
      <c r="A31" s="8" t="s">
        <v>94</v>
      </c>
      <c r="B31" s="5">
        <v>0.32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0.23947057508701344</v>
      </c>
      <c r="C35" s="1" t="s">
        <v>72</v>
      </c>
    </row>
    <row r="36" spans="1:3" x14ac:dyDescent="0.35">
      <c r="A36" s="8" t="s">
        <v>70</v>
      </c>
      <c r="B36" s="4">
        <f>B7/B11</f>
        <v>8.3391172222326435E-2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0.17862884315969163</v>
      </c>
      <c r="C37" s="1" t="s">
        <v>83</v>
      </c>
    </row>
    <row r="38" spans="1:3" x14ac:dyDescent="0.35">
      <c r="A38" s="8" t="s">
        <v>71</v>
      </c>
      <c r="B38" s="4">
        <f>(B23-B22)/B23</f>
        <v>0.35937500000000011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0.29560447006968044</v>
      </c>
      <c r="C39" s="1" t="s">
        <v>75</v>
      </c>
    </row>
    <row r="40" spans="1:3" x14ac:dyDescent="0.35">
      <c r="A40" s="8" t="s">
        <v>76</v>
      </c>
      <c r="B40" s="21">
        <f>Assumptions!D20</f>
        <v>8.5113063536227579E-2</v>
      </c>
    </row>
    <row r="41" spans="1:3" x14ac:dyDescent="0.35">
      <c r="A41" s="8" t="s">
        <v>79</v>
      </c>
      <c r="B41" s="20">
        <f>(D23/D18)^0.5-1</f>
        <v>8.8802723771738146E-2</v>
      </c>
    </row>
    <row r="42" spans="1:3" x14ac:dyDescent="0.35">
      <c r="A42" s="8" t="s">
        <v>80</v>
      </c>
      <c r="B42" s="20">
        <f>(B35-B41)/B48</f>
        <v>3.222338618095311E-3</v>
      </c>
    </row>
    <row r="43" spans="1:3" x14ac:dyDescent="0.35">
      <c r="A43" s="8" t="s">
        <v>77</v>
      </c>
      <c r="B43" s="19">
        <f>AVERAGE(B28:B31)</f>
        <v>0.15500000000000003</v>
      </c>
    </row>
    <row r="44" spans="1:3" x14ac:dyDescent="0.35">
      <c r="A44" s="8" t="s">
        <v>78</v>
      </c>
      <c r="B44" s="18">
        <f>SUM(B40:B43)/3</f>
        <v>0.11071270864202036</v>
      </c>
    </row>
    <row r="45" spans="1:3" x14ac:dyDescent="0.35">
      <c r="A45" s="8" t="s">
        <v>81</v>
      </c>
      <c r="B45" s="5">
        <f>(B35+0.3)/2</f>
        <v>0.26973528754350673</v>
      </c>
      <c r="C45" s="1" t="s">
        <v>103</v>
      </c>
    </row>
    <row r="46" spans="1:3" x14ac:dyDescent="0.35">
      <c r="A46" s="8" t="s">
        <v>61</v>
      </c>
      <c r="B46" s="4">
        <f>Assumptions!E20</f>
        <v>8.5113063536227579E-2</v>
      </c>
    </row>
    <row r="47" spans="1:3" x14ac:dyDescent="0.35">
      <c r="A47" s="8" t="s">
        <v>60</v>
      </c>
      <c r="B47" s="13">
        <f>(B45-B46)/(Assumptions!B4-B46)/B45</f>
        <v>45.977026201062685</v>
      </c>
    </row>
    <row r="48" spans="1:3" x14ac:dyDescent="0.35">
      <c r="A48" s="8" t="s">
        <v>85</v>
      </c>
      <c r="B48" s="13">
        <f>(B2/B18+10+B47)/3</f>
        <v>46.757299331978153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37.581923558924714</v>
      </c>
      <c r="C52" s="13"/>
    </row>
    <row r="53" spans="1:3" x14ac:dyDescent="0.35">
      <c r="A53" s="8" t="s">
        <v>87</v>
      </c>
      <c r="B53" s="13">
        <f>(B23*2-B$23)*(1+B$44)^8*B$48/(1+Assumptions!B$4-B$14/B$2)^10</f>
        <v>133.62461709839906</v>
      </c>
      <c r="C53" s="13"/>
    </row>
    <row r="54" spans="1:3" x14ac:dyDescent="0.35">
      <c r="A54" s="8" t="s">
        <v>102</v>
      </c>
      <c r="B54" s="13">
        <f>(B24*2-B$23)*(1+B$44)^8*B$48/(1+Assumptions!B$4-B$14/B$2)^10</f>
        <v>214.63454121430348</v>
      </c>
      <c r="C54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834D-9BE8-4018-9433-3D5F801EE1BF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90</v>
      </c>
      <c r="I1" s="1" t="s">
        <v>118</v>
      </c>
      <c r="J1" s="1" t="str">
        <f>B1</f>
        <v>ON</v>
      </c>
      <c r="K1" s="1" t="s">
        <v>90</v>
      </c>
    </row>
    <row r="2" spans="1:11" x14ac:dyDescent="0.35">
      <c r="A2" s="8" t="s">
        <v>84</v>
      </c>
      <c r="B2" s="2">
        <v>72</v>
      </c>
      <c r="I2" s="1" t="s">
        <v>119</v>
      </c>
      <c r="J2" s="1">
        <f>B2</f>
        <v>72</v>
      </c>
      <c r="K2" s="1">
        <v>72</v>
      </c>
    </row>
    <row r="3" spans="1:11" x14ac:dyDescent="0.35">
      <c r="I3" s="1" t="s">
        <v>167</v>
      </c>
      <c r="J3" s="35">
        <f>B28</f>
        <v>0.48</v>
      </c>
      <c r="K3" s="1">
        <v>0.48</v>
      </c>
    </row>
    <row r="4" spans="1:11" x14ac:dyDescent="0.35">
      <c r="A4" s="8" t="s">
        <v>67</v>
      </c>
      <c r="I4" s="1" t="s">
        <v>120</v>
      </c>
      <c r="J4" s="1">
        <f>B18</f>
        <v>5.16</v>
      </c>
      <c r="K4" s="1">
        <v>5.16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3.91</v>
      </c>
      <c r="K5" s="1">
        <v>3.91</v>
      </c>
    </row>
    <row r="6" spans="1:11" x14ac:dyDescent="0.35">
      <c r="A6" s="9" t="s">
        <v>41</v>
      </c>
      <c r="B6" s="11">
        <v>2184</v>
      </c>
      <c r="C6" s="1" t="s">
        <v>40</v>
      </c>
      <c r="E6" s="6"/>
      <c r="I6" s="1" t="s">
        <v>122</v>
      </c>
      <c r="J6" s="1">
        <f t="shared" si="0"/>
        <v>4.01</v>
      </c>
      <c r="K6" s="1">
        <v>4.01</v>
      </c>
    </row>
    <row r="7" spans="1:11" x14ac:dyDescent="0.35">
      <c r="A7" s="9" t="s">
        <v>37</v>
      </c>
      <c r="B7" s="11">
        <v>2614</v>
      </c>
      <c r="C7" s="1" t="s">
        <v>40</v>
      </c>
      <c r="E7" s="6"/>
      <c r="I7" s="1" t="s">
        <v>123</v>
      </c>
      <c r="J7" s="1">
        <f t="shared" si="0"/>
        <v>4.16</v>
      </c>
      <c r="K7" s="1">
        <v>4.16</v>
      </c>
    </row>
    <row r="8" spans="1:11" x14ac:dyDescent="0.35">
      <c r="A8" s="9" t="s">
        <v>42</v>
      </c>
      <c r="B8" s="11">
        <v>3884</v>
      </c>
      <c r="C8" s="1" t="s">
        <v>40</v>
      </c>
      <c r="E8" s="6"/>
      <c r="I8" s="1" t="s">
        <v>124</v>
      </c>
      <c r="J8" s="1">
        <f t="shared" si="0"/>
        <v>3.5</v>
      </c>
      <c r="K8" s="1">
        <v>3.5</v>
      </c>
    </row>
    <row r="9" spans="1:11" x14ac:dyDescent="0.35">
      <c r="A9" s="9" t="s">
        <v>43</v>
      </c>
      <c r="B9" s="11">
        <v>8253</v>
      </c>
      <c r="C9" s="1" t="s">
        <v>40</v>
      </c>
      <c r="E9" s="6"/>
      <c r="I9" s="1" t="s">
        <v>125</v>
      </c>
      <c r="J9" s="1">
        <f t="shared" si="0"/>
        <v>4.7699999999999996</v>
      </c>
      <c r="K9" s="1">
        <v>4.7699999999999996</v>
      </c>
    </row>
    <row r="10" spans="1:11" x14ac:dyDescent="0.35">
      <c r="A10" s="9" t="s">
        <v>44</v>
      </c>
      <c r="B10" s="12">
        <v>447</v>
      </c>
      <c r="C10" s="1" t="s">
        <v>40</v>
      </c>
      <c r="I10" s="1" t="s">
        <v>126</v>
      </c>
      <c r="J10" s="1">
        <f t="shared" si="0"/>
        <v>5.45</v>
      </c>
      <c r="K10" s="1">
        <v>5.45</v>
      </c>
    </row>
    <row r="11" spans="1:11" x14ac:dyDescent="0.35">
      <c r="A11" s="9" t="s">
        <v>38</v>
      </c>
      <c r="B11" s="11">
        <v>13215</v>
      </c>
      <c r="C11" s="1" t="s">
        <v>40</v>
      </c>
      <c r="E11" s="6"/>
      <c r="I11" s="1" t="s">
        <v>127</v>
      </c>
      <c r="J11" s="26">
        <f>B44*100</f>
        <v>10.558020139033426</v>
      </c>
      <c r="K11" s="1">
        <v>10.558020139033426</v>
      </c>
    </row>
    <row r="12" spans="1:11" x14ac:dyDescent="0.35">
      <c r="A12" s="9" t="s">
        <v>39</v>
      </c>
      <c r="B12" s="11">
        <v>7783</v>
      </c>
      <c r="C12" s="1" t="s">
        <v>40</v>
      </c>
      <c r="E12" s="6"/>
      <c r="I12" s="1" t="s">
        <v>128</v>
      </c>
      <c r="J12" s="26">
        <f>100+B45*100</f>
        <v>129.03057946807144</v>
      </c>
      <c r="K12" s="1">
        <v>129.03057946807144</v>
      </c>
    </row>
    <row r="13" spans="1:11" x14ac:dyDescent="0.35">
      <c r="A13" s="9" t="s">
        <v>45</v>
      </c>
      <c r="B13" s="11">
        <v>5415</v>
      </c>
      <c r="C13" s="1" t="s">
        <v>40</v>
      </c>
      <c r="E13" s="6"/>
      <c r="I13" s="1" t="s">
        <v>129</v>
      </c>
      <c r="J13" s="1">
        <f>130+IF(B39&gt;1,-20)+IF(B39&lt;-1,20)</f>
        <v>130</v>
      </c>
      <c r="K13" s="1">
        <v>130</v>
      </c>
    </row>
    <row r="14" spans="1:11" x14ac:dyDescent="0.35">
      <c r="A14" s="8" t="s">
        <v>46</v>
      </c>
      <c r="B14" s="2">
        <v>0</v>
      </c>
      <c r="C14" s="1" t="s">
        <v>47</v>
      </c>
      <c r="E14" s="6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</v>
      </c>
      <c r="K15" s="1">
        <v>0</v>
      </c>
    </row>
    <row r="16" spans="1:11" x14ac:dyDescent="0.35">
      <c r="A16" s="1" t="s">
        <v>66</v>
      </c>
      <c r="I16" s="1" t="s">
        <v>132</v>
      </c>
      <c r="J16" s="26">
        <f>B46*100</f>
        <v>8.5113063536227571</v>
      </c>
      <c r="K16" s="1">
        <v>8.5113063536227571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29.030579468071437</v>
      </c>
      <c r="K17" s="1">
        <v>29.030579468071437</v>
      </c>
    </row>
    <row r="18" spans="1:11" x14ac:dyDescent="0.35">
      <c r="A18" s="8" t="s">
        <v>48</v>
      </c>
      <c r="B18" s="7">
        <v>5.16</v>
      </c>
      <c r="C18" s="1" t="s">
        <v>47</v>
      </c>
      <c r="D18" s="7">
        <v>8.25</v>
      </c>
      <c r="E18" s="1" t="s">
        <v>91</v>
      </c>
      <c r="F18" s="3"/>
      <c r="I18" s="1" t="s">
        <v>134</v>
      </c>
      <c r="J18" s="26">
        <f>B48</f>
        <v>16.5696091493956</v>
      </c>
      <c r="K18" s="1">
        <v>16.5696091493956</v>
      </c>
    </row>
    <row r="19" spans="1:11" x14ac:dyDescent="0.35">
      <c r="A19" s="8" t="s">
        <v>49</v>
      </c>
      <c r="B19" s="7">
        <v>3.91</v>
      </c>
      <c r="C19" s="1" t="s">
        <v>47</v>
      </c>
      <c r="D19" s="7">
        <v>7.11</v>
      </c>
      <c r="E19" s="1" t="s">
        <v>91</v>
      </c>
      <c r="F19" s="43"/>
      <c r="H19" s="1" t="s">
        <v>92</v>
      </c>
      <c r="I19" s="1" t="s">
        <v>88</v>
      </c>
      <c r="J19" s="26">
        <f>B52</f>
        <v>68.018306390960589</v>
      </c>
      <c r="K19" s="1">
        <v>68.018306390960589</v>
      </c>
    </row>
    <row r="20" spans="1:11" x14ac:dyDescent="0.35">
      <c r="A20" s="8" t="s">
        <v>53</v>
      </c>
      <c r="B20" s="7">
        <v>4.01</v>
      </c>
      <c r="C20" s="1" t="s">
        <v>47</v>
      </c>
      <c r="D20" s="7">
        <v>7.22</v>
      </c>
      <c r="E20" s="1" t="s">
        <v>91</v>
      </c>
      <c r="F20" s="43"/>
      <c r="H20" s="6"/>
      <c r="I20" s="1" t="s">
        <v>168</v>
      </c>
      <c r="J20" s="26">
        <f>B53</f>
        <v>87.411366494043705</v>
      </c>
      <c r="K20" s="1">
        <v>87.411366494043705</v>
      </c>
    </row>
    <row r="21" spans="1:11" x14ac:dyDescent="0.35">
      <c r="A21" s="8" t="s">
        <v>54</v>
      </c>
      <c r="B21" s="7">
        <v>4.16</v>
      </c>
      <c r="C21" s="1" t="s">
        <v>47</v>
      </c>
      <c r="D21" s="7">
        <v>7.58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3.5</v>
      </c>
      <c r="C22" s="1" t="s">
        <v>47</v>
      </c>
      <c r="D22" s="7">
        <v>6.9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4.7699999999999996</v>
      </c>
      <c r="C23" s="1" t="s">
        <v>47</v>
      </c>
      <c r="D23" s="7">
        <v>7.9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5.45</v>
      </c>
      <c r="C24" s="1" t="s">
        <v>47</v>
      </c>
      <c r="D24" s="7">
        <v>8.5</v>
      </c>
      <c r="E24" s="1" t="s">
        <v>91</v>
      </c>
      <c r="F24" s="43"/>
      <c r="H24" s="6"/>
    </row>
    <row r="25" spans="1:11" x14ac:dyDescent="0.35">
      <c r="H25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0.48</v>
      </c>
    </row>
    <row r="29" spans="1:11" x14ac:dyDescent="0.35">
      <c r="A29" s="8" t="s">
        <v>58</v>
      </c>
      <c r="B29" s="5">
        <v>0.05</v>
      </c>
    </row>
    <row r="30" spans="1:11" x14ac:dyDescent="0.35">
      <c r="A30" s="8" t="s">
        <v>59</v>
      </c>
      <c r="B30" s="5">
        <v>-0.22500000000000001</v>
      </c>
    </row>
    <row r="31" spans="1:11" x14ac:dyDescent="0.35">
      <c r="A31" s="8" t="s">
        <v>94</v>
      </c>
      <c r="B31" s="5">
        <v>0.17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0.28061158936142877</v>
      </c>
      <c r="C35" s="1" t="s">
        <v>72</v>
      </c>
    </row>
    <row r="36" spans="1:3" x14ac:dyDescent="0.35">
      <c r="A36" s="8" t="s">
        <v>70</v>
      </c>
      <c r="B36" s="4">
        <f>B7/B11</f>
        <v>0.19780552402572835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0.19146424517593641</v>
      </c>
      <c r="C37" s="1" t="s">
        <v>83</v>
      </c>
    </row>
    <row r="38" spans="1:3" x14ac:dyDescent="0.35">
      <c r="A38" s="8" t="s">
        <v>71</v>
      </c>
      <c r="B38" s="4">
        <f>(B23-B22)/B23</f>
        <v>0.26624737945492655</v>
      </c>
      <c r="C38" s="1" t="s">
        <v>74</v>
      </c>
    </row>
    <row r="39" spans="1:3" x14ac:dyDescent="0.35">
      <c r="A39" s="8" t="s">
        <v>63</v>
      </c>
      <c r="B39" s="22">
        <f>(B36-Assumptions!$B$3)/B36/B38/Assumptions!B5</f>
        <v>0.74458482373002099</v>
      </c>
      <c r="C39" s="1" t="s">
        <v>75</v>
      </c>
    </row>
    <row r="40" spans="1:3" x14ac:dyDescent="0.35">
      <c r="A40" s="8" t="s">
        <v>76</v>
      </c>
      <c r="B40" s="21">
        <f>(Assumptions!D20+Assumptions!D21)/2</f>
        <v>9.2556531768113792E-2</v>
      </c>
    </row>
    <row r="41" spans="1:3" x14ac:dyDescent="0.35">
      <c r="A41" s="8" t="s">
        <v>79</v>
      </c>
      <c r="B41" s="20">
        <f>(D23/D20)-1</f>
        <v>9.4182825484764532E-2</v>
      </c>
    </row>
    <row r="42" spans="1:3" x14ac:dyDescent="0.35">
      <c r="A42" s="8" t="s">
        <v>80</v>
      </c>
      <c r="B42" s="20">
        <f>(B35-B41)/B48</f>
        <v>1.1251246918124468E-2</v>
      </c>
    </row>
    <row r="43" spans="1:3" x14ac:dyDescent="0.35">
      <c r="A43" s="8" t="s">
        <v>77</v>
      </c>
      <c r="B43" s="19">
        <f>AVERAGE(B28:B31)</f>
        <v>0.11875000000000002</v>
      </c>
    </row>
    <row r="44" spans="1:3" x14ac:dyDescent="0.35">
      <c r="A44" s="8" t="s">
        <v>78</v>
      </c>
      <c r="B44" s="18">
        <f>SUM(B40:B43)/3</f>
        <v>0.10558020139033426</v>
      </c>
    </row>
    <row r="45" spans="1:3" x14ac:dyDescent="0.35">
      <c r="A45" s="8" t="s">
        <v>81</v>
      </c>
      <c r="B45" s="5">
        <f>(B35+0.3)/2</f>
        <v>0.29030579468071438</v>
      </c>
      <c r="C45" s="1" t="s">
        <v>103</v>
      </c>
    </row>
    <row r="46" spans="1:3" x14ac:dyDescent="0.35">
      <c r="A46" s="8" t="s">
        <v>61</v>
      </c>
      <c r="B46" s="4">
        <f>Assumptions!E20</f>
        <v>8.5113063536227579E-2</v>
      </c>
    </row>
    <row r="47" spans="1:3" x14ac:dyDescent="0.35">
      <c r="A47" s="8" t="s">
        <v>60</v>
      </c>
      <c r="B47" s="13">
        <f>(B45-B46)/(Assumptions!B4*2-Assumptions!E21-B46)/B45*2</f>
        <v>25.755339076093769</v>
      </c>
    </row>
    <row r="48" spans="1:3" x14ac:dyDescent="0.35">
      <c r="A48" s="8" t="s">
        <v>85</v>
      </c>
      <c r="B48" s="13">
        <f>(B2/B18+10+B47)/3</f>
        <v>16.5696091493956</v>
      </c>
    </row>
    <row r="49" spans="1:3" x14ac:dyDescent="0.35">
      <c r="A49" s="8" t="s">
        <v>86</v>
      </c>
    </row>
    <row r="50" spans="1:3" x14ac:dyDescent="0.35">
      <c r="B50" s="2" t="s">
        <v>69</v>
      </c>
      <c r="C50" s="2"/>
    </row>
    <row r="51" spans="1:3" x14ac:dyDescent="0.35">
      <c r="A51" s="8" t="s">
        <v>88</v>
      </c>
      <c r="B51" s="13">
        <f>(B22*2-B$23)*(1+B$44)^8*B$48/(1+Assumptions!B$4-B$14/B$2)^10</f>
        <v>31.798914727849503</v>
      </c>
      <c r="C51" s="13"/>
    </row>
    <row r="52" spans="1:3" x14ac:dyDescent="0.35">
      <c r="A52" s="8" t="s">
        <v>87</v>
      </c>
      <c r="B52" s="13">
        <f>(B23*2-B$23)*(1+B$44)^8*B$48/(1+Assumptions!B$4-B$14/B$2)^10</f>
        <v>68.018306390960589</v>
      </c>
      <c r="C52" s="13"/>
    </row>
    <row r="53" spans="1:3" x14ac:dyDescent="0.35">
      <c r="A53" s="8" t="s">
        <v>102</v>
      </c>
      <c r="B53" s="13">
        <f>(B24*2-B$23)*(1+B$44)^8*B$48/(1+Assumptions!B$4-B$14/B$2)^10</f>
        <v>87.411366494043705</v>
      </c>
      <c r="C53" s="13"/>
    </row>
    <row r="54" spans="1:3" x14ac:dyDescent="0.35">
      <c r="B54" s="1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8F68-97E5-4765-B8BD-D241A60184D1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140</v>
      </c>
      <c r="I1" s="1" t="s">
        <v>118</v>
      </c>
      <c r="J1" s="1" t="str">
        <f>B1</f>
        <v>MCHP</v>
      </c>
      <c r="K1" s="1" t="s">
        <v>140</v>
      </c>
    </row>
    <row r="2" spans="1:11" x14ac:dyDescent="0.35">
      <c r="A2" s="8" t="s">
        <v>84</v>
      </c>
      <c r="B2" s="2">
        <v>78</v>
      </c>
      <c r="I2" s="1" t="s">
        <v>119</v>
      </c>
      <c r="J2" s="1">
        <f>B2</f>
        <v>78</v>
      </c>
      <c r="K2" s="1">
        <v>78</v>
      </c>
    </row>
    <row r="3" spans="1:11" x14ac:dyDescent="0.35">
      <c r="I3" s="1" t="s">
        <v>167</v>
      </c>
      <c r="J3" s="35">
        <f>B28</f>
        <v>0.1</v>
      </c>
      <c r="K3" s="1">
        <v>0.1</v>
      </c>
    </row>
    <row r="4" spans="1:11" x14ac:dyDescent="0.35">
      <c r="A4" s="8" t="s">
        <v>67</v>
      </c>
      <c r="I4" s="1" t="s">
        <v>120</v>
      </c>
      <c r="J4" s="1">
        <f>B18</f>
        <v>4.92</v>
      </c>
      <c r="K4" s="1">
        <v>4.92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1.49</v>
      </c>
      <c r="K5" s="1">
        <v>1.49</v>
      </c>
    </row>
    <row r="6" spans="1:11" x14ac:dyDescent="0.35">
      <c r="A6" s="9" t="s">
        <v>41</v>
      </c>
      <c r="B6" s="11">
        <v>2238</v>
      </c>
      <c r="C6" s="1" t="s">
        <v>40</v>
      </c>
      <c r="D6" s="6"/>
      <c r="I6" s="1" t="s">
        <v>122</v>
      </c>
      <c r="J6" s="1">
        <f t="shared" si="0"/>
        <v>1.95</v>
      </c>
      <c r="K6" s="1">
        <v>1.95</v>
      </c>
    </row>
    <row r="7" spans="1:11" x14ac:dyDescent="0.35">
      <c r="A7" s="9" t="s">
        <v>37</v>
      </c>
      <c r="B7" s="11">
        <v>3112</v>
      </c>
      <c r="C7" s="1" t="s">
        <v>40</v>
      </c>
      <c r="D7" s="6"/>
      <c r="I7" s="1" t="s">
        <v>123</v>
      </c>
      <c r="J7" s="1">
        <f t="shared" si="0"/>
        <v>2.15</v>
      </c>
      <c r="K7" s="1">
        <v>2.15</v>
      </c>
    </row>
    <row r="8" spans="1:11" x14ac:dyDescent="0.35">
      <c r="A8" s="9" t="s">
        <v>42</v>
      </c>
      <c r="B8" s="11">
        <v>5698</v>
      </c>
      <c r="C8" s="1" t="s">
        <v>40</v>
      </c>
      <c r="D8" s="6"/>
      <c r="I8" s="1" t="s">
        <v>124</v>
      </c>
      <c r="J8" s="1">
        <f t="shared" si="0"/>
        <v>1.78</v>
      </c>
      <c r="K8" s="1">
        <v>1.78</v>
      </c>
    </row>
    <row r="9" spans="1:11" x14ac:dyDescent="0.35">
      <c r="A9" s="9" t="s">
        <v>43</v>
      </c>
      <c r="B9" s="11">
        <v>8439</v>
      </c>
      <c r="C9" s="1" t="s">
        <v>40</v>
      </c>
      <c r="D9" s="6"/>
      <c r="I9" s="1" t="s">
        <v>125</v>
      </c>
      <c r="J9" s="1">
        <f t="shared" si="0"/>
        <v>3.27</v>
      </c>
      <c r="K9" s="1">
        <v>3.27</v>
      </c>
    </row>
    <row r="10" spans="1:11" x14ac:dyDescent="0.35">
      <c r="A10" s="9" t="s">
        <v>44</v>
      </c>
      <c r="B10" s="12">
        <v>557</v>
      </c>
      <c r="C10" s="1" t="s">
        <v>40</v>
      </c>
      <c r="D10" s="6"/>
      <c r="I10" s="1" t="s">
        <v>126</v>
      </c>
      <c r="J10" s="1">
        <f t="shared" si="0"/>
        <v>4.7300000000000004</v>
      </c>
      <c r="K10" s="1">
        <v>4.7300000000000004</v>
      </c>
    </row>
    <row r="11" spans="1:11" x14ac:dyDescent="0.35">
      <c r="A11" s="9" t="s">
        <v>38</v>
      </c>
      <c r="B11" s="11">
        <v>15873</v>
      </c>
      <c r="C11" s="1" t="s">
        <v>40</v>
      </c>
      <c r="D11" s="6"/>
      <c r="I11" s="1" t="s">
        <v>127</v>
      </c>
      <c r="J11" s="26">
        <f>B44*100</f>
        <v>10.963561140120458</v>
      </c>
      <c r="K11" s="1">
        <v>10.963561140120458</v>
      </c>
    </row>
    <row r="12" spans="1:11" x14ac:dyDescent="0.35">
      <c r="A12" s="9" t="s">
        <v>39</v>
      </c>
      <c r="B12" s="11">
        <v>6658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9215</v>
      </c>
      <c r="C13" s="1" t="s">
        <v>40</v>
      </c>
      <c r="D13" s="6"/>
      <c r="I13" s="1" t="s">
        <v>129</v>
      </c>
      <c r="J13" s="1">
        <f>130+IF(B39&gt;1,-20)+IF(B39&lt;-1,20)</f>
        <v>130</v>
      </c>
      <c r="K13" s="1">
        <v>130</v>
      </c>
    </row>
    <row r="14" spans="1:11" x14ac:dyDescent="0.35">
      <c r="A14" s="8" t="s">
        <v>46</v>
      </c>
      <c r="B14" s="2">
        <v>1.81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2.3205128205128203</v>
      </c>
      <c r="K15" s="1">
        <v>2.3205128205128203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4.92</v>
      </c>
      <c r="C18" s="1" t="s">
        <v>47</v>
      </c>
      <c r="D18" s="14">
        <v>7.63</v>
      </c>
      <c r="E18" s="1" t="s">
        <v>91</v>
      </c>
      <c r="F18" s="3"/>
      <c r="H18" s="6"/>
      <c r="I18" s="1" t="s">
        <v>134</v>
      </c>
      <c r="J18" s="26">
        <f>B48</f>
        <v>15.284552845528452</v>
      </c>
      <c r="K18" s="1">
        <v>15.284552845528452</v>
      </c>
    </row>
    <row r="19" spans="1:11" x14ac:dyDescent="0.35">
      <c r="A19" s="8" t="s">
        <v>49</v>
      </c>
      <c r="B19" s="7">
        <v>1.49</v>
      </c>
      <c r="C19" s="1" t="s">
        <v>47</v>
      </c>
      <c r="D19" s="14">
        <v>4.66</v>
      </c>
      <c r="E19" s="1" t="s">
        <v>91</v>
      </c>
      <c r="F19" s="43"/>
      <c r="H19" s="6"/>
      <c r="I19" s="1" t="s">
        <v>88</v>
      </c>
      <c r="J19" s="26">
        <f>B52</f>
        <v>4.8614300192171935</v>
      </c>
      <c r="K19" s="1">
        <v>4.8614300192171935</v>
      </c>
    </row>
    <row r="20" spans="1:11" x14ac:dyDescent="0.35">
      <c r="A20" s="8" t="s">
        <v>53</v>
      </c>
      <c r="B20" s="7">
        <v>1.95</v>
      </c>
      <c r="C20" s="1" t="s">
        <v>47</v>
      </c>
      <c r="D20" s="14">
        <v>4.8600000000000003</v>
      </c>
      <c r="E20" s="1" t="s">
        <v>91</v>
      </c>
      <c r="F20" s="43"/>
      <c r="H20" s="6"/>
      <c r="I20" s="1" t="s">
        <v>168</v>
      </c>
      <c r="J20" s="26">
        <f>B53</f>
        <v>54.816814354621449</v>
      </c>
      <c r="K20" s="1">
        <v>54.816814354621449</v>
      </c>
    </row>
    <row r="21" spans="1:11" x14ac:dyDescent="0.35">
      <c r="A21" s="8" t="s">
        <v>54</v>
      </c>
      <c r="B21" s="7">
        <v>2.15</v>
      </c>
      <c r="C21" s="1" t="s">
        <v>47</v>
      </c>
      <c r="D21" s="14">
        <v>5.33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1.78</v>
      </c>
      <c r="C22" s="1" t="s">
        <v>47</v>
      </c>
      <c r="D22" s="14">
        <v>4.88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3.27</v>
      </c>
      <c r="C23" s="1" t="s">
        <v>47</v>
      </c>
      <c r="D23" s="14">
        <v>6.05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4.7300000000000004</v>
      </c>
      <c r="C24" s="1" t="s">
        <v>47</v>
      </c>
      <c r="D24" s="14">
        <v>7.32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</v>
      </c>
    </row>
    <row r="29" spans="1:11" x14ac:dyDescent="0.35">
      <c r="A29" s="8" t="s">
        <v>58</v>
      </c>
      <c r="B29" s="5">
        <v>-0.1</v>
      </c>
    </row>
    <row r="30" spans="1:11" x14ac:dyDescent="0.35">
      <c r="A30" s="8" t="s">
        <v>59</v>
      </c>
      <c r="B30" s="5">
        <v>-0.6</v>
      </c>
    </row>
    <row r="31" spans="1:11" x14ac:dyDescent="0.35">
      <c r="A31" s="8" t="s">
        <v>94</v>
      </c>
      <c r="B31" s="5">
        <v>0.68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0.33613697807149295</v>
      </c>
      <c r="C35" s="1" t="s">
        <v>72</v>
      </c>
    </row>
    <row r="36" spans="1:3" x14ac:dyDescent="0.35">
      <c r="A36" s="8" t="s">
        <v>70</v>
      </c>
      <c r="B36" s="4">
        <f>B7/B11</f>
        <v>0.19605619605619606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0.15486360486360484</v>
      </c>
      <c r="C37" s="1" t="s">
        <v>83</v>
      </c>
    </row>
    <row r="38" spans="1:3" x14ac:dyDescent="0.35">
      <c r="A38" s="8" t="s">
        <v>71</v>
      </c>
      <c r="B38" s="4">
        <f>(B23-B22)/B23</f>
        <v>0.45565749235474007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0.43375867138318558</v>
      </c>
      <c r="C39" s="1" t="s">
        <v>75</v>
      </c>
    </row>
    <row r="40" spans="1:3" x14ac:dyDescent="0.35">
      <c r="A40" s="8" t="s">
        <v>76</v>
      </c>
      <c r="B40" s="21">
        <f>Assumptions!D21</f>
        <v>0.1</v>
      </c>
    </row>
    <row r="41" spans="1:3" x14ac:dyDescent="0.35">
      <c r="A41" s="8" t="s">
        <v>79</v>
      </c>
      <c r="B41" s="20">
        <f>MIN((D23/D20)-1,B40*2)</f>
        <v>0.2</v>
      </c>
    </row>
    <row r="42" spans="1:3" x14ac:dyDescent="0.35">
      <c r="A42" s="8" t="s">
        <v>80</v>
      </c>
      <c r="B42" s="20">
        <f>(B35-B41)/B48</f>
        <v>8.9068342036136353E-3</v>
      </c>
    </row>
    <row r="43" spans="1:3" x14ac:dyDescent="0.35">
      <c r="A43" s="8" t="s">
        <v>77</v>
      </c>
      <c r="B43" s="19">
        <f>AVERAGE(B28:B31)</f>
        <v>2.0000000000000018E-2</v>
      </c>
    </row>
    <row r="44" spans="1:3" x14ac:dyDescent="0.35">
      <c r="A44" s="8" t="s">
        <v>78</v>
      </c>
      <c r="B44" s="18">
        <f>SUM(B40:B43)/3</f>
        <v>0.10963561140120458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Assumptions!E21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15.284552845528452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4.8614300192171935</v>
      </c>
      <c r="C52" s="13"/>
    </row>
    <row r="53" spans="1:3" x14ac:dyDescent="0.35">
      <c r="A53" s="8" t="s">
        <v>87</v>
      </c>
      <c r="B53" s="13">
        <f>(B23*2-B$23)*(1+B$44)^8*B$48/(1+Assumptions!B$4-B$14/B$2)^10</f>
        <v>54.816814354621449</v>
      </c>
      <c r="C53" s="13"/>
    </row>
    <row r="54" spans="1:3" x14ac:dyDescent="0.35">
      <c r="A54" s="8" t="s">
        <v>102</v>
      </c>
      <c r="B54" s="13">
        <f>(B24*2-B$23)*(1+B$44)^8*B$48/(1+Assumptions!B$4-B$14/B$2)^10</f>
        <v>103.76638558260149</v>
      </c>
      <c r="C54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5402-2B4A-4670-A73A-6EE8D6A0AFEF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93</v>
      </c>
      <c r="I1" s="1" t="s">
        <v>118</v>
      </c>
      <c r="J1" s="1" t="str">
        <f>B1</f>
        <v>CRM</v>
      </c>
      <c r="K1" s="1" t="s">
        <v>93</v>
      </c>
    </row>
    <row r="2" spans="1:11" x14ac:dyDescent="0.35">
      <c r="A2" s="8" t="s">
        <v>84</v>
      </c>
      <c r="B2" s="2">
        <v>290</v>
      </c>
      <c r="I2" s="1" t="s">
        <v>119</v>
      </c>
      <c r="J2" s="1">
        <f>B2</f>
        <v>290</v>
      </c>
      <c r="K2" s="1">
        <v>290</v>
      </c>
    </row>
    <row r="3" spans="1:11" x14ac:dyDescent="0.35">
      <c r="I3" s="1" t="s">
        <v>167</v>
      </c>
      <c r="J3" s="35">
        <f>B28</f>
        <v>0.27</v>
      </c>
      <c r="K3" s="1">
        <v>0.27</v>
      </c>
    </row>
    <row r="4" spans="1:11" x14ac:dyDescent="0.35">
      <c r="A4" s="8" t="s">
        <v>67</v>
      </c>
      <c r="I4" s="1" t="s">
        <v>120</v>
      </c>
      <c r="J4" s="1">
        <f>B18</f>
        <v>8.2200000000000006</v>
      </c>
      <c r="K4" s="1">
        <v>8.2200000000000006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10.01</v>
      </c>
      <c r="K5" s="1">
        <v>10.01</v>
      </c>
    </row>
    <row r="6" spans="1:11" x14ac:dyDescent="0.35">
      <c r="A6" s="9" t="s">
        <v>41</v>
      </c>
      <c r="B6" s="11">
        <v>4136</v>
      </c>
      <c r="C6" s="1" t="s">
        <v>40</v>
      </c>
      <c r="H6" s="6"/>
      <c r="I6" s="1" t="s">
        <v>122</v>
      </c>
      <c r="J6" s="1">
        <f t="shared" si="0"/>
        <v>10.039999999999999</v>
      </c>
      <c r="K6" s="1">
        <v>10.039999999999999</v>
      </c>
    </row>
    <row r="7" spans="1:11" x14ac:dyDescent="0.35">
      <c r="A7" s="9" t="s">
        <v>37</v>
      </c>
      <c r="B7" s="11">
        <v>5999</v>
      </c>
      <c r="C7" s="1" t="s">
        <v>40</v>
      </c>
      <c r="H7" s="6"/>
      <c r="I7" s="1" t="s">
        <v>123</v>
      </c>
      <c r="J7" s="1">
        <f t="shared" si="0"/>
        <v>10.26</v>
      </c>
      <c r="K7" s="1">
        <v>10.26</v>
      </c>
    </row>
    <row r="8" spans="1:11" x14ac:dyDescent="0.35">
      <c r="A8" s="9" t="s">
        <v>42</v>
      </c>
      <c r="B8" s="11">
        <v>26317</v>
      </c>
      <c r="C8" s="1" t="s">
        <v>40</v>
      </c>
      <c r="H8" s="6"/>
      <c r="I8" s="1" t="s">
        <v>124</v>
      </c>
      <c r="J8" s="1">
        <f t="shared" si="0"/>
        <v>10.53</v>
      </c>
      <c r="K8" s="1">
        <v>10.53</v>
      </c>
    </row>
    <row r="9" spans="1:11" x14ac:dyDescent="0.35">
      <c r="A9" s="9" t="s">
        <v>43</v>
      </c>
      <c r="B9" s="11">
        <v>34857</v>
      </c>
      <c r="C9" s="1" t="s">
        <v>40</v>
      </c>
      <c r="H9" s="6"/>
      <c r="I9" s="1" t="s">
        <v>125</v>
      </c>
      <c r="J9" s="1">
        <f t="shared" si="0"/>
        <v>11.13</v>
      </c>
      <c r="K9" s="1">
        <v>11.13</v>
      </c>
    </row>
    <row r="10" spans="1:11" x14ac:dyDescent="0.35">
      <c r="A10" s="9" t="s">
        <v>44</v>
      </c>
      <c r="B10" s="12">
        <v>984</v>
      </c>
      <c r="C10" s="1" t="s">
        <v>40</v>
      </c>
      <c r="H10" s="15"/>
      <c r="I10" s="1" t="s">
        <v>126</v>
      </c>
      <c r="J10" s="1">
        <f t="shared" si="0"/>
        <v>11.96</v>
      </c>
      <c r="K10" s="1">
        <v>11.96</v>
      </c>
    </row>
    <row r="11" spans="1:11" x14ac:dyDescent="0.35">
      <c r="A11" s="9" t="s">
        <v>38</v>
      </c>
      <c r="B11" s="11">
        <v>99823</v>
      </c>
      <c r="C11" s="1" t="s">
        <v>40</v>
      </c>
      <c r="H11" s="6"/>
      <c r="I11" s="1" t="s">
        <v>127</v>
      </c>
      <c r="J11" s="26">
        <f>B44*100</f>
        <v>13.428334226211025</v>
      </c>
      <c r="K11" s="1">
        <v>13.428334226211025</v>
      </c>
    </row>
    <row r="12" spans="1:11" x14ac:dyDescent="0.35">
      <c r="A12" s="9" t="s">
        <v>39</v>
      </c>
      <c r="B12" s="11">
        <v>59646</v>
      </c>
      <c r="C12" s="1" t="s">
        <v>40</v>
      </c>
      <c r="H12" s="6"/>
      <c r="I12" s="1" t="s">
        <v>128</v>
      </c>
      <c r="J12" s="26">
        <f>100+B45*100</f>
        <v>118.46712269054086</v>
      </c>
      <c r="K12" s="1">
        <v>118.46712269054086</v>
      </c>
    </row>
    <row r="13" spans="1:11" x14ac:dyDescent="0.35">
      <c r="A13" s="9" t="s">
        <v>45</v>
      </c>
      <c r="B13" s="11">
        <v>40177</v>
      </c>
      <c r="C13" s="1" t="s">
        <v>40</v>
      </c>
      <c r="H13" s="6"/>
      <c r="I13" s="1" t="s">
        <v>129</v>
      </c>
      <c r="J13" s="1">
        <f>130+IF(B39&gt;1,-20)+IF(B39&lt;-1,20)</f>
        <v>130</v>
      </c>
      <c r="K13" s="1">
        <v>130</v>
      </c>
    </row>
    <row r="14" spans="1:11" x14ac:dyDescent="0.35">
      <c r="A14" s="8" t="s">
        <v>46</v>
      </c>
      <c r="B14" s="2">
        <v>1.6</v>
      </c>
      <c r="C14" s="1" t="s">
        <v>47</v>
      </c>
      <c r="H14" s="6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0.55172413793103448</v>
      </c>
      <c r="K15" s="1">
        <v>0.55172413793103448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18.467122690540858</v>
      </c>
      <c r="K17" s="1">
        <v>18.467122690540858</v>
      </c>
    </row>
    <row r="18" spans="1:11" x14ac:dyDescent="0.35">
      <c r="A18" s="8" t="s">
        <v>48</v>
      </c>
      <c r="B18" s="7">
        <v>8.2200000000000006</v>
      </c>
      <c r="C18" s="1" t="s">
        <v>47</v>
      </c>
      <c r="D18" s="7">
        <v>34.86</v>
      </c>
      <c r="E18" s="1" t="s">
        <v>91</v>
      </c>
      <c r="F18" s="3"/>
      <c r="H18" s="6"/>
      <c r="I18" s="1" t="s">
        <v>134</v>
      </c>
      <c r="J18" s="26">
        <f>B48</f>
        <v>20.719087417363003</v>
      </c>
      <c r="K18" s="1">
        <v>20.719087417363003</v>
      </c>
    </row>
    <row r="19" spans="1:11" x14ac:dyDescent="0.35">
      <c r="A19" s="8" t="s">
        <v>49</v>
      </c>
      <c r="B19" s="7">
        <v>10.01</v>
      </c>
      <c r="C19" s="1" t="s">
        <v>47</v>
      </c>
      <c r="D19" s="7">
        <v>37.229999999999997</v>
      </c>
      <c r="E19" s="1" t="s">
        <v>91</v>
      </c>
      <c r="F19" s="43"/>
      <c r="H19" s="6"/>
      <c r="I19" s="1" t="s">
        <v>88</v>
      </c>
      <c r="J19" s="26">
        <f>B52</f>
        <v>228.56149063873514</v>
      </c>
      <c r="K19" s="1">
        <v>228.56149063873514</v>
      </c>
    </row>
    <row r="20" spans="1:11" x14ac:dyDescent="0.35">
      <c r="A20" s="8" t="s">
        <v>53</v>
      </c>
      <c r="B20" s="7">
        <v>10.039999999999999</v>
      </c>
      <c r="C20" s="1" t="s">
        <v>47</v>
      </c>
      <c r="D20" s="7">
        <v>37.82</v>
      </c>
      <c r="E20" s="1" t="s">
        <v>91</v>
      </c>
      <c r="F20" s="43"/>
      <c r="H20" s="6"/>
      <c r="I20" s="1" t="s">
        <v>168</v>
      </c>
      <c r="J20" s="26">
        <f>B53</f>
        <v>256.1822145829932</v>
      </c>
      <c r="K20" s="1">
        <v>256.1822145829932</v>
      </c>
    </row>
    <row r="21" spans="1:11" x14ac:dyDescent="0.35">
      <c r="A21" s="8" t="s">
        <v>54</v>
      </c>
      <c r="B21" s="7">
        <v>10.26</v>
      </c>
      <c r="C21" s="1" t="s">
        <v>47</v>
      </c>
      <c r="D21" s="7">
        <v>38.07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10.53</v>
      </c>
      <c r="C22" s="1" t="s">
        <v>47</v>
      </c>
      <c r="D22" s="7">
        <v>39.090000000000003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11.13</v>
      </c>
      <c r="C23" s="1" t="s">
        <v>47</v>
      </c>
      <c r="D23" s="7">
        <v>41.28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11.96</v>
      </c>
      <c r="C24" s="1" t="s">
        <v>47</v>
      </c>
      <c r="D24" s="7">
        <v>42.64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0.27</v>
      </c>
    </row>
    <row r="29" spans="1:11" x14ac:dyDescent="0.35">
      <c r="A29" s="8" t="s">
        <v>58</v>
      </c>
      <c r="B29" s="5">
        <v>0.16</v>
      </c>
    </row>
    <row r="30" spans="1:11" x14ac:dyDescent="0.35">
      <c r="A30" s="8" t="s">
        <v>59</v>
      </c>
      <c r="B30" s="5">
        <v>0.23</v>
      </c>
    </row>
    <row r="31" spans="1:11" x14ac:dyDescent="0.35">
      <c r="A31" s="8" t="s">
        <v>94</v>
      </c>
      <c r="B31" s="5">
        <v>0.1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6.9342453810817148E-2</v>
      </c>
      <c r="C35" s="1" t="s">
        <v>72</v>
      </c>
    </row>
    <row r="36" spans="1:3" x14ac:dyDescent="0.35">
      <c r="A36" s="8" t="s">
        <v>70</v>
      </c>
      <c r="B36" s="4">
        <f>B7/B11</f>
        <v>6.0096370575919378E-2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0.1304684291195416</v>
      </c>
      <c r="C37" s="1" t="s">
        <v>83</v>
      </c>
    </row>
    <row r="38" spans="1:3" x14ac:dyDescent="0.35">
      <c r="A38" s="8" t="s">
        <v>71</v>
      </c>
      <c r="B38" s="4">
        <f>(B23-B22)/B23</f>
        <v>5.3908355795148369E-2</v>
      </c>
      <c r="C38" s="1" t="s">
        <v>74</v>
      </c>
    </row>
    <row r="39" spans="1:3" x14ac:dyDescent="0.35">
      <c r="A39" s="8" t="s">
        <v>63</v>
      </c>
      <c r="B39" s="22">
        <f>(B36-Assumptions!$B$3)/B36/B38/Assumptions!B5</f>
        <v>0.82681476674683674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8.8193563828606436E-2</v>
      </c>
    </row>
    <row r="42" spans="1:3" x14ac:dyDescent="0.35">
      <c r="A42" s="8" t="s">
        <v>80</v>
      </c>
      <c r="B42" s="23">
        <f>(B45-B41)/B48</f>
        <v>4.6564629577242845E-3</v>
      </c>
      <c r="C42" s="1" t="s">
        <v>106</v>
      </c>
    </row>
    <row r="43" spans="1:3" x14ac:dyDescent="0.35">
      <c r="A43" s="8" t="s">
        <v>77</v>
      </c>
      <c r="B43" s="19">
        <f>AVERAGE(B28:B31)</f>
        <v>0.19</v>
      </c>
    </row>
    <row r="44" spans="1:3" x14ac:dyDescent="0.35">
      <c r="A44" s="8" t="s">
        <v>78</v>
      </c>
      <c r="B44" s="18">
        <f>SUM(B40:B43)/3</f>
        <v>0.13428334226211025</v>
      </c>
    </row>
    <row r="45" spans="1:3" x14ac:dyDescent="0.35">
      <c r="A45" s="8" t="s">
        <v>81</v>
      </c>
      <c r="B45" s="16">
        <f>(B35+0.3)/2</f>
        <v>0.18467122690540858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16.877456899290955</v>
      </c>
    </row>
    <row r="48" spans="1:3" x14ac:dyDescent="0.35">
      <c r="A48" s="8" t="s">
        <v>85</v>
      </c>
      <c r="B48" s="13">
        <f>(B2/B18+10+B47)/3</f>
        <v>20.719087417363003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228.56149063873514</v>
      </c>
      <c r="C52" s="13"/>
    </row>
    <row r="53" spans="1:3" x14ac:dyDescent="0.35">
      <c r="A53" s="8" t="s">
        <v>87</v>
      </c>
      <c r="B53" s="13">
        <f>(B23*2-B$23)*(1+B$44)^8*B$48/(1+Assumptions!B$4-B$14/B$2)^10</f>
        <v>256.1822145829932</v>
      </c>
      <c r="C53" s="13"/>
    </row>
    <row r="54" spans="1:3" x14ac:dyDescent="0.35">
      <c r="A54" s="8" t="s">
        <v>102</v>
      </c>
      <c r="B54" s="13">
        <f>(B24*2-B$23)*(1+B$44)^8*B$48/(1+Assumptions!B$4-B$14/B$2)^10</f>
        <v>294.39088270588348</v>
      </c>
      <c r="C54" s="1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862F-77D3-438E-A000-B043B0B89031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107</v>
      </c>
      <c r="I1" s="1" t="s">
        <v>118</v>
      </c>
      <c r="J1" s="1" t="str">
        <f>B1</f>
        <v>ADBE</v>
      </c>
      <c r="K1" s="1" t="s">
        <v>107</v>
      </c>
    </row>
    <row r="2" spans="1:11" x14ac:dyDescent="0.35">
      <c r="A2" s="8" t="s">
        <v>84</v>
      </c>
      <c r="B2" s="2">
        <v>485</v>
      </c>
      <c r="I2" s="1" t="s">
        <v>119</v>
      </c>
      <c r="J2" s="1">
        <f>B2</f>
        <v>485</v>
      </c>
      <c r="K2" s="1">
        <v>485</v>
      </c>
    </row>
    <row r="3" spans="1:11" x14ac:dyDescent="0.35">
      <c r="I3" s="1" t="s">
        <v>167</v>
      </c>
      <c r="J3" s="35">
        <f>B28</f>
        <v>0.18</v>
      </c>
      <c r="K3" s="1">
        <v>0.18</v>
      </c>
    </row>
    <row r="4" spans="1:11" x14ac:dyDescent="0.35">
      <c r="A4" s="8" t="s">
        <v>67</v>
      </c>
      <c r="I4" s="1" t="s">
        <v>120</v>
      </c>
      <c r="J4" s="1">
        <f>B18</f>
        <v>14.81</v>
      </c>
      <c r="K4" s="1">
        <v>14.81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18.239999999999998</v>
      </c>
      <c r="K5" s="1">
        <v>18.239999999999998</v>
      </c>
    </row>
    <row r="6" spans="1:11" x14ac:dyDescent="0.35">
      <c r="A6" s="9" t="s">
        <v>41</v>
      </c>
      <c r="B6" s="11">
        <v>4756</v>
      </c>
      <c r="C6" s="1" t="s">
        <v>40</v>
      </c>
      <c r="D6" s="6"/>
      <c r="I6" s="1" t="s">
        <v>122</v>
      </c>
      <c r="J6" s="1">
        <f t="shared" si="0"/>
        <v>18.28</v>
      </c>
      <c r="K6" s="1">
        <v>18.28</v>
      </c>
    </row>
    <row r="7" spans="1:11" x14ac:dyDescent="0.35">
      <c r="A7" s="9" t="s">
        <v>37</v>
      </c>
      <c r="B7" s="11">
        <v>6098</v>
      </c>
      <c r="C7" s="1" t="s">
        <v>40</v>
      </c>
      <c r="D7" s="6"/>
      <c r="I7" s="1" t="s">
        <v>123</v>
      </c>
      <c r="J7" s="1">
        <f t="shared" si="0"/>
        <v>18.329999999999998</v>
      </c>
      <c r="K7" s="1">
        <v>18.329999999999998</v>
      </c>
    </row>
    <row r="8" spans="1:11" x14ac:dyDescent="0.35">
      <c r="A8" s="9" t="s">
        <v>42</v>
      </c>
      <c r="B8" s="11">
        <v>15441</v>
      </c>
      <c r="C8" s="1" t="s">
        <v>40</v>
      </c>
      <c r="D8" s="6"/>
      <c r="I8" s="1" t="s">
        <v>124</v>
      </c>
      <c r="J8" s="1">
        <f t="shared" si="0"/>
        <v>19.98</v>
      </c>
      <c r="K8" s="1">
        <v>19.98</v>
      </c>
    </row>
    <row r="9" spans="1:11" x14ac:dyDescent="0.35">
      <c r="A9" s="9" t="s">
        <v>43</v>
      </c>
      <c r="B9" s="11">
        <v>17606</v>
      </c>
      <c r="C9" s="1" t="s">
        <v>40</v>
      </c>
      <c r="D9" s="6"/>
      <c r="I9" s="1" t="s">
        <v>125</v>
      </c>
      <c r="J9" s="1">
        <f t="shared" si="0"/>
        <v>20.55</v>
      </c>
      <c r="K9" s="1">
        <v>20.55</v>
      </c>
    </row>
    <row r="10" spans="1:11" x14ac:dyDescent="0.35">
      <c r="A10" s="9" t="s">
        <v>44</v>
      </c>
      <c r="B10" s="12">
        <v>459</v>
      </c>
      <c r="C10" s="1" t="s">
        <v>40</v>
      </c>
      <c r="D10" s="6"/>
      <c r="I10" s="1" t="s">
        <v>126</v>
      </c>
      <c r="J10" s="1">
        <f t="shared" si="0"/>
        <v>21.14</v>
      </c>
      <c r="K10" s="1">
        <v>21.14</v>
      </c>
    </row>
    <row r="11" spans="1:11" x14ac:dyDescent="0.35">
      <c r="A11" s="9" t="s">
        <v>38</v>
      </c>
      <c r="B11" s="11">
        <v>29779</v>
      </c>
      <c r="C11" s="1" t="s">
        <v>40</v>
      </c>
      <c r="D11" s="6"/>
      <c r="I11" s="1" t="s">
        <v>127</v>
      </c>
      <c r="J11" s="26">
        <f>B44*100</f>
        <v>14.904004323813544</v>
      </c>
      <c r="K11" s="1">
        <v>14.904004323813544</v>
      </c>
    </row>
    <row r="12" spans="1:11" x14ac:dyDescent="0.35">
      <c r="A12" s="9" t="s">
        <v>39</v>
      </c>
      <c r="B12" s="11">
        <v>16518</v>
      </c>
      <c r="C12" s="1" t="s">
        <v>40</v>
      </c>
      <c r="D12" s="6"/>
      <c r="I12" s="1" t="s">
        <v>128</v>
      </c>
      <c r="J12" s="26">
        <f>100+B45*100</f>
        <v>129.39641603099648</v>
      </c>
      <c r="K12" s="1">
        <v>129.39641603099648</v>
      </c>
    </row>
    <row r="13" spans="1:11" x14ac:dyDescent="0.35">
      <c r="A13" s="9" t="s">
        <v>45</v>
      </c>
      <c r="B13" s="11">
        <v>13261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130</v>
      </c>
      <c r="J14" s="1">
        <f>MAX(J12:J13)*2</f>
        <v>258.79283206199295</v>
      </c>
      <c r="K14" s="1">
        <v>258.79283206199295</v>
      </c>
    </row>
    <row r="15" spans="1:11" x14ac:dyDescent="0.35">
      <c r="I15" s="1" t="s">
        <v>131</v>
      </c>
      <c r="J15" s="26">
        <f>B14/B2*100</f>
        <v>0</v>
      </c>
      <c r="K15" s="1">
        <v>0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29.396416030996487</v>
      </c>
      <c r="K17" s="1">
        <v>29.396416030996487</v>
      </c>
    </row>
    <row r="18" spans="1:11" x14ac:dyDescent="0.35">
      <c r="A18" s="8" t="s">
        <v>48</v>
      </c>
      <c r="B18" s="7">
        <v>14.81</v>
      </c>
      <c r="C18" s="1" t="s">
        <v>47</v>
      </c>
      <c r="D18" s="14">
        <v>17.89</v>
      </c>
      <c r="E18" s="1" t="s">
        <v>91</v>
      </c>
      <c r="F18" s="3"/>
      <c r="H18" s="6"/>
      <c r="I18" s="1" t="s">
        <v>134</v>
      </c>
      <c r="J18" s="26">
        <f>B48</f>
        <v>20.881826765558682</v>
      </c>
      <c r="K18" s="1">
        <v>20.881826765558682</v>
      </c>
    </row>
    <row r="19" spans="1:11" x14ac:dyDescent="0.35">
      <c r="A19" s="8" t="s">
        <v>49</v>
      </c>
      <c r="B19" s="7">
        <v>18.239999999999998</v>
      </c>
      <c r="C19" s="1" t="s">
        <v>47</v>
      </c>
      <c r="D19" s="14">
        <v>21.41</v>
      </c>
      <c r="E19" s="1" t="s">
        <v>91</v>
      </c>
      <c r="F19" s="43"/>
      <c r="H19" s="6"/>
      <c r="I19" s="1" t="s">
        <v>88</v>
      </c>
      <c r="J19" s="26">
        <f>B52</f>
        <v>474.84129730339379</v>
      </c>
      <c r="K19" s="1">
        <v>474.84129730339379</v>
      </c>
    </row>
    <row r="20" spans="1:11" x14ac:dyDescent="0.35">
      <c r="A20" s="8" t="s">
        <v>53</v>
      </c>
      <c r="B20" s="7">
        <v>18.28</v>
      </c>
      <c r="C20" s="1" t="s">
        <v>47</v>
      </c>
      <c r="D20" s="14">
        <v>21.44</v>
      </c>
      <c r="E20" s="1" t="s">
        <v>91</v>
      </c>
      <c r="F20" s="43"/>
      <c r="H20" s="6"/>
      <c r="I20" s="1" t="s">
        <v>168</v>
      </c>
      <c r="J20" s="26">
        <f>B53</f>
        <v>502.72996700591148</v>
      </c>
      <c r="K20" s="1">
        <v>502.72996700591148</v>
      </c>
    </row>
    <row r="21" spans="1:11" x14ac:dyDescent="0.35">
      <c r="A21" s="8" t="s">
        <v>54</v>
      </c>
      <c r="B21" s="7">
        <v>18.329999999999998</v>
      </c>
      <c r="C21" s="1" t="s">
        <v>47</v>
      </c>
      <c r="D21" s="14">
        <v>21.48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19.98</v>
      </c>
      <c r="C22" s="1" t="s">
        <v>47</v>
      </c>
      <c r="D22" s="14">
        <v>23.44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20.55</v>
      </c>
      <c r="C23" s="1" t="s">
        <v>47</v>
      </c>
      <c r="D23" s="14">
        <v>23.79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21.14</v>
      </c>
      <c r="C24" s="1" t="s">
        <v>47</v>
      </c>
      <c r="D24" s="14">
        <v>24.15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0.18</v>
      </c>
    </row>
    <row r="29" spans="1:11" x14ac:dyDescent="0.35">
      <c r="A29" s="8" t="s">
        <v>58</v>
      </c>
      <c r="B29" s="5">
        <v>0.14000000000000001</v>
      </c>
    </row>
    <row r="30" spans="1:11" x14ac:dyDescent="0.35">
      <c r="A30" s="8" t="s">
        <v>59</v>
      </c>
      <c r="B30" s="5">
        <v>0.23</v>
      </c>
    </row>
    <row r="31" spans="1:11" x14ac:dyDescent="0.35">
      <c r="A31" s="8" t="s">
        <v>94</v>
      </c>
      <c r="B31" s="5">
        <v>0.12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0.28792832061992979</v>
      </c>
      <c r="C35" s="1" t="s">
        <v>72</v>
      </c>
    </row>
    <row r="36" spans="1:3" x14ac:dyDescent="0.35">
      <c r="A36" s="8" t="s">
        <v>70</v>
      </c>
      <c r="B36" s="4">
        <f>B7/B11</f>
        <v>0.2047751771382518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0.18532355015279223</v>
      </c>
      <c r="C37" s="1" t="s">
        <v>83</v>
      </c>
    </row>
    <row r="38" spans="1:3" x14ac:dyDescent="0.35">
      <c r="A38" s="8" t="s">
        <v>71</v>
      </c>
      <c r="B38" s="4">
        <f>(B23-B22)/B23</f>
        <v>2.7737226277372275E-2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7.2294996704383321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0.1531665883764548</v>
      </c>
    </row>
    <row r="42" spans="1:3" x14ac:dyDescent="0.35">
      <c r="A42" s="8" t="s">
        <v>80</v>
      </c>
      <c r="B42" s="20">
        <f>(B35-B41)/B48</f>
        <v>6.4535413379514985E-3</v>
      </c>
    </row>
    <row r="43" spans="1:3" x14ac:dyDescent="0.35">
      <c r="A43" s="8" t="s">
        <v>77</v>
      </c>
      <c r="B43" s="19">
        <f>AVERAGE(B28:B31)</f>
        <v>0.16750000000000001</v>
      </c>
    </row>
    <row r="44" spans="1:3" x14ac:dyDescent="0.35">
      <c r="A44" s="8" t="s">
        <v>78</v>
      </c>
      <c r="B44" s="18">
        <f>SUM(B40:B43)/3</f>
        <v>0.14904004323813544</v>
      </c>
    </row>
    <row r="45" spans="1:3" x14ac:dyDescent="0.35">
      <c r="A45" s="8" t="s">
        <v>81</v>
      </c>
      <c r="B45" s="16">
        <f>(B35+0.3)/2</f>
        <v>0.29396416030996486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19.897337150153422</v>
      </c>
    </row>
    <row r="48" spans="1:3" x14ac:dyDescent="0.35">
      <c r="A48" s="8" t="s">
        <v>85</v>
      </c>
      <c r="B48" s="13">
        <f>(B2/B18+10+B47)/3</f>
        <v>20.881826765558682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474.84129730339379</v>
      </c>
      <c r="C52" s="13"/>
    </row>
    <row r="53" spans="1:3" x14ac:dyDescent="0.35">
      <c r="A53" s="8" t="s">
        <v>87</v>
      </c>
      <c r="B53" s="13">
        <f>(B23*2-B$23)*(1+B$44)^8*B$48/(1+Assumptions!B$4-B$14/B$2)^10</f>
        <v>502.72996700591148</v>
      </c>
      <c r="C53" s="13"/>
    </row>
    <row r="54" spans="1:3" x14ac:dyDescent="0.35">
      <c r="A54" s="8" t="s">
        <v>102</v>
      </c>
      <c r="B54" s="13">
        <f>(B24*2-B$23)*(1+B$44)^8*B$48/(1+Assumptions!B$4-B$14/B$2)^10</f>
        <v>531.59718652255253</v>
      </c>
      <c r="C54" s="1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E5EB-CCE9-4553-9AB3-5327AAEA91A3}">
  <dimension ref="A1:K54"/>
  <sheetViews>
    <sheetView workbookViewId="0">
      <selection activeCell="J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101</v>
      </c>
      <c r="I1" s="1" t="s">
        <v>118</v>
      </c>
      <c r="J1" s="1" t="str">
        <f>B1</f>
        <v>MSFT</v>
      </c>
      <c r="K1" s="1" t="s">
        <v>101</v>
      </c>
    </row>
    <row r="2" spans="1:11" x14ac:dyDescent="0.35">
      <c r="A2" s="8" t="s">
        <v>84</v>
      </c>
      <c r="B2" s="2">
        <v>428</v>
      </c>
      <c r="I2" s="1" t="s">
        <v>119</v>
      </c>
      <c r="J2" s="1">
        <f>B2</f>
        <v>428</v>
      </c>
      <c r="K2" s="1">
        <v>428</v>
      </c>
    </row>
    <row r="3" spans="1:11" x14ac:dyDescent="0.35">
      <c r="I3" s="1" t="s">
        <v>167</v>
      </c>
      <c r="J3" s="35">
        <f>B28</f>
        <v>0.19</v>
      </c>
      <c r="K3" s="1">
        <v>0.19</v>
      </c>
    </row>
    <row r="4" spans="1:11" x14ac:dyDescent="0.35">
      <c r="A4" s="8" t="s">
        <v>67</v>
      </c>
      <c r="I4" s="1" t="s">
        <v>120</v>
      </c>
      <c r="J4" s="1">
        <f>B18</f>
        <v>11.8</v>
      </c>
      <c r="K4" s="1">
        <v>11.8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12.52</v>
      </c>
      <c r="K5" s="1">
        <v>12.52</v>
      </c>
    </row>
    <row r="6" spans="1:11" x14ac:dyDescent="0.35">
      <c r="A6" s="9" t="s">
        <v>41</v>
      </c>
      <c r="B6" s="11">
        <v>72361</v>
      </c>
      <c r="C6" s="1" t="s">
        <v>40</v>
      </c>
      <c r="E6" s="6"/>
      <c r="I6" s="1" t="s">
        <v>122</v>
      </c>
      <c r="J6" s="1">
        <f t="shared" si="0"/>
        <v>13</v>
      </c>
      <c r="K6" s="1">
        <v>13</v>
      </c>
    </row>
    <row r="7" spans="1:11" x14ac:dyDescent="0.35">
      <c r="A7" s="9" t="s">
        <v>37</v>
      </c>
      <c r="B7" s="11">
        <v>88523</v>
      </c>
      <c r="C7" s="1" t="s">
        <v>40</v>
      </c>
      <c r="E7" s="6"/>
      <c r="I7" s="1" t="s">
        <v>123</v>
      </c>
      <c r="J7" s="1">
        <f t="shared" si="0"/>
        <v>13.64</v>
      </c>
      <c r="K7" s="1">
        <v>13.64</v>
      </c>
    </row>
    <row r="8" spans="1:11" x14ac:dyDescent="0.35">
      <c r="A8" s="9" t="s">
        <v>42</v>
      </c>
      <c r="B8" s="11">
        <v>146052</v>
      </c>
      <c r="C8" s="1" t="s">
        <v>40</v>
      </c>
      <c r="E8" s="6"/>
      <c r="I8" s="1" t="s">
        <v>124</v>
      </c>
      <c r="J8" s="1">
        <f t="shared" si="0"/>
        <v>13.99</v>
      </c>
      <c r="K8" s="1">
        <v>13.99</v>
      </c>
    </row>
    <row r="9" spans="1:11" x14ac:dyDescent="0.35">
      <c r="A9" s="9" t="s">
        <v>43</v>
      </c>
      <c r="B9" s="11">
        <v>211915</v>
      </c>
      <c r="C9" s="1" t="s">
        <v>40</v>
      </c>
      <c r="E9" s="6"/>
      <c r="I9" s="1" t="s">
        <v>125</v>
      </c>
      <c r="J9" s="1">
        <f t="shared" si="0"/>
        <v>15.04</v>
      </c>
      <c r="K9" s="1">
        <v>15.04</v>
      </c>
    </row>
    <row r="10" spans="1:11" x14ac:dyDescent="0.35">
      <c r="A10" s="9" t="s">
        <v>44</v>
      </c>
      <c r="B10" s="12">
        <v>7472</v>
      </c>
      <c r="C10" s="1" t="s">
        <v>40</v>
      </c>
      <c r="E10" s="15"/>
      <c r="I10" s="1" t="s">
        <v>126</v>
      </c>
      <c r="J10" s="1">
        <f t="shared" si="0"/>
        <v>16.260000000000002</v>
      </c>
      <c r="K10" s="1">
        <v>16.260000000000002</v>
      </c>
    </row>
    <row r="11" spans="1:11" x14ac:dyDescent="0.35">
      <c r="A11" s="9" t="s">
        <v>38</v>
      </c>
      <c r="B11" s="11">
        <v>411976</v>
      </c>
      <c r="C11" s="1" t="s">
        <v>40</v>
      </c>
      <c r="E11" s="6"/>
      <c r="I11" s="1" t="s">
        <v>127</v>
      </c>
      <c r="J11" s="26">
        <f>B44*100</f>
        <v>14.102271540965413</v>
      </c>
      <c r="K11" s="1">
        <v>14.102271540965413</v>
      </c>
    </row>
    <row r="12" spans="1:11" x14ac:dyDescent="0.35">
      <c r="A12" s="9" t="s">
        <v>39</v>
      </c>
      <c r="B12" s="11">
        <v>206223</v>
      </c>
      <c r="C12" s="1" t="s">
        <v>40</v>
      </c>
      <c r="E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205753</v>
      </c>
      <c r="C13" s="1" t="s">
        <v>40</v>
      </c>
      <c r="E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3</v>
      </c>
      <c r="C14" s="1" t="s">
        <v>47</v>
      </c>
      <c r="E14" s="6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0.7009345794392523</v>
      </c>
      <c r="K15" s="1">
        <v>0.7009345794392523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11.8</v>
      </c>
      <c r="C18" s="1" t="s">
        <v>47</v>
      </c>
      <c r="D18" s="7">
        <v>245</v>
      </c>
      <c r="E18" s="1" t="s">
        <v>91</v>
      </c>
      <c r="F18" s="3"/>
      <c r="I18" s="1" t="s">
        <v>134</v>
      </c>
      <c r="J18" s="26">
        <f>B48</f>
        <v>22.09039548022599</v>
      </c>
      <c r="K18" s="1">
        <v>22.09039548022599</v>
      </c>
    </row>
    <row r="19" spans="1:11" x14ac:dyDescent="0.35">
      <c r="A19" s="8" t="s">
        <v>49</v>
      </c>
      <c r="B19" s="7">
        <v>12.52</v>
      </c>
      <c r="C19" s="1" t="s">
        <v>47</v>
      </c>
      <c r="D19" s="7">
        <v>273</v>
      </c>
      <c r="E19" s="1" t="s">
        <v>91</v>
      </c>
      <c r="F19" s="43"/>
      <c r="I19" s="1" t="s">
        <v>88</v>
      </c>
      <c r="J19" s="26">
        <f>B52</f>
        <v>337.54183423692672</v>
      </c>
      <c r="K19" s="1">
        <v>337.54183423692672</v>
      </c>
    </row>
    <row r="20" spans="1:11" x14ac:dyDescent="0.35">
      <c r="A20" s="8" t="s">
        <v>53</v>
      </c>
      <c r="B20" s="7">
        <v>13</v>
      </c>
      <c r="C20" s="1" t="s">
        <v>47</v>
      </c>
      <c r="D20" s="7">
        <v>279</v>
      </c>
      <c r="E20" s="1" t="s">
        <v>91</v>
      </c>
      <c r="F20" s="43"/>
      <c r="I20" s="1" t="s">
        <v>168</v>
      </c>
      <c r="J20" s="26">
        <f>B53</f>
        <v>392.32064813936449</v>
      </c>
      <c r="K20" s="1">
        <v>392.32064813936449</v>
      </c>
    </row>
    <row r="21" spans="1:11" x14ac:dyDescent="0.35">
      <c r="A21" s="8" t="s">
        <v>54</v>
      </c>
      <c r="B21" s="7">
        <v>13.64</v>
      </c>
      <c r="C21" s="1" t="s">
        <v>47</v>
      </c>
      <c r="D21" s="7">
        <v>288</v>
      </c>
      <c r="E21" s="1" t="s">
        <v>91</v>
      </c>
      <c r="F21" s="43"/>
    </row>
    <row r="22" spans="1:11" x14ac:dyDescent="0.35">
      <c r="A22" s="8" t="s">
        <v>52</v>
      </c>
      <c r="B22" s="7">
        <v>13.99</v>
      </c>
      <c r="C22" s="1" t="s">
        <v>47</v>
      </c>
      <c r="D22" s="7">
        <v>299</v>
      </c>
      <c r="E22" s="1" t="s">
        <v>91</v>
      </c>
      <c r="F22" s="43"/>
    </row>
    <row r="23" spans="1:11" x14ac:dyDescent="0.35">
      <c r="A23" s="8" t="s">
        <v>51</v>
      </c>
      <c r="B23" s="7">
        <v>15.04</v>
      </c>
      <c r="C23" s="1" t="s">
        <v>47</v>
      </c>
      <c r="D23" s="7">
        <v>319</v>
      </c>
      <c r="E23" s="1" t="s">
        <v>91</v>
      </c>
      <c r="F23" s="43"/>
    </row>
    <row r="24" spans="1:11" x14ac:dyDescent="0.35">
      <c r="A24" s="8" t="s">
        <v>50</v>
      </c>
      <c r="B24" s="7">
        <v>16.260000000000002</v>
      </c>
      <c r="C24" s="1" t="s">
        <v>47</v>
      </c>
      <c r="D24" s="7">
        <v>329</v>
      </c>
      <c r="E24" s="1" t="s">
        <v>91</v>
      </c>
      <c r="F24" s="43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0.19</v>
      </c>
    </row>
    <row r="29" spans="1:11" x14ac:dyDescent="0.35">
      <c r="A29" s="8" t="s">
        <v>58</v>
      </c>
      <c r="B29" s="5">
        <v>0.15</v>
      </c>
    </row>
    <row r="30" spans="1:11" x14ac:dyDescent="0.35">
      <c r="A30" s="8" t="s">
        <v>59</v>
      </c>
      <c r="B30" s="5">
        <v>0.11</v>
      </c>
    </row>
    <row r="31" spans="1:11" x14ac:dyDescent="0.35">
      <c r="A31" s="8" t="s">
        <v>94</v>
      </c>
      <c r="B31" s="5">
        <v>0.16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0.35088714643856406</v>
      </c>
      <c r="C35" s="1" t="s">
        <v>72</v>
      </c>
    </row>
    <row r="36" spans="1:3" x14ac:dyDescent="0.35">
      <c r="A36" s="8" t="s">
        <v>70</v>
      </c>
      <c r="B36" s="4">
        <f>B7/B11</f>
        <v>0.21487416742722876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0.17514260539448898</v>
      </c>
      <c r="C37" s="1" t="s">
        <v>83</v>
      </c>
    </row>
    <row r="38" spans="1:3" x14ac:dyDescent="0.35">
      <c r="A38" s="8" t="s">
        <v>71</v>
      </c>
      <c r="B38" s="4">
        <f>(B23-B22)/B23</f>
        <v>6.981382978723398E-2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2.9159106896796034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0.14107003129804907</v>
      </c>
    </row>
    <row r="42" spans="1:3" x14ac:dyDescent="0.35">
      <c r="A42" s="8" t="s">
        <v>80</v>
      </c>
      <c r="B42" s="20">
        <f>(B35-B41)/B48</f>
        <v>9.4981149309133379E-3</v>
      </c>
    </row>
    <row r="43" spans="1:3" x14ac:dyDescent="0.35">
      <c r="A43" s="8" t="s">
        <v>77</v>
      </c>
      <c r="B43" s="19">
        <f>AVERAGE(B28:B31)</f>
        <v>0.1525</v>
      </c>
    </row>
    <row r="44" spans="1:3" x14ac:dyDescent="0.35">
      <c r="A44" s="8" t="s">
        <v>78</v>
      </c>
      <c r="B44" s="18">
        <f>SUM(B40:B43)/3</f>
        <v>0.14102271540965414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22.09039548022599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337.54183423692672</v>
      </c>
      <c r="C52" s="13"/>
    </row>
    <row r="53" spans="1:3" x14ac:dyDescent="0.35">
      <c r="A53" s="8" t="s">
        <v>87</v>
      </c>
      <c r="B53" s="13">
        <f>(B23*2-B$23)*(1+B$44)^8*B$48/(1+Assumptions!B$4-B$14/B$2)^10</f>
        <v>392.32064813936449</v>
      </c>
      <c r="C53" s="13"/>
    </row>
    <row r="54" spans="1:3" x14ac:dyDescent="0.35">
      <c r="A54" s="8" t="s">
        <v>102</v>
      </c>
      <c r="B54" s="13">
        <f>(B24*2-B$23)*(1+B$44)^8*B$48/(1+Assumptions!B$4-B$14/B$2)^10</f>
        <v>455.96841286410199</v>
      </c>
      <c r="C54" s="1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45C2-0BBB-4EF3-8E3A-E0EAB2D19CB8}">
  <dimension ref="A1:K54"/>
  <sheetViews>
    <sheetView workbookViewId="0">
      <selection sqref="A1:XFD1048576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31</v>
      </c>
      <c r="I1" s="1" t="s">
        <v>118</v>
      </c>
      <c r="J1" s="1" t="str">
        <f>B1</f>
        <v>GOOG</v>
      </c>
      <c r="K1" s="1" t="s">
        <v>31</v>
      </c>
    </row>
    <row r="2" spans="1:11" x14ac:dyDescent="0.35">
      <c r="A2" s="8" t="s">
        <v>84</v>
      </c>
      <c r="B2" s="2">
        <v>168</v>
      </c>
      <c r="I2" s="1" t="s">
        <v>119</v>
      </c>
      <c r="J2" s="1">
        <f>B2</f>
        <v>168</v>
      </c>
      <c r="K2" s="1">
        <v>168</v>
      </c>
    </row>
    <row r="3" spans="1:11" x14ac:dyDescent="0.35">
      <c r="I3" s="1" t="s">
        <v>167</v>
      </c>
      <c r="J3" s="35">
        <f>B28</f>
        <v>0.24</v>
      </c>
      <c r="K3" s="1">
        <v>0.24</v>
      </c>
    </row>
    <row r="4" spans="1:11" x14ac:dyDescent="0.35">
      <c r="A4" s="8" t="s">
        <v>67</v>
      </c>
      <c r="I4" s="1" t="s">
        <v>120</v>
      </c>
      <c r="J4" s="1">
        <f>B18</f>
        <v>5.8</v>
      </c>
      <c r="K4" s="1">
        <v>5.8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7.24</v>
      </c>
      <c r="K5" s="1">
        <v>7.24</v>
      </c>
    </row>
    <row r="6" spans="1:11" x14ac:dyDescent="0.35">
      <c r="A6" s="9" t="s">
        <v>41</v>
      </c>
      <c r="B6" s="11">
        <v>73795</v>
      </c>
      <c r="C6" s="1" t="s">
        <v>40</v>
      </c>
      <c r="I6" s="1" t="s">
        <v>122</v>
      </c>
      <c r="J6" s="1">
        <f t="shared" si="0"/>
        <v>7.66</v>
      </c>
      <c r="K6" s="1">
        <v>7.66</v>
      </c>
    </row>
    <row r="7" spans="1:11" x14ac:dyDescent="0.35">
      <c r="A7" s="9" t="s">
        <v>37</v>
      </c>
      <c r="B7" s="11">
        <v>84293</v>
      </c>
      <c r="C7" s="1" t="s">
        <v>40</v>
      </c>
      <c r="I7" s="1" t="s">
        <v>123</v>
      </c>
      <c r="J7" s="1">
        <f t="shared" si="0"/>
        <v>7.98</v>
      </c>
      <c r="K7" s="1">
        <v>7.98</v>
      </c>
    </row>
    <row r="8" spans="1:11" x14ac:dyDescent="0.35">
      <c r="A8" s="9" t="s">
        <v>42</v>
      </c>
      <c r="B8" s="11">
        <v>174062</v>
      </c>
      <c r="C8" s="1" t="s">
        <v>40</v>
      </c>
      <c r="I8" s="1" t="s">
        <v>124</v>
      </c>
      <c r="J8" s="1">
        <f t="shared" si="0"/>
        <v>8.02</v>
      </c>
      <c r="K8" s="1">
        <v>8.02</v>
      </c>
    </row>
    <row r="9" spans="1:11" x14ac:dyDescent="0.35">
      <c r="A9" s="9" t="s">
        <v>43</v>
      </c>
      <c r="B9" s="11">
        <v>307394</v>
      </c>
      <c r="C9" s="1" t="s">
        <v>40</v>
      </c>
      <c r="I9" s="1" t="s">
        <v>125</v>
      </c>
      <c r="J9" s="1">
        <f t="shared" si="0"/>
        <v>8.69</v>
      </c>
      <c r="K9" s="1">
        <v>8.69</v>
      </c>
    </row>
    <row r="10" spans="1:11" x14ac:dyDescent="0.35">
      <c r="A10" s="9" t="s">
        <v>44</v>
      </c>
      <c r="B10" s="12">
        <v>12722</v>
      </c>
      <c r="C10" s="1" t="s">
        <v>40</v>
      </c>
      <c r="I10" s="1" t="s">
        <v>126</v>
      </c>
      <c r="J10" s="1">
        <f t="shared" si="0"/>
        <v>9.8000000000000007</v>
      </c>
      <c r="K10" s="1">
        <v>9.8000000000000007</v>
      </c>
    </row>
    <row r="11" spans="1:11" x14ac:dyDescent="0.35">
      <c r="A11" s="9" t="s">
        <v>38</v>
      </c>
      <c r="B11" s="11">
        <v>402392</v>
      </c>
      <c r="C11" s="1" t="s">
        <v>40</v>
      </c>
      <c r="I11" s="1" t="s">
        <v>127</v>
      </c>
      <c r="J11" s="26">
        <f>B44*100</f>
        <v>15.697556680103061</v>
      </c>
      <c r="K11" s="1">
        <v>15.697556680103061</v>
      </c>
    </row>
    <row r="12" spans="1:11" x14ac:dyDescent="0.35">
      <c r="A12" s="9" t="s">
        <v>39</v>
      </c>
      <c r="B12" s="11">
        <v>283379</v>
      </c>
      <c r="C12" s="1" t="s">
        <v>40</v>
      </c>
      <c r="I12" s="1" t="s">
        <v>128</v>
      </c>
      <c r="J12" s="26">
        <f>100+B45*100</f>
        <v>128.0205484527788</v>
      </c>
      <c r="K12" s="1">
        <v>128.0205484527788</v>
      </c>
    </row>
    <row r="13" spans="1:11" x14ac:dyDescent="0.35">
      <c r="A13" s="9" t="s">
        <v>45</v>
      </c>
      <c r="B13" s="11">
        <v>119013</v>
      </c>
      <c r="C13" s="1" t="s">
        <v>40</v>
      </c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0.8</v>
      </c>
      <c r="C14" s="1" t="s">
        <v>47</v>
      </c>
      <c r="I14" s="1" t="s">
        <v>130</v>
      </c>
      <c r="J14" s="1">
        <f>MAX(J12:J13)*2</f>
        <v>256.04109690555759</v>
      </c>
      <c r="K14" s="1">
        <v>256.04109690555759</v>
      </c>
    </row>
    <row r="15" spans="1:11" x14ac:dyDescent="0.35">
      <c r="I15" s="1" t="s">
        <v>131</v>
      </c>
      <c r="J15" s="26">
        <f>B14/B2*100</f>
        <v>0.47619047619047622</v>
      </c>
      <c r="K15" s="1">
        <v>0.47619047619047622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28.020548452778787</v>
      </c>
      <c r="K17" s="1">
        <v>28.020548452778787</v>
      </c>
    </row>
    <row r="18" spans="1:11" x14ac:dyDescent="0.35">
      <c r="A18" s="8" t="s">
        <v>48</v>
      </c>
      <c r="B18" s="7">
        <v>5.8</v>
      </c>
      <c r="C18" s="1" t="s">
        <v>47</v>
      </c>
      <c r="D18" s="7">
        <v>307</v>
      </c>
      <c r="E18" s="1" t="s">
        <v>91</v>
      </c>
      <c r="F18" s="3"/>
      <c r="I18" s="1" t="s">
        <v>134</v>
      </c>
      <c r="J18" s="26">
        <f>B48</f>
        <v>19.537434321778409</v>
      </c>
      <c r="K18" s="1">
        <v>19.537434321778409</v>
      </c>
    </row>
    <row r="19" spans="1:11" x14ac:dyDescent="0.35">
      <c r="A19" s="8" t="s">
        <v>49</v>
      </c>
      <c r="B19" s="7">
        <v>7.24</v>
      </c>
      <c r="C19" s="1" t="s">
        <v>47</v>
      </c>
      <c r="D19" s="7">
        <v>336</v>
      </c>
      <c r="E19" s="1" t="s">
        <v>91</v>
      </c>
      <c r="F19" s="43"/>
      <c r="I19" s="1" t="s">
        <v>88</v>
      </c>
      <c r="J19" s="26">
        <f>B52</f>
        <v>185.6363230755012</v>
      </c>
      <c r="K19" s="1">
        <v>185.6363230755012</v>
      </c>
    </row>
    <row r="20" spans="1:11" x14ac:dyDescent="0.35">
      <c r="A20" s="8" t="s">
        <v>53</v>
      </c>
      <c r="B20" s="7">
        <v>7.66</v>
      </c>
      <c r="C20" s="1" t="s">
        <v>47</v>
      </c>
      <c r="D20" s="7">
        <v>347</v>
      </c>
      <c r="E20" s="1" t="s">
        <v>91</v>
      </c>
      <c r="F20" s="43"/>
      <c r="I20" s="1" t="s">
        <v>168</v>
      </c>
      <c r="J20" s="26">
        <f>B53</f>
        <v>219.48022415321159</v>
      </c>
      <c r="K20" s="1">
        <v>219.48022415321159</v>
      </c>
    </row>
    <row r="21" spans="1:11" x14ac:dyDescent="0.35">
      <c r="A21" s="8" t="s">
        <v>54</v>
      </c>
      <c r="B21" s="7">
        <v>7.98</v>
      </c>
      <c r="C21" s="1" t="s">
        <v>47</v>
      </c>
      <c r="D21" s="7">
        <v>350</v>
      </c>
      <c r="E21" s="1" t="s">
        <v>91</v>
      </c>
      <c r="F21" s="43"/>
    </row>
    <row r="22" spans="1:11" x14ac:dyDescent="0.35">
      <c r="A22" s="8" t="s">
        <v>52</v>
      </c>
      <c r="B22" s="7">
        <v>8.02</v>
      </c>
      <c r="C22" s="1" t="s">
        <v>47</v>
      </c>
      <c r="D22" s="7">
        <v>368</v>
      </c>
      <c r="E22" s="1" t="s">
        <v>91</v>
      </c>
      <c r="F22" s="43"/>
    </row>
    <row r="23" spans="1:11" x14ac:dyDescent="0.35">
      <c r="A23" s="8" t="s">
        <v>51</v>
      </c>
      <c r="B23" s="7">
        <v>8.69</v>
      </c>
      <c r="C23" s="1" t="s">
        <v>47</v>
      </c>
      <c r="D23" s="7">
        <v>386</v>
      </c>
      <c r="E23" s="1" t="s">
        <v>91</v>
      </c>
      <c r="F23" s="43"/>
    </row>
    <row r="24" spans="1:11" x14ac:dyDescent="0.35">
      <c r="A24" s="8" t="s">
        <v>50</v>
      </c>
      <c r="B24" s="7">
        <v>9.8000000000000007</v>
      </c>
      <c r="C24" s="1" t="s">
        <v>47</v>
      </c>
      <c r="D24" s="7">
        <v>400</v>
      </c>
      <c r="E24" s="1" t="s">
        <v>91</v>
      </c>
      <c r="F24" s="43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0.24</v>
      </c>
    </row>
    <row r="29" spans="1:11" x14ac:dyDescent="0.35">
      <c r="A29" s="8" t="s">
        <v>58</v>
      </c>
      <c r="B29" s="5">
        <v>0.2</v>
      </c>
    </row>
    <row r="30" spans="1:11" x14ac:dyDescent="0.35">
      <c r="A30" s="8" t="s">
        <v>59</v>
      </c>
      <c r="B30" s="5">
        <v>0.32</v>
      </c>
    </row>
    <row r="31" spans="1:11" x14ac:dyDescent="0.35">
      <c r="A31" s="8" t="s">
        <v>94</v>
      </c>
      <c r="B31" s="5">
        <v>0.13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0.26041096905557576</v>
      </c>
      <c r="C35" s="1" t="s">
        <v>72</v>
      </c>
    </row>
    <row r="36" spans="1:3" x14ac:dyDescent="0.35">
      <c r="A36" s="8" t="s">
        <v>70</v>
      </c>
      <c r="B36" s="4">
        <f>B7/B11</f>
        <v>0.2094798107318237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0.21211902821129644</v>
      </c>
      <c r="C37" s="1" t="s">
        <v>83</v>
      </c>
    </row>
    <row r="38" spans="1:3" x14ac:dyDescent="0.35">
      <c r="A38" s="8" t="s">
        <v>71</v>
      </c>
      <c r="B38" s="4">
        <f>(B23-B22)/B23</f>
        <v>7.7100115074798609E-2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2.619725483669388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0.12130682251915914</v>
      </c>
    </row>
    <row r="42" spans="1:3" x14ac:dyDescent="0.35">
      <c r="A42" s="8" t="s">
        <v>80</v>
      </c>
      <c r="B42" s="20">
        <f>(B35-B41)/B48</f>
        <v>7.1198778839326408E-3</v>
      </c>
    </row>
    <row r="43" spans="1:3" x14ac:dyDescent="0.35">
      <c r="A43" s="8" t="s">
        <v>77</v>
      </c>
      <c r="B43" s="19">
        <f>AVERAGE(B28:B31)</f>
        <v>0.2225</v>
      </c>
    </row>
    <row r="44" spans="1:3" x14ac:dyDescent="0.35">
      <c r="A44" s="8" t="s">
        <v>78</v>
      </c>
      <c r="B44" s="18">
        <f>SUM(B40:B43)/3</f>
        <v>0.15697556680103061</v>
      </c>
    </row>
    <row r="45" spans="1:3" x14ac:dyDescent="0.35">
      <c r="A45" s="8" t="s">
        <v>81</v>
      </c>
      <c r="B45" s="16">
        <f>(B35+0.3)/2</f>
        <v>0.28020548452778787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19.646785723955926</v>
      </c>
    </row>
    <row r="48" spans="1:3" x14ac:dyDescent="0.35">
      <c r="A48" s="8" t="s">
        <v>85</v>
      </c>
      <c r="B48" s="13">
        <f>(B2/B18+10+B47)/3</f>
        <v>19.537434321778409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185.6363230755012</v>
      </c>
      <c r="C52" s="13"/>
    </row>
    <row r="53" spans="1:3" x14ac:dyDescent="0.35">
      <c r="A53" s="8" t="s">
        <v>87</v>
      </c>
      <c r="B53" s="13">
        <f>(B23*2-B$23)*(1+B$44)^8*B$48/(1+Assumptions!B$4-B$14/B$2)^10</f>
        <v>219.48022415321159</v>
      </c>
      <c r="C53" s="13"/>
    </row>
    <row r="54" spans="1:3" x14ac:dyDescent="0.35">
      <c r="A54" s="8" t="s">
        <v>102</v>
      </c>
      <c r="B54" s="13">
        <f>(B24*2-B$23)*(1+B$44)^8*B$48/(1+Assumptions!B$4-B$14/B$2)^10</f>
        <v>275.54997071479164</v>
      </c>
      <c r="C54" s="1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4535-375B-4E23-9263-1ACB5F1FCCB0}">
  <dimension ref="A1:K54"/>
  <sheetViews>
    <sheetView topLeftCell="A9" workbookViewId="0">
      <selection activeCell="J27" sqref="J27"/>
    </sheetView>
  </sheetViews>
  <sheetFormatPr defaultColWidth="8.88671875" defaultRowHeight="14.4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ht="15" x14ac:dyDescent="0.35">
      <c r="A1" s="8" t="s">
        <v>68</v>
      </c>
      <c r="B1" s="2" t="s">
        <v>182</v>
      </c>
      <c r="I1" s="1" t="s">
        <v>118</v>
      </c>
      <c r="J1" s="1" t="str">
        <f>B1</f>
        <v>AMZN</v>
      </c>
      <c r="K1" s="1" t="s">
        <v>182</v>
      </c>
    </row>
    <row r="2" spans="1:11" ht="15" x14ac:dyDescent="0.35">
      <c r="A2" s="8" t="s">
        <v>84</v>
      </c>
      <c r="B2" s="2">
        <v>196</v>
      </c>
      <c r="I2" s="1" t="s">
        <v>119</v>
      </c>
      <c r="J2" s="1">
        <f>B2</f>
        <v>196</v>
      </c>
      <c r="K2" s="1">
        <v>196</v>
      </c>
    </row>
    <row r="3" spans="1:11" ht="15" x14ac:dyDescent="0.35">
      <c r="I3" s="1" t="s">
        <v>167</v>
      </c>
      <c r="J3" s="35">
        <f>B28</f>
        <v>0.1797</v>
      </c>
      <c r="K3" s="1">
        <v>0.1797</v>
      </c>
    </row>
    <row r="4" spans="1:11" ht="15" x14ac:dyDescent="0.35">
      <c r="A4" s="8" t="s">
        <v>67</v>
      </c>
      <c r="I4" s="1" t="s">
        <v>120</v>
      </c>
      <c r="J4" s="1">
        <f>B18</f>
        <v>2.9</v>
      </c>
      <c r="K4" s="1">
        <v>2.9</v>
      </c>
    </row>
    <row r="5" spans="1:11" ht="15" x14ac:dyDescent="0.35">
      <c r="B5" s="1" t="s">
        <v>56</v>
      </c>
      <c r="I5" s="1" t="s">
        <v>121</v>
      </c>
      <c r="J5" s="1">
        <f t="shared" ref="J5:J10" si="0">B19</f>
        <v>4.42</v>
      </c>
      <c r="K5" s="1">
        <v>4.42</v>
      </c>
    </row>
    <row r="6" spans="1:11" ht="15" x14ac:dyDescent="0.35">
      <c r="A6" s="9" t="s">
        <v>41</v>
      </c>
      <c r="B6" s="11">
        <v>30425</v>
      </c>
      <c r="C6" s="1" t="s">
        <v>40</v>
      </c>
      <c r="I6" s="1" t="s">
        <v>122</v>
      </c>
      <c r="J6" s="1">
        <f t="shared" si="0"/>
        <v>4.99</v>
      </c>
      <c r="K6" s="1">
        <v>4.99</v>
      </c>
    </row>
    <row r="7" spans="1:11" ht="15" x14ac:dyDescent="0.35">
      <c r="A7" s="9" t="s">
        <v>37</v>
      </c>
      <c r="B7" s="11">
        <v>36852</v>
      </c>
      <c r="C7" s="1" t="s">
        <v>40</v>
      </c>
      <c r="I7" s="1" t="s">
        <v>123</v>
      </c>
      <c r="J7" s="1">
        <f t="shared" si="0"/>
        <v>5.49</v>
      </c>
      <c r="K7" s="1">
        <v>5.49</v>
      </c>
    </row>
    <row r="8" spans="1:11" ht="15" x14ac:dyDescent="0.35">
      <c r="A8" s="9" t="s">
        <v>42</v>
      </c>
      <c r="B8" s="11">
        <v>93805</v>
      </c>
      <c r="C8" s="1" t="s">
        <v>40</v>
      </c>
      <c r="I8" s="1" t="s">
        <v>124</v>
      </c>
      <c r="J8" s="1">
        <f t="shared" si="0"/>
        <v>4.88</v>
      </c>
      <c r="K8" s="1">
        <v>4.88</v>
      </c>
    </row>
    <row r="9" spans="1:11" ht="15" x14ac:dyDescent="0.35">
      <c r="A9" s="9" t="s">
        <v>43</v>
      </c>
      <c r="B9" s="11">
        <v>574785</v>
      </c>
      <c r="C9" s="1" t="s">
        <v>40</v>
      </c>
      <c r="I9" s="1" t="s">
        <v>125</v>
      </c>
      <c r="J9" s="1">
        <f t="shared" si="0"/>
        <v>5.99</v>
      </c>
      <c r="K9" s="1">
        <v>5.99</v>
      </c>
    </row>
    <row r="10" spans="1:11" ht="15" x14ac:dyDescent="0.35">
      <c r="A10" s="9" t="s">
        <v>44</v>
      </c>
      <c r="B10" s="12">
        <v>10492</v>
      </c>
      <c r="C10" s="1" t="s">
        <v>40</v>
      </c>
      <c r="I10" s="1" t="s">
        <v>126</v>
      </c>
      <c r="J10" s="1">
        <f t="shared" si="0"/>
        <v>6.86</v>
      </c>
      <c r="K10" s="1">
        <v>6.86</v>
      </c>
    </row>
    <row r="11" spans="1:11" ht="15" x14ac:dyDescent="0.35">
      <c r="A11" s="9" t="s">
        <v>38</v>
      </c>
      <c r="B11" s="11">
        <v>527854</v>
      </c>
      <c r="C11" s="1" t="s">
        <v>40</v>
      </c>
      <c r="I11" s="1" t="s">
        <v>127</v>
      </c>
      <c r="J11" s="26">
        <f>B44*100</f>
        <v>19.535703238934886</v>
      </c>
      <c r="K11" s="1">
        <v>19.535703238934886</v>
      </c>
    </row>
    <row r="12" spans="1:11" ht="15" x14ac:dyDescent="0.35">
      <c r="A12" s="9" t="s">
        <v>39</v>
      </c>
      <c r="B12" s="11">
        <v>201875</v>
      </c>
      <c r="C12" s="1" t="s">
        <v>40</v>
      </c>
      <c r="I12" s="1" t="s">
        <v>128</v>
      </c>
      <c r="J12" s="26">
        <f>100+B45*100</f>
        <v>122.53560371517028</v>
      </c>
      <c r="K12" s="1">
        <v>122.53560371517028</v>
      </c>
    </row>
    <row r="13" spans="1:11" ht="15" x14ac:dyDescent="0.35">
      <c r="A13" s="9" t="s">
        <v>45</v>
      </c>
      <c r="B13" s="11">
        <v>325979</v>
      </c>
      <c r="C13" s="1" t="s">
        <v>40</v>
      </c>
      <c r="I13" s="1" t="s">
        <v>129</v>
      </c>
      <c r="J13" s="1">
        <f>130+IF(B39&gt;1,-20)+IF(B39&lt;-1,20)</f>
        <v>130</v>
      </c>
      <c r="K13" s="1">
        <v>130</v>
      </c>
    </row>
    <row r="14" spans="1:11" ht="15" x14ac:dyDescent="0.35">
      <c r="A14" s="8" t="s">
        <v>46</v>
      </c>
      <c r="B14" s="2">
        <v>0</v>
      </c>
      <c r="C14" s="1" t="s">
        <v>47</v>
      </c>
      <c r="I14" s="1" t="s">
        <v>130</v>
      </c>
      <c r="J14" s="1">
        <f>MAX(J12:J13)*2</f>
        <v>260</v>
      </c>
      <c r="K14" s="1">
        <v>260</v>
      </c>
    </row>
    <row r="15" spans="1:11" ht="15" x14ac:dyDescent="0.35">
      <c r="I15" s="1" t="s">
        <v>131</v>
      </c>
      <c r="J15" s="26">
        <f>B14/B2*100</f>
        <v>0</v>
      </c>
      <c r="K15" s="1">
        <v>0</v>
      </c>
    </row>
    <row r="16" spans="1:11" ht="15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ht="15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22.535603715170279</v>
      </c>
      <c r="K17" s="1">
        <v>22.535603715170279</v>
      </c>
    </row>
    <row r="18" spans="1:11" ht="15" x14ac:dyDescent="0.35">
      <c r="A18" s="8" t="s">
        <v>48</v>
      </c>
      <c r="B18" s="7">
        <v>2.9</v>
      </c>
      <c r="C18" s="1" t="s">
        <v>47</v>
      </c>
      <c r="D18" s="7">
        <v>575</v>
      </c>
      <c r="E18" s="1" t="s">
        <v>91</v>
      </c>
      <c r="F18" s="3"/>
      <c r="I18" s="1" t="s">
        <v>134</v>
      </c>
      <c r="J18" s="26">
        <f>B48</f>
        <v>31.976690937399827</v>
      </c>
      <c r="K18" s="1">
        <v>31.976690937399827</v>
      </c>
    </row>
    <row r="19" spans="1:11" ht="15" x14ac:dyDescent="0.35">
      <c r="A19" s="8" t="s">
        <v>49</v>
      </c>
      <c r="B19" s="7">
        <v>4.42</v>
      </c>
      <c r="C19" s="1" t="s">
        <v>47</v>
      </c>
      <c r="D19" s="7">
        <v>630</v>
      </c>
      <c r="E19" s="1" t="s">
        <v>91</v>
      </c>
      <c r="F19" s="43"/>
      <c r="I19" s="1" t="s">
        <v>88</v>
      </c>
      <c r="J19" s="26">
        <f>B52</f>
        <v>193.74439400823479</v>
      </c>
      <c r="K19" s="1">
        <v>193.74439400823479</v>
      </c>
    </row>
    <row r="20" spans="1:11" ht="15" x14ac:dyDescent="0.35">
      <c r="A20" s="8" t="s">
        <v>53</v>
      </c>
      <c r="B20" s="7">
        <v>4.99</v>
      </c>
      <c r="C20" s="1" t="s">
        <v>47</v>
      </c>
      <c r="D20" s="7">
        <v>637</v>
      </c>
      <c r="E20" s="1" t="s">
        <v>91</v>
      </c>
      <c r="F20" s="43"/>
      <c r="I20" s="1" t="s">
        <v>168</v>
      </c>
      <c r="J20" s="26">
        <f>B53</f>
        <v>307.83260480353488</v>
      </c>
      <c r="K20" s="1">
        <v>307.83260480353488</v>
      </c>
    </row>
    <row r="21" spans="1:11" ht="15" x14ac:dyDescent="0.35">
      <c r="A21" s="8" t="s">
        <v>54</v>
      </c>
      <c r="B21" s="7">
        <v>5.49</v>
      </c>
      <c r="C21" s="1" t="s">
        <v>47</v>
      </c>
      <c r="D21" s="7">
        <v>644</v>
      </c>
      <c r="E21" s="1" t="s">
        <v>91</v>
      </c>
      <c r="F21" s="43"/>
    </row>
    <row r="22" spans="1:11" ht="15" x14ac:dyDescent="0.35">
      <c r="A22" s="8" t="s">
        <v>52</v>
      </c>
      <c r="B22" s="7">
        <v>4.88</v>
      </c>
      <c r="C22" s="1" t="s">
        <v>47</v>
      </c>
      <c r="D22" s="7">
        <v>687</v>
      </c>
      <c r="E22" s="1" t="s">
        <v>91</v>
      </c>
      <c r="F22" s="43"/>
    </row>
    <row r="23" spans="1:11" ht="15" x14ac:dyDescent="0.35">
      <c r="A23" s="8" t="s">
        <v>51</v>
      </c>
      <c r="B23" s="7">
        <v>5.99</v>
      </c>
      <c r="C23" s="1" t="s">
        <v>47</v>
      </c>
      <c r="D23" s="7">
        <v>705</v>
      </c>
      <c r="E23" s="1" t="s">
        <v>91</v>
      </c>
      <c r="F23" s="43"/>
    </row>
    <row r="24" spans="1:11" ht="15" x14ac:dyDescent="0.35">
      <c r="A24" s="8" t="s">
        <v>50</v>
      </c>
      <c r="B24" s="7">
        <v>6.86</v>
      </c>
      <c r="C24" s="1" t="s">
        <v>47</v>
      </c>
      <c r="D24" s="7">
        <v>720</v>
      </c>
      <c r="E24" s="1" t="s">
        <v>91</v>
      </c>
      <c r="F24" s="43"/>
    </row>
    <row r="26" spans="1:11" ht="15" x14ac:dyDescent="0.35">
      <c r="A26" s="8" t="s">
        <v>65</v>
      </c>
    </row>
    <row r="27" spans="1:11" ht="15" x14ac:dyDescent="0.35">
      <c r="B27" s="2" t="s">
        <v>69</v>
      </c>
    </row>
    <row r="28" spans="1:11" ht="15" x14ac:dyDescent="0.35">
      <c r="A28" s="8" t="s">
        <v>57</v>
      </c>
      <c r="B28" s="5">
        <v>0.1797</v>
      </c>
    </row>
    <row r="29" spans="1:11" ht="15" x14ac:dyDescent="0.35">
      <c r="A29" s="8" t="s">
        <v>58</v>
      </c>
      <c r="B29" s="5">
        <v>0.32900000000000001</v>
      </c>
    </row>
    <row r="30" spans="1:11" ht="15" x14ac:dyDescent="0.35">
      <c r="A30" s="8" t="s">
        <v>59</v>
      </c>
      <c r="B30" s="5">
        <v>0.72099999999999997</v>
      </c>
    </row>
    <row r="31" spans="1:11" ht="15" x14ac:dyDescent="0.35">
      <c r="A31" s="8" t="s">
        <v>94</v>
      </c>
      <c r="B31" s="5">
        <v>0.2</v>
      </c>
    </row>
    <row r="32" spans="1:11" ht="15" x14ac:dyDescent="0.35">
      <c r="B32" s="2"/>
    </row>
    <row r="33" spans="1:3" ht="15" x14ac:dyDescent="0.35">
      <c r="A33" s="8" t="s">
        <v>64</v>
      </c>
      <c r="B33" s="2"/>
    </row>
    <row r="34" spans="1:3" ht="15" x14ac:dyDescent="0.35">
      <c r="B34" s="2" t="s">
        <v>69</v>
      </c>
    </row>
    <row r="35" spans="1:3" ht="15" x14ac:dyDescent="0.35">
      <c r="A35" s="8" t="s">
        <v>62</v>
      </c>
      <c r="B35" s="4">
        <f>B6/B12</f>
        <v>0.15071207430340558</v>
      </c>
      <c r="C35" s="1" t="s">
        <v>72</v>
      </c>
    </row>
    <row r="36" spans="1:3" ht="15" x14ac:dyDescent="0.35">
      <c r="A36" s="8" t="s">
        <v>70</v>
      </c>
      <c r="B36" s="4">
        <f>B7/B11</f>
        <v>6.9814759384223671E-2</v>
      </c>
      <c r="C36" s="1" t="s">
        <v>73</v>
      </c>
    </row>
    <row r="37" spans="1:3" ht="15" x14ac:dyDescent="0.35">
      <c r="A37" s="8" t="s">
        <v>82</v>
      </c>
      <c r="B37" s="4">
        <f>(B45*B12+B13*Assumptions!B3)/B11</f>
        <v>0.11706399875723211</v>
      </c>
      <c r="C37" s="1" t="s">
        <v>83</v>
      </c>
    </row>
    <row r="38" spans="1:3" ht="15" x14ac:dyDescent="0.35">
      <c r="A38" s="8" t="s">
        <v>71</v>
      </c>
      <c r="B38" s="4">
        <f>(B23-B22)/B23</f>
        <v>0.18530884808013359</v>
      </c>
      <c r="C38" s="1" t="s">
        <v>74</v>
      </c>
    </row>
    <row r="39" spans="1:3" ht="15" x14ac:dyDescent="0.35">
      <c r="A39" s="8" t="s">
        <v>63</v>
      </c>
      <c r="B39" s="28">
        <f>(B36-Assumptions!$B$3)/B36/B38/Assumptions!B5</f>
        <v>0.40634289766610548</v>
      </c>
      <c r="C39" s="1" t="s">
        <v>75</v>
      </c>
    </row>
    <row r="40" spans="1:3" ht="15" x14ac:dyDescent="0.35">
      <c r="A40" s="8" t="s">
        <v>76</v>
      </c>
      <c r="B40" s="21">
        <f>Assumptions!D22</f>
        <v>0.12</v>
      </c>
    </row>
    <row r="41" spans="1:3" ht="15" x14ac:dyDescent="0.35">
      <c r="A41" s="8" t="s">
        <v>79</v>
      </c>
      <c r="B41" s="20">
        <f>(D23/D18)^0.5-1</f>
        <v>0.10728810908531794</v>
      </c>
    </row>
    <row r="42" spans="1:3" ht="15" x14ac:dyDescent="0.35">
      <c r="A42" s="8" t="s">
        <v>80</v>
      </c>
      <c r="B42" s="20">
        <f>(B35-B41)/B48</f>
        <v>1.3579880827286955E-3</v>
      </c>
    </row>
    <row r="43" spans="1:3" ht="15" x14ac:dyDescent="0.35">
      <c r="A43" s="8" t="s">
        <v>77</v>
      </c>
      <c r="B43" s="19">
        <f>AVERAGE(B28:B31)</f>
        <v>0.35742499999999999</v>
      </c>
    </row>
    <row r="44" spans="1:3" ht="15" x14ac:dyDescent="0.35">
      <c r="A44" s="8" t="s">
        <v>78</v>
      </c>
      <c r="B44" s="18">
        <f>SUM(B40:B43)/3</f>
        <v>0.19535703238934887</v>
      </c>
    </row>
    <row r="45" spans="1:3" ht="15" x14ac:dyDescent="0.35">
      <c r="A45" s="8" t="s">
        <v>81</v>
      </c>
      <c r="B45" s="16">
        <f>(B35+0.3)/2</f>
        <v>0.22535603715170277</v>
      </c>
      <c r="C45" s="1" t="s">
        <v>103</v>
      </c>
    </row>
    <row r="46" spans="1:3" ht="15" x14ac:dyDescent="0.35">
      <c r="A46" s="8" t="s">
        <v>61</v>
      </c>
      <c r="B46" s="4">
        <f>Assumptions!E22</f>
        <v>0.06</v>
      </c>
    </row>
    <row r="47" spans="1:3" ht="15" x14ac:dyDescent="0.35">
      <c r="A47" s="8" t="s">
        <v>60</v>
      </c>
      <c r="B47" s="13">
        <f>(B45-B46)/(Assumptions!B4-B46)/B45</f>
        <v>18.343865915647751</v>
      </c>
    </row>
    <row r="48" spans="1:3" ht="15" x14ac:dyDescent="0.35">
      <c r="A48" s="8" t="s">
        <v>85</v>
      </c>
      <c r="B48" s="13">
        <f>(B2/B18+10+B47)/3</f>
        <v>31.976690937399827</v>
      </c>
    </row>
    <row r="50" spans="1:3" ht="15" x14ac:dyDescent="0.35">
      <c r="A50" s="8" t="s">
        <v>86</v>
      </c>
    </row>
    <row r="51" spans="1:3" ht="15" x14ac:dyDescent="0.35">
      <c r="B51" s="2" t="s">
        <v>69</v>
      </c>
      <c r="C51" s="2"/>
    </row>
    <row r="52" spans="1:3" ht="15" x14ac:dyDescent="0.35">
      <c r="A52" s="8" t="s">
        <v>88</v>
      </c>
      <c r="B52" s="13">
        <f>(B22*2-B$23)*(1+B$44)^8*B$48/(1+Assumptions!B$4-B$14/B$2)^10</f>
        <v>193.74439400823479</v>
      </c>
      <c r="C52" s="13"/>
    </row>
    <row r="53" spans="1:3" ht="15" x14ac:dyDescent="0.35">
      <c r="A53" s="8" t="s">
        <v>87</v>
      </c>
      <c r="B53" s="13">
        <f>(B23*2-B$23)*(1+B$44)^8*B$48/(1+Assumptions!B$4-B$14/B$2)^10</f>
        <v>307.83260480353488</v>
      </c>
      <c r="C53" s="13"/>
    </row>
    <row r="54" spans="1:3" ht="15" x14ac:dyDescent="0.35">
      <c r="A54" s="8" t="s">
        <v>102</v>
      </c>
      <c r="B54" s="13">
        <f>(B24*2-B$23)*(1+B$44)^8*B$48/(1+Assumptions!B$4-B$14/B$2)^10</f>
        <v>397.25309434579714</v>
      </c>
      <c r="C54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8474-3774-4D97-A8F6-4B346D999F29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105</v>
      </c>
      <c r="I1" s="1" t="s">
        <v>118</v>
      </c>
      <c r="J1" s="1" t="str">
        <f>B1</f>
        <v>AAPL</v>
      </c>
      <c r="K1" s="1" t="s">
        <v>105</v>
      </c>
    </row>
    <row r="2" spans="1:11" x14ac:dyDescent="0.35">
      <c r="A2" s="8" t="s">
        <v>84</v>
      </c>
      <c r="B2" s="2">
        <v>230</v>
      </c>
      <c r="I2" s="1" t="s">
        <v>119</v>
      </c>
      <c r="J2" s="1">
        <f>B2</f>
        <v>230</v>
      </c>
      <c r="K2" s="1">
        <v>230</v>
      </c>
    </row>
    <row r="3" spans="1:11" x14ac:dyDescent="0.35">
      <c r="I3" s="1" t="s">
        <v>167</v>
      </c>
      <c r="J3" s="35">
        <f>B28</f>
        <v>0.2</v>
      </c>
      <c r="K3" s="1">
        <v>0.2</v>
      </c>
    </row>
    <row r="4" spans="1:11" x14ac:dyDescent="0.35">
      <c r="A4" s="8" t="s">
        <v>67</v>
      </c>
      <c r="I4" s="1" t="s">
        <v>120</v>
      </c>
      <c r="J4" s="1">
        <f>B18</f>
        <v>5.73</v>
      </c>
      <c r="K4" s="1">
        <v>5.73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6.46</v>
      </c>
      <c r="K5" s="1">
        <v>6.46</v>
      </c>
    </row>
    <row r="6" spans="1:11" x14ac:dyDescent="0.35">
      <c r="A6" s="9" t="s">
        <v>41</v>
      </c>
      <c r="B6" s="11">
        <v>96995</v>
      </c>
      <c r="C6" s="1" t="s">
        <v>40</v>
      </c>
      <c r="D6" s="6"/>
      <c r="I6" s="1" t="s">
        <v>122</v>
      </c>
      <c r="J6" s="1">
        <f t="shared" si="0"/>
        <v>6.59</v>
      </c>
      <c r="K6" s="1">
        <v>6.59</v>
      </c>
    </row>
    <row r="7" spans="1:11" x14ac:dyDescent="0.35">
      <c r="A7" s="9" t="s">
        <v>37</v>
      </c>
      <c r="B7" s="11">
        <v>114301</v>
      </c>
      <c r="C7" s="1" t="s">
        <v>40</v>
      </c>
      <c r="D7" s="6"/>
      <c r="I7" s="1" t="s">
        <v>123</v>
      </c>
      <c r="J7" s="1">
        <f t="shared" si="0"/>
        <v>6.92</v>
      </c>
      <c r="K7" s="1">
        <v>6.92</v>
      </c>
    </row>
    <row r="8" spans="1:11" x14ac:dyDescent="0.35">
      <c r="A8" s="9" t="s">
        <v>42</v>
      </c>
      <c r="B8" s="11">
        <v>169148</v>
      </c>
      <c r="C8" s="1" t="s">
        <v>40</v>
      </c>
      <c r="D8" s="6"/>
      <c r="I8" s="1" t="s">
        <v>124</v>
      </c>
      <c r="J8" s="1">
        <f t="shared" si="0"/>
        <v>6.4</v>
      </c>
      <c r="K8" s="1">
        <v>6.4</v>
      </c>
    </row>
    <row r="9" spans="1:11" x14ac:dyDescent="0.35">
      <c r="A9" s="9" t="s">
        <v>43</v>
      </c>
      <c r="B9" s="11">
        <v>383285</v>
      </c>
      <c r="C9" s="1" t="s">
        <v>40</v>
      </c>
      <c r="D9" s="6"/>
      <c r="I9" s="1" t="s">
        <v>125</v>
      </c>
      <c r="J9" s="1">
        <f t="shared" si="0"/>
        <v>7.29</v>
      </c>
      <c r="K9" s="1">
        <v>7.29</v>
      </c>
    </row>
    <row r="10" spans="1:11" x14ac:dyDescent="0.35">
      <c r="A10" s="9" t="s">
        <v>44</v>
      </c>
      <c r="B10" s="12">
        <v>15813</v>
      </c>
      <c r="C10" s="1" t="s">
        <v>40</v>
      </c>
      <c r="D10" s="15"/>
      <c r="I10" s="1" t="s">
        <v>126</v>
      </c>
      <c r="J10" s="1">
        <f t="shared" si="0"/>
        <v>8.1</v>
      </c>
      <c r="K10" s="1">
        <v>8.1</v>
      </c>
    </row>
    <row r="11" spans="1:11" x14ac:dyDescent="0.35">
      <c r="A11" s="9" t="s">
        <v>38</v>
      </c>
      <c r="B11" s="11">
        <v>352583</v>
      </c>
      <c r="C11" s="1" t="s">
        <v>40</v>
      </c>
      <c r="D11" s="6"/>
      <c r="I11" s="1" t="s">
        <v>127</v>
      </c>
      <c r="J11" s="26">
        <f>B44*100</f>
        <v>13.473236187294471</v>
      </c>
      <c r="K11" s="1">
        <v>13.473236187294471</v>
      </c>
    </row>
    <row r="12" spans="1:11" x14ac:dyDescent="0.35">
      <c r="A12" s="9" t="s">
        <v>39</v>
      </c>
      <c r="B12" s="11">
        <v>62146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290437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1</v>
      </c>
      <c r="C14" s="1" t="s">
        <v>47</v>
      </c>
      <c r="D14" s="6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0.43478260869565216</v>
      </c>
      <c r="K15" s="1">
        <v>0.43478260869565216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5.73</v>
      </c>
      <c r="C18" s="1" t="s">
        <v>47</v>
      </c>
      <c r="D18" s="14">
        <v>358.03</v>
      </c>
      <c r="E18" s="1" t="s">
        <v>91</v>
      </c>
      <c r="F18" s="3"/>
      <c r="H18" s="6"/>
      <c r="I18" s="1" t="s">
        <v>134</v>
      </c>
      <c r="J18" s="26">
        <f>B48</f>
        <v>23.379872018615472</v>
      </c>
      <c r="K18" s="1">
        <v>23.379872018615472</v>
      </c>
    </row>
    <row r="19" spans="1:11" x14ac:dyDescent="0.35">
      <c r="A19" s="8" t="s">
        <v>49</v>
      </c>
      <c r="B19" s="7">
        <v>6.46</v>
      </c>
      <c r="C19" s="1" t="s">
        <v>47</v>
      </c>
      <c r="D19" s="14">
        <v>382.01</v>
      </c>
      <c r="E19" s="1" t="s">
        <v>91</v>
      </c>
      <c r="F19" s="43"/>
      <c r="H19" s="6"/>
      <c r="I19" s="1" t="s">
        <v>88</v>
      </c>
      <c r="J19" s="26">
        <f>B52</f>
        <v>142.04115907202251</v>
      </c>
      <c r="K19" s="1">
        <v>142.04115907202251</v>
      </c>
    </row>
    <row r="20" spans="1:11" x14ac:dyDescent="0.35">
      <c r="A20" s="8" t="s">
        <v>53</v>
      </c>
      <c r="B20" s="7">
        <v>6.59</v>
      </c>
      <c r="C20" s="1" t="s">
        <v>47</v>
      </c>
      <c r="D20" s="14">
        <v>386.98</v>
      </c>
      <c r="E20" s="1" t="s">
        <v>91</v>
      </c>
      <c r="F20" s="43"/>
      <c r="H20" s="6"/>
      <c r="I20" s="1" t="s">
        <v>168</v>
      </c>
      <c r="J20" s="26">
        <f>B53</f>
        <v>187.92741372686822</v>
      </c>
      <c r="K20" s="1">
        <v>187.92741372686822</v>
      </c>
    </row>
    <row r="21" spans="1:11" x14ac:dyDescent="0.35">
      <c r="A21" s="8" t="s">
        <v>54</v>
      </c>
      <c r="B21" s="7">
        <v>6.92</v>
      </c>
      <c r="C21" s="1" t="s">
        <v>47</v>
      </c>
      <c r="D21" s="14">
        <v>393.73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6.4</v>
      </c>
      <c r="C22" s="1" t="s">
        <v>47</v>
      </c>
      <c r="D22" s="14">
        <v>382.08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7.29</v>
      </c>
      <c r="C23" s="1" t="s">
        <v>47</v>
      </c>
      <c r="D23" s="14">
        <v>414.27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8.1</v>
      </c>
      <c r="C24" s="1" t="s">
        <v>47</v>
      </c>
      <c r="D24" s="14">
        <v>442.97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</v>
      </c>
    </row>
    <row r="29" spans="1:11" x14ac:dyDescent="0.35">
      <c r="A29" s="8" t="s">
        <v>58</v>
      </c>
      <c r="B29" s="5">
        <v>0.1</v>
      </c>
    </row>
    <row r="30" spans="1:11" x14ac:dyDescent="0.35">
      <c r="A30" s="8" t="s">
        <v>59</v>
      </c>
      <c r="B30" s="5">
        <v>0.16</v>
      </c>
    </row>
    <row r="31" spans="1:11" x14ac:dyDescent="0.35">
      <c r="A31" s="8" t="s">
        <v>94</v>
      </c>
      <c r="B31" s="5">
        <v>0.12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1.5607601454639075</v>
      </c>
      <c r="C35" s="1" t="s">
        <v>72</v>
      </c>
    </row>
    <row r="36" spans="1:3" x14ac:dyDescent="0.35">
      <c r="A36" s="8" t="s">
        <v>70</v>
      </c>
      <c r="B36" s="4">
        <f>B7/B11</f>
        <v>0.32418182385424144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9.4064801762989148E-2</v>
      </c>
      <c r="C37" s="1" t="s">
        <v>83</v>
      </c>
    </row>
    <row r="38" spans="1:3" x14ac:dyDescent="0.35">
      <c r="A38" s="8" t="s">
        <v>71</v>
      </c>
      <c r="B38" s="4">
        <f>(B23-B22)/B23</f>
        <v>0.12208504801097389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1.8379546600208843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7.5677372071651039E-2</v>
      </c>
    </row>
    <row r="42" spans="1:3" x14ac:dyDescent="0.35">
      <c r="A42" s="8" t="s">
        <v>80</v>
      </c>
      <c r="B42" s="20">
        <f>(B35-B41)/B48</f>
        <v>6.351971354718311E-2</v>
      </c>
    </row>
    <row r="43" spans="1:3" x14ac:dyDescent="0.35">
      <c r="A43" s="8" t="s">
        <v>77</v>
      </c>
      <c r="B43" s="19">
        <f>AVERAGE(B28:B31)</f>
        <v>0.14500000000000002</v>
      </c>
    </row>
    <row r="44" spans="1:3" x14ac:dyDescent="0.35">
      <c r="A44" s="8" t="s">
        <v>78</v>
      </c>
      <c r="B44" s="18">
        <f>SUM(B40:B43)/3</f>
        <v>0.13473236187294471</v>
      </c>
    </row>
    <row r="45" spans="1:3" x14ac:dyDescent="0.35">
      <c r="A45" s="8" t="s">
        <v>81</v>
      </c>
      <c r="B45" s="16">
        <v>0.3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23.379872018615472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142.04115907202251</v>
      </c>
      <c r="C52" s="13"/>
    </row>
    <row r="53" spans="1:3" x14ac:dyDescent="0.35">
      <c r="A53" s="8" t="s">
        <v>87</v>
      </c>
      <c r="B53" s="13">
        <f>(B23*2-B$23)*(1+B$44)^8*B$48/(1+Assumptions!B$4-B$14/B$2)^10</f>
        <v>187.92741372686822</v>
      </c>
      <c r="C53" s="13"/>
    </row>
    <row r="54" spans="1:3" x14ac:dyDescent="0.35">
      <c r="A54" s="8" t="s">
        <v>102</v>
      </c>
      <c r="B54" s="13">
        <f>(B24*2-B$23)*(1+B$44)^8*B$48/(1+Assumptions!B$4-B$14/B$2)^10</f>
        <v>229.6890612217278</v>
      </c>
      <c r="C54" s="1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CE81-E915-4B4F-BBEE-E4E0C256CB2E}">
  <dimension ref="A1:K54"/>
  <sheetViews>
    <sheetView workbookViewId="0">
      <selection activeCell="I1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139</v>
      </c>
      <c r="I1" s="1" t="s">
        <v>118</v>
      </c>
      <c r="J1" s="1" t="str">
        <f>B1</f>
        <v>ENPH</v>
      </c>
      <c r="K1" s="1" t="s">
        <v>139</v>
      </c>
    </row>
    <row r="2" spans="1:11" x14ac:dyDescent="0.35">
      <c r="A2" s="8" t="s">
        <v>84</v>
      </c>
      <c r="B2" s="2">
        <v>85</v>
      </c>
      <c r="I2" s="1" t="s">
        <v>119</v>
      </c>
      <c r="J2" s="1">
        <f>B2</f>
        <v>85</v>
      </c>
      <c r="K2" s="1">
        <v>85</v>
      </c>
    </row>
    <row r="3" spans="1:11" x14ac:dyDescent="0.35">
      <c r="I3" s="1" t="s">
        <v>167</v>
      </c>
      <c r="J3" s="35">
        <f>B28</f>
        <v>0.21</v>
      </c>
      <c r="K3" s="1">
        <v>0.21</v>
      </c>
    </row>
    <row r="4" spans="1:11" x14ac:dyDescent="0.35">
      <c r="A4" s="8" t="s">
        <v>67</v>
      </c>
      <c r="I4" s="1" t="s">
        <v>120</v>
      </c>
      <c r="J4" s="1">
        <f>B18</f>
        <v>4.41</v>
      </c>
      <c r="K4" s="1">
        <v>4.41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0.69</v>
      </c>
      <c r="K5" s="1">
        <v>0.69</v>
      </c>
    </row>
    <row r="6" spans="1:11" x14ac:dyDescent="0.35">
      <c r="A6" s="9" t="s">
        <v>41</v>
      </c>
      <c r="B6" s="11">
        <v>439</v>
      </c>
      <c r="C6" s="1" t="s">
        <v>40</v>
      </c>
      <c r="D6" s="6"/>
      <c r="I6" s="1" t="s">
        <v>122</v>
      </c>
      <c r="J6" s="1">
        <f t="shared" si="0"/>
        <v>2.15</v>
      </c>
      <c r="K6" s="1">
        <v>2.15</v>
      </c>
    </row>
    <row r="7" spans="1:11" x14ac:dyDescent="0.35">
      <c r="A7" s="9" t="s">
        <v>37</v>
      </c>
      <c r="B7" s="11">
        <v>461</v>
      </c>
      <c r="C7" s="1" t="s">
        <v>40</v>
      </c>
      <c r="D7" s="6"/>
      <c r="I7" s="1" t="s">
        <v>123</v>
      </c>
      <c r="J7" s="1">
        <f t="shared" si="0"/>
        <v>2.87</v>
      </c>
      <c r="K7" s="1">
        <v>2.87</v>
      </c>
    </row>
    <row r="8" spans="1:11" x14ac:dyDescent="0.35">
      <c r="A8" s="9" t="s">
        <v>42</v>
      </c>
      <c r="B8" s="11">
        <v>1058</v>
      </c>
      <c r="C8" s="1" t="s">
        <v>40</v>
      </c>
      <c r="D8" s="6"/>
      <c r="I8" s="1" t="s">
        <v>124</v>
      </c>
      <c r="J8" s="1">
        <f t="shared" si="0"/>
        <v>2.5</v>
      </c>
      <c r="K8" s="1">
        <v>2.5</v>
      </c>
    </row>
    <row r="9" spans="1:11" x14ac:dyDescent="0.35">
      <c r="A9" s="9" t="s">
        <v>43</v>
      </c>
      <c r="B9" s="11">
        <v>2291</v>
      </c>
      <c r="C9" s="1" t="s">
        <v>40</v>
      </c>
      <c r="D9" s="6"/>
      <c r="I9" s="1" t="s">
        <v>125</v>
      </c>
      <c r="J9" s="1">
        <f t="shared" si="0"/>
        <v>3.76</v>
      </c>
      <c r="K9" s="1">
        <v>3.76</v>
      </c>
    </row>
    <row r="10" spans="1:11" x14ac:dyDescent="0.35">
      <c r="A10" s="9" t="s">
        <v>44</v>
      </c>
      <c r="B10" s="12">
        <v>143</v>
      </c>
      <c r="C10" s="1" t="s">
        <v>40</v>
      </c>
      <c r="D10" s="6"/>
      <c r="I10" s="1" t="s">
        <v>126</v>
      </c>
      <c r="J10" s="1">
        <f t="shared" si="0"/>
        <v>4.97</v>
      </c>
      <c r="K10" s="1">
        <v>4.97</v>
      </c>
    </row>
    <row r="11" spans="1:11" x14ac:dyDescent="0.35">
      <c r="A11" s="9" t="s">
        <v>38</v>
      </c>
      <c r="B11" s="11">
        <v>3383</v>
      </c>
      <c r="C11" s="1" t="s">
        <v>40</v>
      </c>
      <c r="D11" s="6"/>
      <c r="I11" s="1" t="s">
        <v>127</v>
      </c>
      <c r="J11" s="26">
        <f>B44*100</f>
        <v>11.187599185443338</v>
      </c>
      <c r="K11" s="1">
        <v>11.187599185443338</v>
      </c>
    </row>
    <row r="12" spans="1:11" x14ac:dyDescent="0.35">
      <c r="A12" s="9" t="s">
        <v>39</v>
      </c>
      <c r="B12" s="11">
        <v>984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2399</v>
      </c>
      <c r="C13" s="1" t="s">
        <v>40</v>
      </c>
      <c r="D13" s="6"/>
      <c r="I13" s="1" t="s">
        <v>129</v>
      </c>
      <c r="J13" s="1">
        <f>130+IF(B39&gt;1,-20)+IF(B39&lt;-1,20)</f>
        <v>130</v>
      </c>
      <c r="K13" s="1">
        <v>130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0</v>
      </c>
      <c r="K15" s="1">
        <v>0</v>
      </c>
    </row>
    <row r="16" spans="1:11" x14ac:dyDescent="0.35">
      <c r="A16" s="1" t="s">
        <v>66</v>
      </c>
      <c r="I16" s="1" t="s">
        <v>132</v>
      </c>
      <c r="J16" s="26">
        <f>B46*100</f>
        <v>2.5936328924845542</v>
      </c>
      <c r="K16" s="1">
        <v>2.5936328924845542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4.41</v>
      </c>
      <c r="C18" s="1" t="s">
        <v>47</v>
      </c>
      <c r="D18" s="14">
        <v>2.2999999999999998</v>
      </c>
      <c r="E18" s="1" t="s">
        <v>91</v>
      </c>
      <c r="F18" s="3"/>
      <c r="H18" s="6"/>
      <c r="I18" s="1" t="s">
        <v>134</v>
      </c>
      <c r="J18" s="26">
        <f>B48</f>
        <v>13.869657964157442</v>
      </c>
      <c r="K18" s="1">
        <v>13.869657964157442</v>
      </c>
    </row>
    <row r="19" spans="1:11" x14ac:dyDescent="0.35">
      <c r="A19" s="8" t="s">
        <v>49</v>
      </c>
      <c r="B19" s="7">
        <v>0.69</v>
      </c>
      <c r="C19" s="1" t="s">
        <v>47</v>
      </c>
      <c r="D19" s="14">
        <v>1.3</v>
      </c>
      <c r="E19" s="1" t="s">
        <v>91</v>
      </c>
      <c r="F19" s="43"/>
      <c r="H19" s="6"/>
      <c r="I19" s="1" t="s">
        <v>88</v>
      </c>
      <c r="J19" s="26">
        <f>B52</f>
        <v>15.488573018429982</v>
      </c>
      <c r="K19" s="1">
        <v>15.488573018429982</v>
      </c>
    </row>
    <row r="20" spans="1:11" x14ac:dyDescent="0.35">
      <c r="A20" s="8" t="s">
        <v>53</v>
      </c>
      <c r="B20" s="7">
        <v>2.15</v>
      </c>
      <c r="C20" s="1" t="s">
        <v>47</v>
      </c>
      <c r="D20" s="14">
        <v>1.3</v>
      </c>
      <c r="E20" s="1" t="s">
        <v>91</v>
      </c>
      <c r="F20" s="43"/>
      <c r="H20" s="6"/>
      <c r="I20" s="1" t="s">
        <v>168</v>
      </c>
      <c r="J20" s="26">
        <f>B53</f>
        <v>46.965350442981219</v>
      </c>
      <c r="K20" s="1">
        <v>46.965350442981219</v>
      </c>
    </row>
    <row r="21" spans="1:11" x14ac:dyDescent="0.35">
      <c r="A21" s="8" t="s">
        <v>54</v>
      </c>
      <c r="B21" s="7">
        <v>2.87</v>
      </c>
      <c r="C21" s="1" t="s">
        <v>47</v>
      </c>
      <c r="D21" s="14">
        <v>1.44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2.5</v>
      </c>
      <c r="C22" s="1" t="s">
        <v>47</v>
      </c>
      <c r="D22" s="14">
        <v>1.48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3.76</v>
      </c>
      <c r="C23" s="1" t="s">
        <v>47</v>
      </c>
      <c r="D23" s="14">
        <v>1.79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4.97</v>
      </c>
      <c r="C24" s="1" t="s">
        <v>47</v>
      </c>
      <c r="D24" s="14">
        <v>2.33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0.21</v>
      </c>
    </row>
    <row r="29" spans="1:11" x14ac:dyDescent="0.35">
      <c r="A29" s="8" t="s">
        <v>58</v>
      </c>
      <c r="B29" s="5">
        <v>0.1</v>
      </c>
    </row>
    <row r="30" spans="1:11" x14ac:dyDescent="0.35">
      <c r="A30" s="8" t="s">
        <v>59</v>
      </c>
      <c r="B30" s="5">
        <v>-0.51</v>
      </c>
    </row>
    <row r="31" spans="1:11" x14ac:dyDescent="0.35">
      <c r="A31" s="8" t="s">
        <v>94</v>
      </c>
      <c r="B31" s="5">
        <v>0.75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0.44613821138211385</v>
      </c>
      <c r="C35" s="1" t="s">
        <v>72</v>
      </c>
    </row>
    <row r="36" spans="1:3" x14ac:dyDescent="0.35">
      <c r="A36" s="8" t="s">
        <v>70</v>
      </c>
      <c r="B36" s="4">
        <f>B7/B11</f>
        <v>0.13626958321016849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0.12271652379544783</v>
      </c>
      <c r="C37" s="1" t="s">
        <v>83</v>
      </c>
    </row>
    <row r="38" spans="1:3" x14ac:dyDescent="0.35">
      <c r="A38" s="8" t="s">
        <v>71</v>
      </c>
      <c r="B38" s="4">
        <f>(B23-B22)/B23</f>
        <v>0.33510638297872336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0.50121417433826132</v>
      </c>
      <c r="C39" s="1" t="s">
        <v>75</v>
      </c>
    </row>
    <row r="40" spans="1:3" x14ac:dyDescent="0.35">
      <c r="A40" s="8" t="s">
        <v>76</v>
      </c>
      <c r="B40" s="21">
        <f>Assumptions!D19</f>
        <v>5.8113826656066569E-2</v>
      </c>
    </row>
    <row r="41" spans="1:3" x14ac:dyDescent="0.35">
      <c r="A41" s="8" t="s">
        <v>79</v>
      </c>
      <c r="B41" s="20">
        <f>MIN((D23/D20)-1,B40*2)</f>
        <v>0.11622765331213314</v>
      </c>
    </row>
    <row r="42" spans="1:3" x14ac:dyDescent="0.35">
      <c r="A42" s="8" t="s">
        <v>80</v>
      </c>
      <c r="B42" s="20">
        <f>(B35-B41)/B48</f>
        <v>2.3786495595100439E-2</v>
      </c>
    </row>
    <row r="43" spans="1:3" x14ac:dyDescent="0.35">
      <c r="A43" s="8" t="s">
        <v>77</v>
      </c>
      <c r="B43" s="19">
        <f>MIN(AVERAGE(B28:B31),0.3)</f>
        <v>0.13750000000000001</v>
      </c>
    </row>
    <row r="44" spans="1:3" x14ac:dyDescent="0.35">
      <c r="A44" s="8" t="s">
        <v>78</v>
      </c>
      <c r="B44" s="18">
        <f>SUM(B40:B43)/3</f>
        <v>0.11187599185443338</v>
      </c>
    </row>
    <row r="45" spans="1:3" x14ac:dyDescent="0.35">
      <c r="A45" s="8" t="s">
        <v>81</v>
      </c>
      <c r="B45" s="5">
        <f>0.3</f>
        <v>0.3</v>
      </c>
      <c r="C45" s="1" t="s">
        <v>104</v>
      </c>
    </row>
    <row r="46" spans="1:3" x14ac:dyDescent="0.35">
      <c r="A46" s="8" t="s">
        <v>61</v>
      </c>
      <c r="B46" s="4">
        <f>Assumptions!E19</f>
        <v>2.5936328924845542E-2</v>
      </c>
    </row>
    <row r="47" spans="1:3" x14ac:dyDescent="0.35">
      <c r="A47" s="8" t="s">
        <v>60</v>
      </c>
      <c r="B47" s="13">
        <f>(B45-B46)/(Assumptions!B4-B46)/B45</f>
        <v>12.33459747523877</v>
      </c>
    </row>
    <row r="48" spans="1:3" x14ac:dyDescent="0.35">
      <c r="A48" s="8" t="s">
        <v>85</v>
      </c>
      <c r="B48" s="13">
        <f>(B2/B18+10+B47)/3</f>
        <v>13.869657964157442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15.488573018429982</v>
      </c>
      <c r="C52" s="13"/>
    </row>
    <row r="53" spans="1:3" x14ac:dyDescent="0.35">
      <c r="A53" s="8" t="s">
        <v>87</v>
      </c>
      <c r="B53" s="13">
        <f>(B23*2-B$23)*(1+B$44)^8*B$48/(1+Assumptions!B$4-B$14/B$2)^10</f>
        <v>46.965350442981219</v>
      </c>
      <c r="C53" s="13"/>
    </row>
    <row r="54" spans="1:3" x14ac:dyDescent="0.35">
      <c r="A54" s="8" t="s">
        <v>102</v>
      </c>
      <c r="B54" s="13">
        <f>(B24*2-B$23)*(1+B$44)^8*B$48/(1+Assumptions!B$4-B$14/B$2)^10</f>
        <v>77.19304939830424</v>
      </c>
      <c r="C54" s="1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46FD-F428-4B8B-BBC3-8F591C00D2B5}">
  <dimension ref="A1:K61"/>
  <sheetViews>
    <sheetView zoomScale="90" zoomScaleNormal="90" workbookViewId="0">
      <selection activeCell="J20" sqref="I1:J2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117</v>
      </c>
      <c r="I1" s="1" t="s">
        <v>118</v>
      </c>
      <c r="J1" s="1" t="str">
        <f>B1</f>
        <v>PFE</v>
      </c>
      <c r="K1" s="1" t="s">
        <v>117</v>
      </c>
    </row>
    <row r="2" spans="1:11" x14ac:dyDescent="0.35">
      <c r="A2" s="8" t="s">
        <v>84</v>
      </c>
      <c r="B2" s="2">
        <v>29</v>
      </c>
      <c r="I2" s="1" t="s">
        <v>119</v>
      </c>
      <c r="J2" s="1">
        <f>B2</f>
        <v>29</v>
      </c>
      <c r="K2" s="1">
        <v>29</v>
      </c>
    </row>
    <row r="3" spans="1:11" x14ac:dyDescent="0.35">
      <c r="I3" s="1" t="s">
        <v>167</v>
      </c>
      <c r="J3" s="35">
        <f>B28</f>
        <v>0.03</v>
      </c>
      <c r="K3" s="1">
        <v>0.03</v>
      </c>
    </row>
    <row r="4" spans="1:11" x14ac:dyDescent="0.35">
      <c r="A4" s="8" t="s">
        <v>67</v>
      </c>
      <c r="I4" s="1" t="s">
        <v>120</v>
      </c>
      <c r="J4" s="1">
        <f>B18</f>
        <v>1.84</v>
      </c>
      <c r="K4" s="1">
        <v>1.84</v>
      </c>
    </row>
    <row r="5" spans="1:11" x14ac:dyDescent="0.35">
      <c r="B5" s="1" t="s">
        <v>56</v>
      </c>
      <c r="I5" s="1" t="s">
        <v>121</v>
      </c>
      <c r="J5" s="1">
        <f t="shared" ref="J5:J10" si="0">B19</f>
        <v>2.15</v>
      </c>
      <c r="K5" s="1">
        <v>2.15</v>
      </c>
    </row>
    <row r="6" spans="1:11" x14ac:dyDescent="0.35">
      <c r="A6" s="9" t="s">
        <v>41</v>
      </c>
      <c r="B6" s="11">
        <v>2119</v>
      </c>
      <c r="C6" s="1" t="s">
        <v>40</v>
      </c>
      <c r="D6" s="6"/>
      <c r="I6" s="1" t="s">
        <v>122</v>
      </c>
      <c r="J6" s="1">
        <f t="shared" si="0"/>
        <v>2.35</v>
      </c>
      <c r="K6" s="1">
        <v>2.35</v>
      </c>
    </row>
    <row r="7" spans="1:11" x14ac:dyDescent="0.35">
      <c r="A7" s="9" t="s">
        <v>37</v>
      </c>
      <c r="B7" s="11">
        <v>3359</v>
      </c>
      <c r="C7" s="1" t="s">
        <v>40</v>
      </c>
      <c r="D7" s="6"/>
      <c r="I7" s="1" t="s">
        <v>123</v>
      </c>
      <c r="J7" s="1">
        <f t="shared" si="0"/>
        <v>2.63</v>
      </c>
      <c r="K7" s="1">
        <v>2.63</v>
      </c>
    </row>
    <row r="8" spans="1:11" x14ac:dyDescent="0.35">
      <c r="A8" s="9" t="s">
        <v>42</v>
      </c>
      <c r="B8" s="11">
        <v>33542</v>
      </c>
      <c r="C8" s="1" t="s">
        <v>40</v>
      </c>
      <c r="D8" s="6"/>
      <c r="I8" s="1" t="s">
        <v>124</v>
      </c>
      <c r="J8" s="1">
        <f t="shared" si="0"/>
        <v>2.38</v>
      </c>
      <c r="K8" s="1">
        <v>2.38</v>
      </c>
    </row>
    <row r="9" spans="1:11" x14ac:dyDescent="0.35">
      <c r="A9" s="9" t="s">
        <v>43</v>
      </c>
      <c r="B9" s="11">
        <v>58496</v>
      </c>
      <c r="C9" s="1" t="s">
        <v>40</v>
      </c>
      <c r="D9" s="6"/>
      <c r="I9" s="1" t="s">
        <v>125</v>
      </c>
      <c r="J9" s="1">
        <f t="shared" si="0"/>
        <v>2.73</v>
      </c>
      <c r="K9" s="1">
        <v>2.73</v>
      </c>
    </row>
    <row r="10" spans="1:11" x14ac:dyDescent="0.35">
      <c r="A10" s="9" t="s">
        <v>44</v>
      </c>
      <c r="B10" s="12">
        <v>5643</v>
      </c>
      <c r="C10" s="1" t="s">
        <v>40</v>
      </c>
      <c r="D10" s="6"/>
      <c r="I10" s="1" t="s">
        <v>126</v>
      </c>
      <c r="J10" s="1">
        <f t="shared" si="0"/>
        <v>3.13</v>
      </c>
      <c r="K10" s="1">
        <v>3.13</v>
      </c>
    </row>
    <row r="11" spans="1:11" x14ac:dyDescent="0.35">
      <c r="A11" s="9" t="s">
        <v>38</v>
      </c>
      <c r="B11" s="11">
        <v>226501</v>
      </c>
      <c r="C11" s="1" t="s">
        <v>40</v>
      </c>
      <c r="D11" s="6"/>
      <c r="I11" s="1" t="s">
        <v>127</v>
      </c>
      <c r="J11" s="26">
        <f>B44*100</f>
        <v>9.2494000563137888</v>
      </c>
      <c r="K11" s="1">
        <v>9.2494000563137888</v>
      </c>
    </row>
    <row r="12" spans="1:11" x14ac:dyDescent="0.35">
      <c r="A12" s="9" t="s">
        <v>39</v>
      </c>
      <c r="B12" s="11">
        <v>89014</v>
      </c>
      <c r="C12" s="1" t="s">
        <v>40</v>
      </c>
      <c r="D12" s="6"/>
      <c r="I12" s="1" t="s">
        <v>128</v>
      </c>
      <c r="J12" s="26">
        <f>100+B45*100</f>
        <v>116.19026220594513</v>
      </c>
      <c r="K12" s="1">
        <v>116.19026220594513</v>
      </c>
    </row>
    <row r="13" spans="1:11" x14ac:dyDescent="0.35">
      <c r="A13" s="9" t="s">
        <v>45</v>
      </c>
      <c r="B13" s="11">
        <v>137213</v>
      </c>
      <c r="C13" s="1" t="s">
        <v>40</v>
      </c>
      <c r="D13" s="6"/>
      <c r="I13" s="1" t="s">
        <v>129</v>
      </c>
      <c r="J13" s="1">
        <f>130+IF(B39&gt;1,-20)+IF(B39&lt;-1,20)</f>
        <v>150</v>
      </c>
      <c r="K13" s="1">
        <v>150</v>
      </c>
    </row>
    <row r="14" spans="1:11" x14ac:dyDescent="0.35">
      <c r="A14" s="8" t="s">
        <v>46</v>
      </c>
      <c r="B14" s="2">
        <v>1.68</v>
      </c>
      <c r="C14" s="1" t="s">
        <v>47</v>
      </c>
      <c r="D14" s="15"/>
      <c r="I14" s="1" t="s">
        <v>130</v>
      </c>
      <c r="J14" s="1">
        <f>MAX(J12:J13)*2</f>
        <v>300</v>
      </c>
      <c r="K14" s="1">
        <v>300</v>
      </c>
    </row>
    <row r="15" spans="1:11" x14ac:dyDescent="0.35">
      <c r="I15" s="1" t="s">
        <v>131</v>
      </c>
      <c r="J15" s="26">
        <f>B14/B2*100</f>
        <v>5.7931034482758621</v>
      </c>
      <c r="K15" s="1">
        <v>5.7931034482758621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16.190262205945132</v>
      </c>
      <c r="K17" s="1">
        <v>16.190262205945132</v>
      </c>
    </row>
    <row r="18" spans="1:11" x14ac:dyDescent="0.35">
      <c r="A18" s="8" t="s">
        <v>48</v>
      </c>
      <c r="B18" s="7">
        <v>1.84</v>
      </c>
      <c r="C18" s="1" t="s">
        <v>47</v>
      </c>
      <c r="D18" s="14">
        <v>58.5</v>
      </c>
      <c r="E18" s="1" t="s">
        <v>91</v>
      </c>
      <c r="F18" s="3"/>
      <c r="H18" s="6"/>
      <c r="I18" s="1" t="s">
        <v>134</v>
      </c>
      <c r="J18" s="26">
        <f>B48</f>
        <v>13.832013744161808</v>
      </c>
      <c r="K18" s="1">
        <v>13.832013744161808</v>
      </c>
    </row>
    <row r="19" spans="1:11" x14ac:dyDescent="0.35">
      <c r="A19" s="8" t="s">
        <v>49</v>
      </c>
      <c r="B19" s="7">
        <v>2.15</v>
      </c>
      <c r="C19" s="1" t="s">
        <v>47</v>
      </c>
      <c r="D19" s="14">
        <v>58.21</v>
      </c>
      <c r="E19" s="1" t="s">
        <v>91</v>
      </c>
      <c r="F19" s="43"/>
      <c r="H19" s="6"/>
      <c r="I19" s="1" t="s">
        <v>88</v>
      </c>
      <c r="J19" s="26">
        <f>B52</f>
        <v>37.737168796277324</v>
      </c>
      <c r="K19" s="1">
        <v>37.737168796277324</v>
      </c>
    </row>
    <row r="20" spans="1:11" x14ac:dyDescent="0.35">
      <c r="A20" s="8" t="s">
        <v>53</v>
      </c>
      <c r="B20" s="7">
        <v>2.35</v>
      </c>
      <c r="C20" s="1" t="s">
        <v>47</v>
      </c>
      <c r="D20" s="14">
        <v>60.59</v>
      </c>
      <c r="E20" s="1" t="s">
        <v>91</v>
      </c>
      <c r="F20" s="43"/>
      <c r="H20" s="6"/>
      <c r="I20" s="1" t="s">
        <v>168</v>
      </c>
      <c r="J20" s="26">
        <f>B53</f>
        <v>50.74998562257985</v>
      </c>
      <c r="K20" s="1">
        <v>50.74998562257985</v>
      </c>
    </row>
    <row r="21" spans="1:11" x14ac:dyDescent="0.35">
      <c r="A21" s="8" t="s">
        <v>54</v>
      </c>
      <c r="B21" s="7">
        <v>2.63</v>
      </c>
      <c r="C21" s="1" t="s">
        <v>47</v>
      </c>
      <c r="D21" s="14">
        <v>62.26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2.38</v>
      </c>
      <c r="C22" s="1" t="s">
        <v>47</v>
      </c>
      <c r="D22" s="14">
        <v>58.77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2.73</v>
      </c>
      <c r="C23" s="1" t="s">
        <v>47</v>
      </c>
      <c r="D23" s="14">
        <v>62.77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3.13</v>
      </c>
      <c r="C24" s="1" t="s">
        <v>47</v>
      </c>
      <c r="D24" s="14">
        <v>64.5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0.03</v>
      </c>
    </row>
    <row r="29" spans="1:11" x14ac:dyDescent="0.35">
      <c r="A29" s="8" t="s">
        <v>58</v>
      </c>
      <c r="B29" s="5">
        <v>0.18</v>
      </c>
    </row>
    <row r="30" spans="1:11" x14ac:dyDescent="0.35">
      <c r="A30" s="8" t="s">
        <v>59</v>
      </c>
      <c r="B30" s="5">
        <v>0.44</v>
      </c>
    </row>
    <row r="31" spans="1:11" x14ac:dyDescent="0.35">
      <c r="A31" s="8" t="s">
        <v>94</v>
      </c>
      <c r="B31" s="5">
        <v>0.08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2.3805244118902644E-2</v>
      </c>
      <c r="C35" s="1" t="s">
        <v>72</v>
      </c>
    </row>
    <row r="36" spans="1:3" x14ac:dyDescent="0.35">
      <c r="A36" s="8" t="s">
        <v>70</v>
      </c>
      <c r="B36" s="4">
        <f>B7/B11</f>
        <v>1.4829956600633109E-2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9.3916803899320528E-2</v>
      </c>
      <c r="C37" s="1" t="s">
        <v>83</v>
      </c>
    </row>
    <row r="38" spans="1:3" x14ac:dyDescent="0.35">
      <c r="A38" s="8" t="s">
        <v>71</v>
      </c>
      <c r="B38" s="4">
        <f>(B23-B22)/B23</f>
        <v>0.12820512820512825</v>
      </c>
      <c r="C38" s="1" t="s">
        <v>74</v>
      </c>
    </row>
    <row r="39" spans="1:3" x14ac:dyDescent="0.35">
      <c r="A39" s="8" t="s">
        <v>63</v>
      </c>
      <c r="B39" s="25">
        <f>(B36-Assumptions!$B$3)/B36/B38/Assumptions!B5</f>
        <v>-4.9076648783955372</v>
      </c>
      <c r="C39" s="1" t="s">
        <v>75</v>
      </c>
    </row>
    <row r="40" spans="1:3" x14ac:dyDescent="0.35">
      <c r="A40" s="8" t="s">
        <v>76</v>
      </c>
      <c r="B40" s="21">
        <f>Assumptions!D23</f>
        <v>0.06</v>
      </c>
    </row>
    <row r="41" spans="1:3" x14ac:dyDescent="0.35">
      <c r="A41" s="8" t="s">
        <v>79</v>
      </c>
      <c r="B41" s="20">
        <f>(D23/D18)^0.5-1</f>
        <v>3.5853007425017402E-2</v>
      </c>
    </row>
    <row r="42" spans="1:3" x14ac:dyDescent="0.35">
      <c r="A42" s="8" t="s">
        <v>80</v>
      </c>
      <c r="B42" s="20">
        <f>(B35-B41)/B48</f>
        <v>-8.7100573560374437E-4</v>
      </c>
    </row>
    <row r="43" spans="1:3" x14ac:dyDescent="0.35">
      <c r="A43" s="8" t="s">
        <v>77</v>
      </c>
      <c r="B43" s="19">
        <f>AVERAGE(B28:B31)</f>
        <v>0.1825</v>
      </c>
    </row>
    <row r="44" spans="1:3" x14ac:dyDescent="0.35">
      <c r="A44" s="8" t="s">
        <v>78</v>
      </c>
      <c r="B44" s="18">
        <f>SUM(B40:B43)/3</f>
        <v>9.249400056313789E-2</v>
      </c>
    </row>
    <row r="45" spans="1:3" x14ac:dyDescent="0.35">
      <c r="A45" s="8" t="s">
        <v>81</v>
      </c>
      <c r="B45" s="16">
        <f>(B35+0.3)/2</f>
        <v>0.16190262205945133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15.735171667268032</v>
      </c>
    </row>
    <row r="48" spans="1:3" x14ac:dyDescent="0.35">
      <c r="A48" s="8" t="s">
        <v>85</v>
      </c>
      <c r="B48" s="13">
        <f>(B2/B18+10+B47)/3</f>
        <v>13.832013744161808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37.737168796277324</v>
      </c>
      <c r="C52" s="13"/>
    </row>
    <row r="53" spans="1:3" x14ac:dyDescent="0.35">
      <c r="A53" s="8" t="s">
        <v>87</v>
      </c>
      <c r="B53" s="13">
        <f>(B23*2-B$23)*(1+B$44)^8*B$48/(1+Assumptions!B$4-B$14/B$2)^10</f>
        <v>50.74998562257985</v>
      </c>
      <c r="C53" s="13"/>
    </row>
    <row r="54" spans="1:3" x14ac:dyDescent="0.35">
      <c r="A54" s="8" t="s">
        <v>102</v>
      </c>
      <c r="B54" s="13">
        <f>(B24*2-B$23)*(1+B$44)^8*B$48/(1+Assumptions!B$4-B$14/B$2)^10</f>
        <v>65.621776281211311</v>
      </c>
      <c r="C54" s="13"/>
    </row>
    <row r="61" spans="1:3" x14ac:dyDescent="0.35">
      <c r="A61" s="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4D0D-0B06-451A-962B-880736D70CE0}">
  <dimension ref="A1:K61"/>
  <sheetViews>
    <sheetView workbookViewId="0">
      <selection activeCell="J12" sqref="J12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136</v>
      </c>
      <c r="I1" s="1" t="s">
        <v>118</v>
      </c>
      <c r="J1" s="1" t="str">
        <f>B1</f>
        <v>JNJ</v>
      </c>
      <c r="K1" s="1" t="s">
        <v>136</v>
      </c>
    </row>
    <row r="2" spans="1:11" x14ac:dyDescent="0.35">
      <c r="A2" s="8" t="s">
        <v>84</v>
      </c>
      <c r="B2" s="2">
        <v>162</v>
      </c>
      <c r="I2" s="1" t="s">
        <v>119</v>
      </c>
      <c r="J2" s="1">
        <f>B2</f>
        <v>162</v>
      </c>
      <c r="K2" s="1">
        <v>162</v>
      </c>
    </row>
    <row r="3" spans="1:11" x14ac:dyDescent="0.35">
      <c r="I3" s="1" t="s">
        <v>167</v>
      </c>
      <c r="J3" s="35">
        <f>B28</f>
        <v>0.06</v>
      </c>
      <c r="K3" s="1">
        <v>0.06</v>
      </c>
    </row>
    <row r="4" spans="1:11" x14ac:dyDescent="0.35">
      <c r="A4" s="8" t="s">
        <v>67</v>
      </c>
      <c r="I4" s="1" t="s">
        <v>120</v>
      </c>
      <c r="J4" s="1">
        <f>B18</f>
        <v>9.92</v>
      </c>
      <c r="K4" s="1">
        <v>9.92</v>
      </c>
    </row>
    <row r="5" spans="1:11" x14ac:dyDescent="0.35">
      <c r="B5" s="1" t="s">
        <v>156</v>
      </c>
      <c r="I5" s="1" t="s">
        <v>121</v>
      </c>
      <c r="J5" s="1">
        <f t="shared" ref="J5:J10" si="0">B19</f>
        <v>10.47</v>
      </c>
      <c r="K5" s="1">
        <v>10.47</v>
      </c>
    </row>
    <row r="6" spans="1:11" x14ac:dyDescent="0.35">
      <c r="A6" s="9" t="s">
        <v>41</v>
      </c>
      <c r="B6" s="11">
        <v>14684</v>
      </c>
      <c r="C6" s="1" t="s">
        <v>40</v>
      </c>
      <c r="D6" s="6"/>
      <c r="I6" s="1" t="s">
        <v>122</v>
      </c>
      <c r="J6" s="1">
        <f t="shared" si="0"/>
        <v>10.62</v>
      </c>
      <c r="K6" s="1">
        <v>10.62</v>
      </c>
    </row>
    <row r="7" spans="1:11" x14ac:dyDescent="0.35">
      <c r="A7" s="9" t="s">
        <v>37</v>
      </c>
      <c r="B7" s="11">
        <v>22915</v>
      </c>
      <c r="C7" s="1" t="s">
        <v>40</v>
      </c>
      <c r="D7" s="6"/>
      <c r="I7" s="1" t="s">
        <v>123</v>
      </c>
      <c r="J7" s="1">
        <f t="shared" si="0"/>
        <v>10.85</v>
      </c>
      <c r="K7" s="1">
        <v>10.85</v>
      </c>
    </row>
    <row r="8" spans="1:11" x14ac:dyDescent="0.35">
      <c r="A8" s="9" t="s">
        <v>42</v>
      </c>
      <c r="B8" s="11">
        <v>60555</v>
      </c>
      <c r="C8" s="1" t="s">
        <v>40</v>
      </c>
      <c r="D8" s="6"/>
      <c r="I8" s="1" t="s">
        <v>124</v>
      </c>
      <c r="J8" s="1">
        <f t="shared" si="0"/>
        <v>10.220000000000001</v>
      </c>
      <c r="K8" s="1">
        <v>10.220000000000001</v>
      </c>
    </row>
    <row r="9" spans="1:11" x14ac:dyDescent="0.35">
      <c r="A9" s="9" t="s">
        <v>43</v>
      </c>
      <c r="B9" s="11">
        <v>87696</v>
      </c>
      <c r="C9" s="1" t="s">
        <v>40</v>
      </c>
      <c r="D9" s="6"/>
      <c r="I9" s="1" t="s">
        <v>125</v>
      </c>
      <c r="J9" s="1">
        <f t="shared" si="0"/>
        <v>10.91</v>
      </c>
      <c r="K9" s="1">
        <v>10.91</v>
      </c>
    </row>
    <row r="10" spans="1:11" x14ac:dyDescent="0.35">
      <c r="A10" s="9" t="s">
        <v>44</v>
      </c>
      <c r="B10" s="12">
        <v>2615</v>
      </c>
      <c r="C10" s="1" t="s">
        <v>40</v>
      </c>
      <c r="D10" s="6"/>
      <c r="I10" s="1" t="s">
        <v>126</v>
      </c>
      <c r="J10" s="1">
        <f t="shared" si="0"/>
        <v>11.53</v>
      </c>
      <c r="K10" s="1">
        <v>11.53</v>
      </c>
    </row>
    <row r="11" spans="1:11" x14ac:dyDescent="0.35">
      <c r="A11" s="9" t="s">
        <v>38</v>
      </c>
      <c r="B11" s="11">
        <v>167558</v>
      </c>
      <c r="C11" s="1" t="s">
        <v>40</v>
      </c>
      <c r="D11" s="6"/>
      <c r="I11" s="1" t="s">
        <v>127</v>
      </c>
      <c r="J11" s="26">
        <f>B44*100</f>
        <v>4.8489312990848497</v>
      </c>
      <c r="K11" s="1">
        <v>4.8489312990848497</v>
      </c>
    </row>
    <row r="12" spans="1:11" x14ac:dyDescent="0.35">
      <c r="A12" s="9" t="s">
        <v>39</v>
      </c>
      <c r="B12" s="11">
        <v>68774</v>
      </c>
      <c r="C12" s="1" t="s">
        <v>40</v>
      </c>
      <c r="D12" s="6"/>
      <c r="I12" s="1" t="s">
        <v>128</v>
      </c>
      <c r="J12" s="26">
        <f>100+B45*100</f>
        <v>130</v>
      </c>
      <c r="K12" s="1">
        <v>130</v>
      </c>
    </row>
    <row r="13" spans="1:11" x14ac:dyDescent="0.35">
      <c r="A13" s="9" t="s">
        <v>45</v>
      </c>
      <c r="B13" s="11">
        <v>46282</v>
      </c>
      <c r="C13" s="1" t="s">
        <v>40</v>
      </c>
      <c r="D13" s="6"/>
      <c r="I13" s="1" t="s">
        <v>129</v>
      </c>
      <c r="J13" s="1">
        <f>130+IF(B39&gt;1,-20)+IF(B39&lt;-1,20)</f>
        <v>110</v>
      </c>
      <c r="K13" s="1">
        <v>110</v>
      </c>
    </row>
    <row r="14" spans="1:11" x14ac:dyDescent="0.35">
      <c r="A14" s="8" t="s">
        <v>46</v>
      </c>
      <c r="B14" s="2">
        <v>4.96</v>
      </c>
      <c r="C14" s="1" t="s">
        <v>47</v>
      </c>
      <c r="D14" s="15"/>
      <c r="I14" s="1" t="s">
        <v>130</v>
      </c>
      <c r="J14" s="1">
        <f>MAX(J12:J13)*2</f>
        <v>260</v>
      </c>
      <c r="K14" s="1">
        <v>260</v>
      </c>
    </row>
    <row r="15" spans="1:11" x14ac:dyDescent="0.35">
      <c r="I15" s="1" t="s">
        <v>131</v>
      </c>
      <c r="J15" s="26">
        <f>B14/B2*100</f>
        <v>3.0617283950617287</v>
      </c>
      <c r="K15" s="1">
        <v>3.0617283950617287</v>
      </c>
    </row>
    <row r="16" spans="1:11" x14ac:dyDescent="0.35">
      <c r="A16" s="1" t="s">
        <v>66</v>
      </c>
      <c r="I16" s="1" t="s">
        <v>132</v>
      </c>
      <c r="J16" s="26">
        <f>B46*100</f>
        <v>6</v>
      </c>
      <c r="K16" s="1">
        <v>6</v>
      </c>
    </row>
    <row r="17" spans="1:11" x14ac:dyDescent="0.35">
      <c r="B17" s="1" t="s">
        <v>55</v>
      </c>
      <c r="D17" s="1" t="s">
        <v>43</v>
      </c>
      <c r="F17" s="44"/>
      <c r="I17" s="1" t="s">
        <v>133</v>
      </c>
      <c r="J17" s="26">
        <f>B45*100</f>
        <v>30</v>
      </c>
      <c r="K17" s="1">
        <v>30</v>
      </c>
    </row>
    <row r="18" spans="1:11" x14ac:dyDescent="0.35">
      <c r="A18" s="8" t="s">
        <v>48</v>
      </c>
      <c r="B18" s="7">
        <v>9.92</v>
      </c>
      <c r="C18" s="1" t="s">
        <v>47</v>
      </c>
      <c r="D18" s="14">
        <v>85.16</v>
      </c>
      <c r="E18" s="1" t="s">
        <v>91</v>
      </c>
      <c r="F18" s="3"/>
      <c r="H18" s="6"/>
      <c r="I18" s="1" t="s">
        <v>134</v>
      </c>
      <c r="J18" s="26">
        <f>B48</f>
        <v>15.443548387096774</v>
      </c>
      <c r="K18" s="1">
        <v>15.443548387096774</v>
      </c>
    </row>
    <row r="19" spans="1:11" x14ac:dyDescent="0.35">
      <c r="A19" s="8" t="s">
        <v>49</v>
      </c>
      <c r="B19" s="7">
        <v>10.47</v>
      </c>
      <c r="C19" s="1" t="s">
        <v>47</v>
      </c>
      <c r="D19" s="14">
        <v>88</v>
      </c>
      <c r="E19" s="1" t="s">
        <v>91</v>
      </c>
      <c r="F19" s="43"/>
      <c r="H19" s="6"/>
      <c r="I19" s="1" t="s">
        <v>88</v>
      </c>
      <c r="J19" s="26">
        <f>B52</f>
        <v>109.90576003958493</v>
      </c>
      <c r="K19" s="1">
        <v>109.90576003958493</v>
      </c>
    </row>
    <row r="20" spans="1:11" x14ac:dyDescent="0.35">
      <c r="A20" s="8" t="s">
        <v>53</v>
      </c>
      <c r="B20" s="7">
        <v>10.62</v>
      </c>
      <c r="C20" s="1" t="s">
        <v>47</v>
      </c>
      <c r="D20" s="14">
        <v>88.46</v>
      </c>
      <c r="E20" s="1" t="s">
        <v>91</v>
      </c>
      <c r="F20" s="43"/>
      <c r="H20" s="6"/>
      <c r="I20" s="1" t="s">
        <v>168</v>
      </c>
      <c r="J20" s="26">
        <f>B53</f>
        <v>125.82075991939892</v>
      </c>
      <c r="K20" s="1">
        <v>125.82075991939892</v>
      </c>
    </row>
    <row r="21" spans="1:11" x14ac:dyDescent="0.35">
      <c r="A21" s="8" t="s">
        <v>54</v>
      </c>
      <c r="B21" s="7">
        <v>10.85</v>
      </c>
      <c r="C21" s="1" t="s">
        <v>47</v>
      </c>
      <c r="D21" s="14">
        <v>89.29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10.220000000000001</v>
      </c>
      <c r="C22" s="1" t="s">
        <v>47</v>
      </c>
      <c r="D22" s="14">
        <v>88.61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10.91</v>
      </c>
      <c r="C23" s="1" t="s">
        <v>47</v>
      </c>
      <c r="D23" s="14">
        <v>91.02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11.53</v>
      </c>
      <c r="C24" s="1" t="s">
        <v>47</v>
      </c>
      <c r="D24" s="14">
        <v>92.95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0.06</v>
      </c>
    </row>
    <row r="29" spans="1:11" x14ac:dyDescent="0.35">
      <c r="A29" s="8" t="s">
        <v>58</v>
      </c>
      <c r="B29" s="5">
        <v>0.03</v>
      </c>
    </row>
    <row r="30" spans="1:11" x14ac:dyDescent="0.35">
      <c r="A30" s="8" t="s">
        <v>59</v>
      </c>
      <c r="B30" s="5">
        <v>0</v>
      </c>
    </row>
    <row r="31" spans="1:11" x14ac:dyDescent="0.35">
      <c r="A31" s="8" t="s">
        <v>94</v>
      </c>
      <c r="B31" s="5">
        <v>7.0000000000000007E-2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0.21351091982435222</v>
      </c>
      <c r="C35" s="1" t="s">
        <v>72</v>
      </c>
    </row>
    <row r="36" spans="1:3" x14ac:dyDescent="0.35">
      <c r="A36" s="8" t="s">
        <v>70</v>
      </c>
      <c r="B36" s="4">
        <f>B7/B11</f>
        <v>0.13675861492736843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0.13694541591568293</v>
      </c>
      <c r="C37" s="1" t="s">
        <v>83</v>
      </c>
    </row>
    <row r="38" spans="1:3" x14ac:dyDescent="0.35">
      <c r="A38" s="8" t="s">
        <v>71</v>
      </c>
      <c r="B38" s="4">
        <f>(B23-B22)/B23</f>
        <v>6.3244729605866135E-2</v>
      </c>
      <c r="C38" s="1" t="s">
        <v>74</v>
      </c>
    </row>
    <row r="39" spans="1:3" x14ac:dyDescent="0.35">
      <c r="A39" s="8" t="s">
        <v>63</v>
      </c>
      <c r="B39" s="27">
        <f>(B36-Assumptions!$B$3)/B36/B38/Assumptions!B5</f>
        <v>2.6612204278726947</v>
      </c>
      <c r="C39" s="1" t="s">
        <v>75</v>
      </c>
    </row>
    <row r="40" spans="1:3" x14ac:dyDescent="0.35">
      <c r="A40" s="8" t="s">
        <v>76</v>
      </c>
      <c r="B40" s="21">
        <f>Assumptions!D23</f>
        <v>0.06</v>
      </c>
    </row>
    <row r="41" spans="1:3" x14ac:dyDescent="0.35">
      <c r="A41" s="8" t="s">
        <v>79</v>
      </c>
      <c r="B41" s="20">
        <f>(D23/D18)^0.5-1</f>
        <v>3.3833472403241194E-2</v>
      </c>
    </row>
    <row r="42" spans="1:3" x14ac:dyDescent="0.35">
      <c r="A42" s="8" t="s">
        <v>80</v>
      </c>
      <c r="B42" s="20">
        <f>(B35-B41)/B48</f>
        <v>1.1634466569304317E-2</v>
      </c>
    </row>
    <row r="43" spans="1:3" x14ac:dyDescent="0.35">
      <c r="A43" s="8" t="s">
        <v>77</v>
      </c>
      <c r="B43" s="19">
        <f>AVERAGE(B28:B31)</f>
        <v>0.04</v>
      </c>
    </row>
    <row r="44" spans="1:3" x14ac:dyDescent="0.35">
      <c r="A44" s="8" t="s">
        <v>78</v>
      </c>
      <c r="B44" s="18">
        <f>SUM(B40:B43)/3</f>
        <v>4.84893129908485E-2</v>
      </c>
    </row>
    <row r="45" spans="1:3" x14ac:dyDescent="0.35">
      <c r="A45" s="8" t="s">
        <v>81</v>
      </c>
      <c r="B45" s="16">
        <f>0.3</f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15.443548387096774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109.90576003958493</v>
      </c>
      <c r="C52" s="13"/>
    </row>
    <row r="53" spans="1:3" x14ac:dyDescent="0.35">
      <c r="A53" s="8" t="s">
        <v>87</v>
      </c>
      <c r="B53" s="13">
        <f>(B23*2-B$23)*(1+B$44)^8*B$48/(1+Assumptions!B$4-B$14/B$2)^10</f>
        <v>125.82075991939892</v>
      </c>
      <c r="C53" s="13"/>
    </row>
    <row r="54" spans="1:3" x14ac:dyDescent="0.35">
      <c r="A54" s="8" t="s">
        <v>102</v>
      </c>
      <c r="B54" s="13">
        <f>(B24*2-B$23)*(1+B$44)^8*B$48/(1+Assumptions!B$4-B$14/B$2)^10</f>
        <v>140.12119459401433</v>
      </c>
      <c r="C54" s="13"/>
    </row>
    <row r="61" spans="1:3" x14ac:dyDescent="0.35">
      <c r="A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1</vt:i4>
      </vt:variant>
    </vt:vector>
  </HeadingPairs>
  <TitlesOfParts>
    <vt:vector size="22" baseType="lpstr">
      <vt:lpstr>Assumptions</vt:lpstr>
      <vt:lpstr>CPT_KO</vt:lpstr>
      <vt:lpstr>CPT_PEP</vt:lpstr>
      <vt:lpstr>CPE_COST</vt:lpstr>
      <vt:lpstr>CPE_ULTA</vt:lpstr>
      <vt:lpstr>CPE_BNKG</vt:lpstr>
      <vt:lpstr>CPE_V</vt:lpstr>
      <vt:lpstr>CPE_MA</vt:lpstr>
      <vt:lpstr>ESPV_FSLR</vt:lpstr>
      <vt:lpstr>ESEV_TSLA</vt:lpstr>
      <vt:lpstr>ESEV_ON</vt:lpstr>
      <vt:lpstr>EVMG_MCHP</vt:lpstr>
      <vt:lpstr>Tech_CRM</vt:lpstr>
      <vt:lpstr>Tech_ADBE</vt:lpstr>
      <vt:lpstr>Tech_MSFT</vt:lpstr>
      <vt:lpstr>Tech_GOOG</vt:lpstr>
      <vt:lpstr>Tech_AMZN</vt:lpstr>
      <vt:lpstr>Tech_AAPL</vt:lpstr>
      <vt:lpstr>ESEV_ENPH</vt:lpstr>
      <vt:lpstr>HP_PFE</vt:lpstr>
      <vt:lpstr>HP_JNJ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Zhang</dc:creator>
  <cp:lastModifiedBy>Yimin Zhang</cp:lastModifiedBy>
  <dcterms:created xsi:type="dcterms:W3CDTF">2015-06-05T18:17:20Z</dcterms:created>
  <dcterms:modified xsi:type="dcterms:W3CDTF">2024-11-05T07:57:33Z</dcterms:modified>
</cp:coreProperties>
</file>