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347" documentId="11_F25DC773A252ABDACC1048C1019D7EBE5BDE58E8" xr6:coauthVersionLast="47" xr6:coauthVersionMax="47" xr10:uidLastSave="{3D10CF05-FBC7-4373-AC8D-88730CFF5924}"/>
  <bookViews>
    <workbookView xWindow="18756" yWindow="3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5" l="1"/>
  <c r="B38" i="5"/>
  <c r="N22" i="5"/>
  <c r="D22" i="5"/>
  <c r="I22" i="5"/>
  <c r="J22" i="5" s="1"/>
  <c r="L21" i="5"/>
  <c r="G16" i="5"/>
  <c r="H16" i="5"/>
  <c r="I16" i="5" s="1"/>
  <c r="N4" i="5"/>
  <c r="K10" i="5"/>
  <c r="K28" i="5"/>
  <c r="K27" i="5"/>
  <c r="J10" i="5"/>
  <c r="I10" i="5"/>
  <c r="J27" i="5"/>
  <c r="J28" i="5"/>
  <c r="F22" i="5" s="1"/>
  <c r="H10" i="5"/>
  <c r="G10" i="5"/>
  <c r="E10" i="5"/>
  <c r="E16" i="5"/>
  <c r="D16" i="5"/>
  <c r="C16" i="5"/>
  <c r="Q6" i="1"/>
  <c r="Q15" i="1"/>
  <c r="B16" i="5"/>
  <c r="C10" i="5"/>
  <c r="D10" i="5"/>
  <c r="B10" i="5"/>
  <c r="F16" i="5" s="1"/>
  <c r="J16" i="5" l="1"/>
  <c r="L10" i="5"/>
  <c r="M10" i="5" s="1"/>
  <c r="L22" i="5" s="1"/>
</calcChain>
</file>

<file path=xl/sharedStrings.xml><?xml version="1.0" encoding="utf-8"?>
<sst xmlns="http://schemas.openxmlformats.org/spreadsheetml/2006/main" count="89" uniqueCount="71">
  <si>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</si>
  <si>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</si>
  <si>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</si>
  <si>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</si>
  <si>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</si>
  <si>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</si>
  <si>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</si>
  <si>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</si>
  <si>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</si>
  <si>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</si>
  <si>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</si>
  <si>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</si>
  <si>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</si>
  <si>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</si>
  <si>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</si>
  <si>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</si>
  <si>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</si>
  <si>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</si>
  <si>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</si>
  <si>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</si>
  <si>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</si>
  <si>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</si>
  <si>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</si>
  <si>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</si>
  <si>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</si>
  <si>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</si>
  <si>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</si>
  <si>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</si>
  <si>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</si>
  <si>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</si>
  <si>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</si>
  <si>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</si>
  <si>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</si>
  <si>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</si>
  <si>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</si>
  <si>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</si>
  <si>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</si>
  <si>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</si>
  <si>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</si>
  <si>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</si>
  <si>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</si>
  <si>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</si>
  <si>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</si>
  <si>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CRM</t>
  </si>
  <si>
    <t>crm-r b$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</si>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</sst>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332190</xdr:colOff>
      <xdr:row>46</xdr:row>
      <xdr:rowOff>35139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979B2B-8892-DA51-58A0-C033E82AE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6190" cy="8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370286</xdr:colOff>
      <xdr:row>39</xdr:row>
      <xdr:rowOff>162918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42936-B395-40EF-0321-F3902B91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14286" cy="72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360762</xdr:colOff>
      <xdr:row>50</xdr:row>
      <xdr:rowOff>160762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6985B-45F9-4520-38B7-73F4BD8EC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4762" cy="9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608381</xdr:colOff>
      <xdr:row>35</xdr:row>
      <xdr:rowOff>161105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1A4D4-593B-3C28-07D4-3E02DD32C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2381" cy="6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topLeftCell="A7" workbookViewId="0">
      <selection activeCell="L35" sqref="L35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49</v>
      </c>
      <c r="L3" s="1" t="s">
        <v>55</v>
      </c>
      <c r="M3" s="1" t="s">
        <v>56</v>
      </c>
      <c r="N3" s="1" t="s">
        <v>57</v>
      </c>
      <c r="O3" s="1" t="s">
        <v>64</v>
      </c>
    </row>
    <row r="4" spans="1:15" x14ac:dyDescent="0.3">
      <c r="A4" s="1">
        <v>2023</v>
      </c>
      <c r="B4" s="1">
        <v>4136</v>
      </c>
      <c r="C4" s="1">
        <v>5999</v>
      </c>
      <c r="D4" s="1">
        <v>26317</v>
      </c>
      <c r="E4" s="1">
        <v>34857</v>
      </c>
      <c r="F4" s="1">
        <v>984</v>
      </c>
      <c r="G4" s="1">
        <v>99823</v>
      </c>
      <c r="H4" s="1">
        <v>59646</v>
      </c>
      <c r="I4" s="1">
        <v>40177</v>
      </c>
      <c r="J4" s="6">
        <v>1.6</v>
      </c>
      <c r="K4" s="2">
        <v>0.05</v>
      </c>
      <c r="L4" s="2">
        <v>0.1</v>
      </c>
      <c r="M4" s="2">
        <v>0.2</v>
      </c>
      <c r="N4" s="1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46</v>
      </c>
      <c r="J9" s="1" t="s">
        <v>48</v>
      </c>
      <c r="K9" s="1" t="s">
        <v>54</v>
      </c>
      <c r="L9" s="1" t="s">
        <v>51</v>
      </c>
      <c r="M9" s="1" t="s">
        <v>53</v>
      </c>
    </row>
    <row r="10" spans="1:15" x14ac:dyDescent="0.3">
      <c r="A10" s="1">
        <v>2023</v>
      </c>
      <c r="B10" s="4">
        <f>D4/E4</f>
        <v>0.75499899589752417</v>
      </c>
      <c r="C10" s="4">
        <f>C4/E4</f>
        <v>0.17210316435723097</v>
      </c>
      <c r="D10" s="4">
        <f>B4/E4</f>
        <v>0.11865622400091803</v>
      </c>
      <c r="E10" s="5">
        <f>B4/F4</f>
        <v>4.2032520325203251</v>
      </c>
      <c r="G10" s="4">
        <f>B4/G4</f>
        <v>4.1433337006501508E-2</v>
      </c>
      <c r="H10" s="4">
        <f>C4/G4</f>
        <v>6.0096370575919378E-2</v>
      </c>
      <c r="I10" s="4">
        <f>B4/H4</f>
        <v>6.9342453810817148E-2</v>
      </c>
      <c r="J10" s="6">
        <f>E4/G4</f>
        <v>0.34918806287128218</v>
      </c>
      <c r="K10" s="6">
        <f>G4/H4</f>
        <v>1.6735908526975825</v>
      </c>
      <c r="L10" s="6">
        <f>(H10-K4)/K27</f>
        <v>1.2340214516602994</v>
      </c>
      <c r="M10" s="4">
        <f>H27*F4/1000/H28*J10*K10*L10/N4</f>
        <v>0.15904219709560993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52</v>
      </c>
      <c r="G15" s="1" t="s">
        <v>60</v>
      </c>
      <c r="H15" s="1" t="s">
        <v>61</v>
      </c>
      <c r="I15" s="1" t="s">
        <v>62</v>
      </c>
      <c r="J15" s="1" t="s">
        <v>63</v>
      </c>
    </row>
    <row r="16" spans="1:15" x14ac:dyDescent="0.3">
      <c r="A16" s="1" t="s">
        <v>15</v>
      </c>
      <c r="B16" s="4">
        <f>4906/E4</f>
        <v>0.14074647846917404</v>
      </c>
      <c r="C16" s="4">
        <f>INCOME!Q15/INCOME!Q6</f>
        <v>0.15817047379182644</v>
      </c>
      <c r="D16" s="4">
        <f>15411/34857</f>
        <v>0.44212066442895259</v>
      </c>
      <c r="E16" s="4">
        <f>11761/21252</f>
        <v>0.55340673818934694</v>
      </c>
      <c r="F16" s="4">
        <f>B10-H27*F4/1000/H28/0.7</f>
        <v>0.38075480985101251</v>
      </c>
      <c r="G16" s="6">
        <f>E27*$F4/1000/E28</f>
        <v>0.25757800105764145</v>
      </c>
      <c r="H16" s="6">
        <f>H27*$F4/1000/H28</f>
        <v>0.26197093023255813</v>
      </c>
      <c r="I16" s="4">
        <f>H16/G16-1</f>
        <v>1.7054752955915742E-2</v>
      </c>
      <c r="J16" s="2">
        <f>(1+F22)/(1+F22*O4)-1</f>
        <v>1.6476234494859465E-2</v>
      </c>
    </row>
    <row r="17" spans="1:14" x14ac:dyDescent="0.3">
      <c r="A17" s="1" t="s">
        <v>14</v>
      </c>
      <c r="B17" s="1">
        <v>2023</v>
      </c>
      <c r="C17" s="1" t="s">
        <v>47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70</v>
      </c>
      <c r="F21" s="1" t="s">
        <v>58</v>
      </c>
      <c r="G21" s="1" t="s">
        <v>65</v>
      </c>
      <c r="H21" s="1" t="s">
        <v>59</v>
      </c>
      <c r="I21" s="1" t="s">
        <v>28</v>
      </c>
      <c r="J21" s="1" t="s">
        <v>69</v>
      </c>
      <c r="L21" s="1" t="str">
        <f>M9</f>
        <v>roe-pj</v>
      </c>
      <c r="N21" s="1" t="s">
        <v>68</v>
      </c>
    </row>
    <row r="22" spans="1:14" x14ac:dyDescent="0.3">
      <c r="A22" s="1" t="s">
        <v>0</v>
      </c>
      <c r="B22" s="7">
        <v>0.24310000000000001</v>
      </c>
      <c r="C22" s="7">
        <v>0.16239999999999999</v>
      </c>
      <c r="D22" s="2">
        <f>C22</f>
        <v>0.16239999999999999</v>
      </c>
      <c r="F22" s="2">
        <f>J28</f>
        <v>8.8193563828606436E-2</v>
      </c>
      <c r="G22" s="2">
        <v>0</v>
      </c>
      <c r="H22" s="2">
        <v>0.02</v>
      </c>
      <c r="I22" s="2">
        <f>J4/E27</f>
        <v>0.16161616161616163</v>
      </c>
      <c r="J22" s="2">
        <f>SUM(F22:H22)/(1-I22)</f>
        <v>0.12905015444616913</v>
      </c>
      <c r="L22" s="2">
        <f>M10</f>
        <v>0.15904219709560993</v>
      </c>
      <c r="N22" s="4">
        <f>SUM(D22,J22,L22)/3</f>
        <v>0.150164117180593</v>
      </c>
    </row>
    <row r="24" spans="1:14" s="3" customFormat="1" x14ac:dyDescent="0.3"/>
    <row r="25" spans="1:14" x14ac:dyDescent="0.3">
      <c r="A25" s="1" t="s">
        <v>45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50</v>
      </c>
    </row>
    <row r="27" spans="1:14" x14ac:dyDescent="0.3">
      <c r="A27" s="1" t="s">
        <v>43</v>
      </c>
      <c r="B27" s="1">
        <v>242</v>
      </c>
      <c r="C27" s="1">
        <v>8.2200000000000006</v>
      </c>
      <c r="D27" s="1">
        <v>9.57</v>
      </c>
      <c r="E27" s="1">
        <v>9.9</v>
      </c>
      <c r="F27" s="1">
        <v>10.44</v>
      </c>
      <c r="G27" s="1">
        <v>10.16</v>
      </c>
      <c r="H27" s="1">
        <v>10.99</v>
      </c>
      <c r="I27" s="1">
        <v>11.51</v>
      </c>
      <c r="J27" s="4">
        <f>(H27/C27)^0.5-1</f>
        <v>0.15627979674896575</v>
      </c>
      <c r="K27" s="8">
        <f>(H27-G27)/G4*F4</f>
        <v>8.1816815763902113E-3</v>
      </c>
    </row>
    <row r="28" spans="1:14" x14ac:dyDescent="0.3">
      <c r="A28" s="1" t="s">
        <v>44</v>
      </c>
      <c r="C28" s="1">
        <v>34.86</v>
      </c>
      <c r="D28" s="1">
        <v>37.229999999999997</v>
      </c>
      <c r="E28" s="1">
        <v>37.82</v>
      </c>
      <c r="F28" s="1">
        <v>38.07</v>
      </c>
      <c r="G28" s="1">
        <v>39.090000000000003</v>
      </c>
      <c r="H28" s="1">
        <v>41.28</v>
      </c>
      <c r="I28" s="1">
        <v>42.64</v>
      </c>
      <c r="J28" s="4">
        <f>(H28/C28)^0.5-1</f>
        <v>8.8193563828606436E-2</v>
      </c>
      <c r="K28" s="8">
        <f>(H28-G28)/G4*1000</f>
        <v>2.193883173216591E-2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43</v>
      </c>
      <c r="B33" s="1">
        <v>242</v>
      </c>
      <c r="C33" s="1">
        <v>8.2200000000000006</v>
      </c>
      <c r="D33" s="1">
        <v>9.57</v>
      </c>
      <c r="E33" s="1">
        <v>9.9</v>
      </c>
      <c r="F33" s="1">
        <v>10.44</v>
      </c>
      <c r="G33" s="1">
        <v>10.16</v>
      </c>
      <c r="H33" s="1">
        <v>10.99</v>
      </c>
      <c r="I33" s="1">
        <v>11.51</v>
      </c>
      <c r="J33" s="1">
        <v>15</v>
      </c>
      <c r="K33" s="1">
        <v>50</v>
      </c>
      <c r="L33" s="1">
        <v>145</v>
      </c>
      <c r="M33" s="1">
        <v>1</v>
      </c>
    </row>
    <row r="35" spans="1:13" s="3" customFormat="1" x14ac:dyDescent="0.3">
      <c r="D35" s="9"/>
      <c r="E35" s="9"/>
    </row>
    <row r="36" spans="1:13" x14ac:dyDescent="0.3">
      <c r="A36" s="1" t="s">
        <v>66</v>
      </c>
    </row>
    <row r="37" spans="1:13" x14ac:dyDescent="0.3">
      <c r="A37" s="1" t="s">
        <v>67</v>
      </c>
      <c r="B37" s="10">
        <f>H27*(1+N22)^10/(1+L4)^12*L22*100</f>
        <v>225.62955182252657</v>
      </c>
    </row>
    <row r="38" spans="1:13" x14ac:dyDescent="0.3">
      <c r="A38" s="2">
        <v>0.8</v>
      </c>
      <c r="B38" s="10">
        <f>B37*A38</f>
        <v>180.50364145802126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topLeftCell="A10" workbookViewId="0">
      <selection activeCell="R29" sqref="R29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>
      <selection activeCell="R33" sqref="R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2024-06-21T05:19:51Z</dcterms:modified>
</cp:coreProperties>
</file>