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Gurobi Tutorial/mannual/"/>
    </mc:Choice>
  </mc:AlternateContent>
  <xr:revisionPtr revIDLastSave="726" documentId="11_F25DC773A252ABDACC1048C1019D7EBE5BDE58E8" xr6:coauthVersionLast="47" xr6:coauthVersionMax="47" xr10:uidLastSave="{A33E8C52-6D99-4ED0-BE3D-BB6999D93F8A}"/>
  <bookViews>
    <workbookView xWindow="17424" yWindow="1020" windowWidth="22476" windowHeight="16032" xr2:uid="{00000000-000D-0000-FFFF-FFFF00000000}"/>
  </bookViews>
  <sheets>
    <sheet name="Stat" sheetId="5" r:id="rId1"/>
    <sheet name="INCOME" sheetId="1" r:id="rId2"/>
    <sheet name="BALANCE" sheetId="2" r:id="rId3"/>
    <sheet name="CASH" sheetId="3" r:id="rId4"/>
    <sheet name="PJ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5" l="1"/>
  <c r="I10" i="5"/>
  <c r="E16" i="5"/>
  <c r="D16" i="5"/>
  <c r="D10" i="5"/>
  <c r="H10" i="5"/>
  <c r="D22" i="5"/>
  <c r="A27" i="5"/>
  <c r="J10" i="5" l="1"/>
  <c r="H16" i="5"/>
  <c r="G16" i="5"/>
  <c r="J28" i="5"/>
  <c r="Q6" i="1"/>
  <c r="Q15" i="1"/>
  <c r="I22" i="5"/>
  <c r="L21" i="5"/>
  <c r="N4" i="5"/>
  <c r="K10" i="5"/>
  <c r="K28" i="5"/>
  <c r="K27" i="5"/>
  <c r="J27" i="5"/>
  <c r="G10" i="5"/>
  <c r="E10" i="5"/>
  <c r="C10" i="5"/>
  <c r="B10" i="5"/>
  <c r="F16" i="5" s="1"/>
  <c r="F22" i="5" l="1"/>
  <c r="I16" i="5"/>
  <c r="L10" i="5"/>
  <c r="M10" i="5" s="1"/>
  <c r="J22" i="5" l="1"/>
  <c r="N22" i="5" s="1"/>
  <c r="B37" i="5" s="1"/>
  <c r="J16" i="5"/>
  <c r="B38" i="5" l="1"/>
</calcChain>
</file>

<file path=xl/sharedStrings.xml><?xml version="1.0" encoding="utf-8"?>
<sst xmlns="http://schemas.openxmlformats.org/spreadsheetml/2006/main" count="88" uniqueCount="71">
  <si>
    <t>Growth</t>
  </si>
  <si>
    <t>Past</t>
  </si>
  <si>
    <t>Next</t>
  </si>
  <si>
    <t>INCOME</t>
  </si>
  <si>
    <t>NET INCOME</t>
  </si>
  <si>
    <t>EBIT</t>
  </si>
  <si>
    <t>INCOME M$</t>
  </si>
  <si>
    <t>SHARE M</t>
  </si>
  <si>
    <t>ORIGINAL</t>
  </si>
  <si>
    <t>REVENUE</t>
  </si>
  <si>
    <t>GROSS</t>
  </si>
  <si>
    <t>NET</t>
  </si>
  <si>
    <t>PROCESSED - GENERAL</t>
  </si>
  <si>
    <t>PROCESSED - SPECIFIC</t>
  </si>
  <si>
    <t>BASIS</t>
  </si>
  <si>
    <t>VALUE</t>
  </si>
  <si>
    <t>R&amp;d</t>
  </si>
  <si>
    <t>SGA</t>
  </si>
  <si>
    <t>EPS</t>
  </si>
  <si>
    <t>EPS-ADJ</t>
  </si>
  <si>
    <t>asset</t>
  </si>
  <si>
    <t>equity</t>
  </si>
  <si>
    <t>Debt</t>
  </si>
  <si>
    <t>BALANCE m$</t>
  </si>
  <si>
    <t>combined</t>
  </si>
  <si>
    <t>roa</t>
  </si>
  <si>
    <t>roa-bit</t>
  </si>
  <si>
    <t>other</t>
  </si>
  <si>
    <t>payout</t>
  </si>
  <si>
    <t>list</t>
  </si>
  <si>
    <t>index</t>
  </si>
  <si>
    <t>i_cost</t>
  </si>
  <si>
    <t>i</t>
  </si>
  <si>
    <t>ii_low</t>
  </si>
  <si>
    <t>ii_med</t>
  </si>
  <si>
    <t>ii_high</t>
  </si>
  <si>
    <t>iii_low</t>
  </si>
  <si>
    <t>iii_med</t>
  </si>
  <si>
    <t>iii_high</t>
  </si>
  <si>
    <t>iv_rate</t>
  </si>
  <si>
    <t>iv_platy</t>
  </si>
  <si>
    <t>iv_cap</t>
  </si>
  <si>
    <t>x_div</t>
  </si>
  <si>
    <t>projection</t>
  </si>
  <si>
    <t>roe</t>
  </si>
  <si>
    <t>2020-2023</t>
  </si>
  <si>
    <t>rev/asset</t>
  </si>
  <si>
    <t>crate</t>
  </si>
  <si>
    <t>iii_std_down</t>
  </si>
  <si>
    <t>mult</t>
  </si>
  <si>
    <t>sga-pj</t>
  </si>
  <si>
    <t>roe-pj</t>
  </si>
  <si>
    <t>leverage</t>
  </si>
  <si>
    <t>mrate</t>
  </si>
  <si>
    <t>grate</t>
  </si>
  <si>
    <t>mult buffer</t>
  </si>
  <si>
    <t>market</t>
  </si>
  <si>
    <t>profitibility</t>
  </si>
  <si>
    <t>ii_net</t>
  </si>
  <si>
    <t>iii_Net</t>
  </si>
  <si>
    <t>expansion</t>
  </si>
  <si>
    <t>robust</t>
  </si>
  <si>
    <t>sga eco</t>
  </si>
  <si>
    <t>specific</t>
  </si>
  <si>
    <t>calculation</t>
  </si>
  <si>
    <t>simple</t>
  </si>
  <si>
    <t>avgerage</t>
  </si>
  <si>
    <t>g-pj</t>
  </si>
  <si>
    <t>next-adj</t>
  </si>
  <si>
    <t>V</t>
  </si>
  <si>
    <t>V-r b$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</si>
</sst>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9" fontId="2" fillId="0" borderId="0" xfId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2" fillId="0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9E57-31C9-4EB8-AB8B-AFCA5381FFA8}">
  <dimension ref="A1:O38"/>
  <sheetViews>
    <sheetView tabSelected="1" workbookViewId="0">
      <selection activeCell="N22" sqref="N22"/>
    </sheetView>
  </sheetViews>
  <sheetFormatPr defaultRowHeight="15" x14ac:dyDescent="0.3"/>
  <cols>
    <col min="1" max="19" width="12.77734375" style="1" customWidth="1"/>
    <col min="20" max="16384" width="8.88671875" style="1"/>
  </cols>
  <sheetData>
    <row r="1" spans="1:15" x14ac:dyDescent="0.3">
      <c r="A1" s="1" t="s">
        <v>8</v>
      </c>
    </row>
    <row r="2" spans="1:15" x14ac:dyDescent="0.3">
      <c r="B2" s="1" t="s">
        <v>6</v>
      </c>
      <c r="F2" s="1" t="s">
        <v>7</v>
      </c>
      <c r="G2" s="1" t="s">
        <v>23</v>
      </c>
      <c r="J2" s="1" t="s">
        <v>27</v>
      </c>
    </row>
    <row r="3" spans="1:15" x14ac:dyDescent="0.3">
      <c r="B3" s="1" t="s">
        <v>4</v>
      </c>
      <c r="C3" s="1" t="s">
        <v>5</v>
      </c>
      <c r="D3" s="1" t="s">
        <v>10</v>
      </c>
      <c r="E3" s="1" t="s">
        <v>9</v>
      </c>
      <c r="G3" s="1" t="s">
        <v>20</v>
      </c>
      <c r="H3" s="1" t="s">
        <v>21</v>
      </c>
      <c r="I3" s="1" t="s">
        <v>22</v>
      </c>
      <c r="J3" s="1" t="s">
        <v>28</v>
      </c>
      <c r="K3" s="1" t="s">
        <v>47</v>
      </c>
      <c r="L3" s="1" t="s">
        <v>53</v>
      </c>
      <c r="M3" s="1" t="s">
        <v>54</v>
      </c>
      <c r="N3" s="1" t="s">
        <v>55</v>
      </c>
      <c r="O3" s="1" t="s">
        <v>62</v>
      </c>
    </row>
    <row r="4" spans="1:15" x14ac:dyDescent="0.3">
      <c r="A4" s="1">
        <v>2023</v>
      </c>
      <c r="B4" s="1">
        <v>17273</v>
      </c>
      <c r="C4" s="1">
        <v>21927</v>
      </c>
      <c r="D4" s="1">
        <v>26086</v>
      </c>
      <c r="E4" s="1">
        <v>32653</v>
      </c>
      <c r="F4" s="1">
        <v>2085</v>
      </c>
      <c r="G4" s="1">
        <v>90499</v>
      </c>
      <c r="H4" s="1">
        <v>38733</v>
      </c>
      <c r="I4" s="1">
        <v>51766</v>
      </c>
      <c r="J4" s="6">
        <v>2.08</v>
      </c>
      <c r="K4" s="2">
        <v>0.05</v>
      </c>
      <c r="L4" s="2">
        <v>0.1</v>
      </c>
      <c r="M4" s="2">
        <v>0.2</v>
      </c>
      <c r="N4" s="6">
        <f>196/165</f>
        <v>1.187878787878788</v>
      </c>
      <c r="O4" s="2">
        <v>0.8</v>
      </c>
    </row>
    <row r="5" spans="1:15" x14ac:dyDescent="0.3">
      <c r="J5" s="2"/>
    </row>
    <row r="6" spans="1:15" s="3" customFormat="1" x14ac:dyDescent="0.3"/>
    <row r="7" spans="1:15" x14ac:dyDescent="0.3">
      <c r="A7" s="1" t="s">
        <v>12</v>
      </c>
    </row>
    <row r="8" spans="1:15" x14ac:dyDescent="0.3">
      <c r="B8" s="1" t="s">
        <v>3</v>
      </c>
      <c r="G8" s="1" t="s">
        <v>24</v>
      </c>
    </row>
    <row r="9" spans="1:15" x14ac:dyDescent="0.3">
      <c r="B9" s="1" t="s">
        <v>10</v>
      </c>
      <c r="C9" s="1" t="s">
        <v>5</v>
      </c>
      <c r="D9" s="1" t="s">
        <v>11</v>
      </c>
      <c r="E9" s="1" t="s">
        <v>18</v>
      </c>
      <c r="F9" s="1" t="s">
        <v>19</v>
      </c>
      <c r="G9" s="1" t="s">
        <v>25</v>
      </c>
      <c r="H9" s="1" t="s">
        <v>26</v>
      </c>
      <c r="I9" s="1" t="s">
        <v>44</v>
      </c>
      <c r="J9" s="1" t="s">
        <v>46</v>
      </c>
      <c r="K9" s="1" t="s">
        <v>52</v>
      </c>
      <c r="L9" s="1" t="s">
        <v>49</v>
      </c>
      <c r="M9" s="1" t="s">
        <v>51</v>
      </c>
    </row>
    <row r="10" spans="1:15" x14ac:dyDescent="0.3">
      <c r="A10" s="1">
        <v>2023</v>
      </c>
      <c r="B10" s="4">
        <f>D4/E4</f>
        <v>0.79888524790983984</v>
      </c>
      <c r="C10" s="4">
        <f>C4/E4</f>
        <v>0.67151563409181392</v>
      </c>
      <c r="D10" s="13">
        <f>B4/E4</f>
        <v>0.52898661684990655</v>
      </c>
      <c r="E10" s="5">
        <f>B4/F4</f>
        <v>8.2844124700239803</v>
      </c>
      <c r="G10" s="4">
        <f>B4/G4</f>
        <v>0.19086398744737512</v>
      </c>
      <c r="H10" s="4">
        <f>C4/G4</f>
        <v>0.24228997005491773</v>
      </c>
      <c r="I10" s="4">
        <f>B4/H4</f>
        <v>0.44595048150156197</v>
      </c>
      <c r="J10" s="6">
        <f>E4/G4</f>
        <v>0.36081061669189712</v>
      </c>
      <c r="K10" s="6">
        <f>G4/H4</f>
        <v>2.3364831022642192</v>
      </c>
      <c r="L10" s="6">
        <f>(H10-K4)/K27</f>
        <v>18.547348787636587</v>
      </c>
      <c r="M10" s="4">
        <f>H27*F4/1000/H28*J10*K10*L10/N4</f>
        <v>7.7287457465490448</v>
      </c>
    </row>
    <row r="11" spans="1:15" x14ac:dyDescent="0.3">
      <c r="B11" s="4"/>
      <c r="C11" s="4"/>
      <c r="D11" s="4"/>
      <c r="E11" s="5"/>
      <c r="G11" s="4"/>
      <c r="H11" s="4"/>
    </row>
    <row r="12" spans="1:15" s="3" customFormat="1" x14ac:dyDescent="0.3"/>
    <row r="13" spans="1:15" x14ac:dyDescent="0.3">
      <c r="A13" s="1" t="s">
        <v>13</v>
      </c>
    </row>
    <row r="14" spans="1:15" x14ac:dyDescent="0.3">
      <c r="B14" s="1" t="s">
        <v>3</v>
      </c>
    </row>
    <row r="15" spans="1:15" x14ac:dyDescent="0.3">
      <c r="B15" s="1" t="s">
        <v>16</v>
      </c>
      <c r="C15" s="1" t="s">
        <v>16</v>
      </c>
      <c r="D15" s="1" t="s">
        <v>17</v>
      </c>
      <c r="E15" s="1" t="s">
        <v>17</v>
      </c>
      <c r="F15" s="1" t="s">
        <v>50</v>
      </c>
      <c r="G15" s="1" t="s">
        <v>58</v>
      </c>
      <c r="H15" s="1" t="s">
        <v>59</v>
      </c>
      <c r="I15" s="1" t="s">
        <v>60</v>
      </c>
      <c r="J15" s="1" t="s">
        <v>61</v>
      </c>
    </row>
    <row r="16" spans="1:15" x14ac:dyDescent="0.3">
      <c r="A16" s="1" t="s">
        <v>15</v>
      </c>
      <c r="B16" s="4"/>
      <c r="C16" s="4"/>
      <c r="D16" s="4">
        <f>14771/E4</f>
        <v>0.45236272318010595</v>
      </c>
      <c r="E16" s="4">
        <f>11597/41651</f>
        <v>0.27843269069170007</v>
      </c>
      <c r="F16" s="11">
        <f>B10-H27*F4/1000/H28/0.7</f>
        <v>-3.9916479330174393E-2</v>
      </c>
      <c r="G16" s="6">
        <f>E27*$F4/1000/E28</f>
        <v>0.57723288814691154</v>
      </c>
      <c r="H16" s="6">
        <f>H27*$F4/1000/H28</f>
        <v>0.58716120906800995</v>
      </c>
      <c r="I16" s="11">
        <f>H16-G16</f>
        <v>9.9283209210984102E-3</v>
      </c>
      <c r="J16" s="2">
        <f>(1+F22)/(1+F22*O4)-1</f>
        <v>2.7517300713487236E-2</v>
      </c>
    </row>
    <row r="17" spans="1:14" x14ac:dyDescent="0.3">
      <c r="A17" s="1" t="s">
        <v>14</v>
      </c>
      <c r="B17" s="1">
        <v>2023</v>
      </c>
      <c r="C17" s="1" t="s">
        <v>45</v>
      </c>
      <c r="D17" s="1">
        <v>2023</v>
      </c>
      <c r="E17" s="1">
        <v>2020</v>
      </c>
      <c r="F17" s="1">
        <v>2025</v>
      </c>
    </row>
    <row r="19" spans="1:14" s="3" customFormat="1" x14ac:dyDescent="0.3"/>
    <row r="20" spans="1:14" x14ac:dyDescent="0.3">
      <c r="A20" s="1" t="s">
        <v>0</v>
      </c>
    </row>
    <row r="21" spans="1:14" x14ac:dyDescent="0.3">
      <c r="B21" s="1" t="s">
        <v>1</v>
      </c>
      <c r="C21" s="1" t="s">
        <v>2</v>
      </c>
      <c r="D21" s="1" t="s">
        <v>68</v>
      </c>
      <c r="F21" s="1" t="s">
        <v>56</v>
      </c>
      <c r="G21" s="1" t="s">
        <v>63</v>
      </c>
      <c r="H21" s="1" t="s">
        <v>57</v>
      </c>
      <c r="I21" s="1" t="s">
        <v>28</v>
      </c>
      <c r="J21" s="1" t="s">
        <v>67</v>
      </c>
      <c r="L21" s="1" t="str">
        <f>M9</f>
        <v>roe-pj</v>
      </c>
      <c r="N21" s="1" t="s">
        <v>66</v>
      </c>
    </row>
    <row r="22" spans="1:14" x14ac:dyDescent="0.3">
      <c r="A22" s="1" t="s">
        <v>0</v>
      </c>
      <c r="B22" s="7">
        <v>0.15629999999999999</v>
      </c>
      <c r="C22" s="7">
        <v>0.1338</v>
      </c>
      <c r="D22" s="2">
        <f>C22</f>
        <v>0.1338</v>
      </c>
      <c r="F22" s="2">
        <f>J28</f>
        <v>0.15460359840188387</v>
      </c>
      <c r="G22" s="2">
        <v>0</v>
      </c>
      <c r="H22" s="2">
        <v>0</v>
      </c>
      <c r="I22" s="2">
        <f>J4/E27</f>
        <v>0.20904522613065329</v>
      </c>
      <c r="J22" s="2">
        <f>SUM(F22:H22)/(1-I22)</f>
        <v>0.19546452402779471</v>
      </c>
      <c r="L22" s="12">
        <v>0.3</v>
      </c>
      <c r="N22" s="4">
        <f>SUM(D22,J22,L22)/3</f>
        <v>0.20975484134259825</v>
      </c>
    </row>
    <row r="24" spans="1:14" s="3" customFormat="1" x14ac:dyDescent="0.3"/>
    <row r="25" spans="1:14" x14ac:dyDescent="0.3">
      <c r="A25" s="1" t="s">
        <v>43</v>
      </c>
    </row>
    <row r="26" spans="1:14" x14ac:dyDescent="0.3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48</v>
      </c>
    </row>
    <row r="27" spans="1:14" x14ac:dyDescent="0.3">
      <c r="A27" s="1" t="str">
        <f>A33</f>
        <v>V</v>
      </c>
      <c r="C27" s="5">
        <f>E10</f>
        <v>8.2844124700239803</v>
      </c>
      <c r="D27" s="1">
        <v>9.75</v>
      </c>
      <c r="E27" s="1">
        <v>9.9499999999999993</v>
      </c>
      <c r="F27" s="1">
        <v>10.1</v>
      </c>
      <c r="G27" s="1">
        <v>10.73</v>
      </c>
      <c r="H27" s="1">
        <v>11.18</v>
      </c>
      <c r="I27" s="1">
        <v>11.5</v>
      </c>
      <c r="J27" s="4">
        <f>(H27/C27)^0.5-1</f>
        <v>0.16168944901917959</v>
      </c>
      <c r="K27" s="8">
        <f>(H27-G27)/G4*F4</f>
        <v>1.0367517873125653E-2</v>
      </c>
    </row>
    <row r="28" spans="1:14" x14ac:dyDescent="0.3">
      <c r="A28" s="1" t="s">
        <v>70</v>
      </c>
      <c r="C28" s="1">
        <v>29.78</v>
      </c>
      <c r="D28" s="1">
        <v>35.47</v>
      </c>
      <c r="E28" s="1">
        <v>35.94</v>
      </c>
      <c r="F28" s="1">
        <v>36.450000000000003</v>
      </c>
      <c r="G28" s="1">
        <v>38.659999999999997</v>
      </c>
      <c r="H28" s="1">
        <v>39.700000000000003</v>
      </c>
      <c r="I28" s="1">
        <v>40.46</v>
      </c>
      <c r="J28" s="4">
        <f>(H28/C28)^0.5-1</f>
        <v>0.15460359840188387</v>
      </c>
      <c r="K28" s="8">
        <f>(H28-G28)/G4*1000</f>
        <v>1.149183968883641E-2</v>
      </c>
    </row>
    <row r="30" spans="1:14" s="3" customFormat="1" x14ac:dyDescent="0.3"/>
    <row r="31" spans="1:14" x14ac:dyDescent="0.3">
      <c r="A31" s="1" t="s">
        <v>29</v>
      </c>
    </row>
    <row r="32" spans="1:14" x14ac:dyDescent="0.3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36</v>
      </c>
      <c r="H32" s="1" t="s">
        <v>37</v>
      </c>
      <c r="I32" s="1" t="s">
        <v>38</v>
      </c>
      <c r="J32" s="1" t="s">
        <v>39</v>
      </c>
      <c r="K32" s="1" t="s">
        <v>40</v>
      </c>
      <c r="L32" s="1" t="s">
        <v>41</v>
      </c>
      <c r="M32" s="1" t="s">
        <v>42</v>
      </c>
    </row>
    <row r="33" spans="1:13" x14ac:dyDescent="0.3">
      <c r="A33" s="1" t="s">
        <v>69</v>
      </c>
      <c r="B33" s="1">
        <v>275</v>
      </c>
      <c r="C33" s="1">
        <v>8</v>
      </c>
      <c r="D33" s="1">
        <v>9.75</v>
      </c>
      <c r="E33" s="1">
        <v>9.9499999999999993</v>
      </c>
      <c r="F33" s="1">
        <v>10.1</v>
      </c>
      <c r="G33" s="1">
        <v>10.73</v>
      </c>
      <c r="H33" s="1">
        <v>11.18</v>
      </c>
      <c r="I33" s="1">
        <v>11.5</v>
      </c>
      <c r="J33" s="1">
        <v>14</v>
      </c>
      <c r="K33" s="1">
        <v>50</v>
      </c>
      <c r="L33" s="1">
        <v>160</v>
      </c>
      <c r="M33" s="1">
        <v>0</v>
      </c>
    </row>
    <row r="35" spans="1:13" s="3" customFormat="1" x14ac:dyDescent="0.3">
      <c r="D35" s="9"/>
      <c r="E35" s="9"/>
    </row>
    <row r="36" spans="1:13" x14ac:dyDescent="0.3">
      <c r="A36" s="1" t="s">
        <v>64</v>
      </c>
    </row>
    <row r="37" spans="1:13" x14ac:dyDescent="0.3">
      <c r="A37" s="1" t="s">
        <v>65</v>
      </c>
      <c r="B37" s="10">
        <f>H27*(1+N22)^10/(1+L4)^12*MIN(L22,N22)*100</f>
        <v>501.66668740284274</v>
      </c>
    </row>
    <row r="38" spans="1:13" x14ac:dyDescent="0.3">
      <c r="A38" s="2">
        <v>0.8</v>
      </c>
      <c r="B38" s="10">
        <f>B37*A38</f>
        <v>401.33334992227424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6:Q15"/>
  <sheetViews>
    <sheetView workbookViewId="0">
      <selection activeCell="Q1" sqref="Q1:Q1048576"/>
    </sheetView>
  </sheetViews>
  <sheetFormatPr defaultRowHeight="14.4" x14ac:dyDescent="0.3"/>
  <sheetData>
    <row r="6" spans="17:17" x14ac:dyDescent="0.3">
      <c r="Q6">
        <f>21252+26492+31352+34857</f>
        <v>113953</v>
      </c>
    </row>
    <row r="15" spans="17:17" x14ac:dyDescent="0.3">
      <c r="Q15">
        <f>3598+4465+5055+4906</f>
        <v>18024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150C-349B-4F9D-BE9E-1058992636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CE3-5182-4819-A318-51EB534E57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882-9A1A-4B01-8BDA-8E030D2FBB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INCOME</vt:lpstr>
      <vt:lpstr>BALANCE</vt:lpstr>
      <vt:lpstr>CASH</vt:lpstr>
      <vt:lpstr>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2024-06-23T06:59:02Z</dcterms:modified>
</cp:coreProperties>
</file>