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Yimin\Documents\IG\Info\Yimin_Guess\"/>
    </mc:Choice>
  </mc:AlternateContent>
  <xr:revisionPtr revIDLastSave="0" documentId="13_ncr:1_{39EC15A9-1A29-4C93-A0F4-331F21F43C8B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Table_adjusted" sheetId="4" r:id="rId1"/>
    <sheet name="Growth" sheetId="1" r:id="rId2"/>
    <sheet name="Value" sheetId="3" r:id="rId3"/>
    <sheet name="Assump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" i="4" l="1"/>
  <c r="M80" i="4"/>
  <c r="U80" i="4" s="1"/>
  <c r="L80" i="4"/>
  <c r="I80" i="4"/>
  <c r="C3" i="4"/>
  <c r="L27" i="4" s="1"/>
  <c r="C4" i="4"/>
  <c r="M8" i="2"/>
  <c r="D27" i="4"/>
  <c r="I63" i="4"/>
  <c r="I23" i="4"/>
  <c r="I25" i="4"/>
  <c r="N56" i="4"/>
  <c r="I43" i="4"/>
  <c r="I44" i="4"/>
  <c r="I45" i="4"/>
  <c r="I42" i="4"/>
  <c r="I75" i="4"/>
  <c r="L76" i="4"/>
  <c r="K76" i="4" s="1"/>
  <c r="M76" i="4" s="1"/>
  <c r="D76" i="4" s="1"/>
  <c r="I78" i="4"/>
  <c r="I77" i="4"/>
  <c r="H76" i="4"/>
  <c r="G76" i="4"/>
  <c r="I76" i="4" s="1"/>
  <c r="I73" i="4"/>
  <c r="I72" i="4"/>
  <c r="K70" i="4"/>
  <c r="I70" i="4"/>
  <c r="I69" i="4"/>
  <c r="I32" i="4"/>
  <c r="I33" i="4" s="1"/>
  <c r="B5" i="4"/>
  <c r="L55" i="4"/>
  <c r="K55" i="4"/>
  <c r="H62" i="4"/>
  <c r="I62" i="4"/>
  <c r="I29" i="4"/>
  <c r="D33" i="4"/>
  <c r="L82" i="4"/>
  <c r="M82" i="4" s="1"/>
  <c r="L83" i="4"/>
  <c r="M83" i="4" s="1"/>
  <c r="Q83" i="4" s="1"/>
  <c r="I82" i="4"/>
  <c r="C10" i="4"/>
  <c r="L47" i="4" s="1"/>
  <c r="D10" i="4"/>
  <c r="L54" i="4"/>
  <c r="L56" i="4" s="1"/>
  <c r="I37" i="4"/>
  <c r="B55" i="4"/>
  <c r="B56" i="4" s="1"/>
  <c r="D5" i="4"/>
  <c r="I17" i="4"/>
  <c r="M60" i="4"/>
  <c r="K54" i="4"/>
  <c r="J54" i="4"/>
  <c r="H54" i="4"/>
  <c r="G54" i="4"/>
  <c r="N54" i="4"/>
  <c r="D54" i="4"/>
  <c r="K88" i="4"/>
  <c r="I88" i="4"/>
  <c r="D88" i="4"/>
  <c r="K87" i="4"/>
  <c r="I87" i="4"/>
  <c r="B87" i="4"/>
  <c r="I83" i="4"/>
  <c r="C83" i="4"/>
  <c r="I52" i="4"/>
  <c r="D52" i="4"/>
  <c r="L67" i="4"/>
  <c r="M67" i="4" s="1"/>
  <c r="I67" i="4"/>
  <c r="L66" i="4"/>
  <c r="K66" i="4"/>
  <c r="I66" i="4"/>
  <c r="L65" i="4"/>
  <c r="M65" i="4" s="1"/>
  <c r="I65" i="4"/>
  <c r="L59" i="4"/>
  <c r="M59" i="4" s="1"/>
  <c r="I47" i="4"/>
  <c r="B48" i="4"/>
  <c r="I40" i="4"/>
  <c r="I39" i="4"/>
  <c r="I38" i="4"/>
  <c r="I31" i="4"/>
  <c r="J30" i="4"/>
  <c r="G30" i="4"/>
  <c r="I30" i="4" s="1"/>
  <c r="D30" i="4"/>
  <c r="I28" i="4"/>
  <c r="I27" i="4"/>
  <c r="B27" i="4"/>
  <c r="Q8" i="4"/>
  <c r="D7" i="4"/>
  <c r="C7" i="4"/>
  <c r="L40" i="4" s="1"/>
  <c r="B7" i="4"/>
  <c r="D6" i="4"/>
  <c r="B6" i="4"/>
  <c r="Q5" i="4"/>
  <c r="L30" i="4"/>
  <c r="E2" i="4"/>
  <c r="C2" i="4"/>
  <c r="L17" i="4" s="1"/>
  <c r="K17" i="4" s="1"/>
  <c r="M17" i="4" s="1"/>
  <c r="M31" i="1"/>
  <c r="Q8" i="1"/>
  <c r="L31" i="1"/>
  <c r="I31" i="1"/>
  <c r="I22" i="1"/>
  <c r="I23" i="1"/>
  <c r="I21" i="1"/>
  <c r="I34" i="1"/>
  <c r="I32" i="1"/>
  <c r="Q5" i="1"/>
  <c r="K7" i="3"/>
  <c r="K8" i="3"/>
  <c r="K9" i="3"/>
  <c r="K6" i="3"/>
  <c r="D9" i="3"/>
  <c r="G9" i="3" s="1"/>
  <c r="J9" i="3" s="1"/>
  <c r="D8" i="3"/>
  <c r="G8" i="3" s="1"/>
  <c r="J8" i="3" s="1"/>
  <c r="L9" i="3" s="1"/>
  <c r="D7" i="3"/>
  <c r="G7" i="3" s="1"/>
  <c r="J7" i="3" s="1"/>
  <c r="D6" i="3"/>
  <c r="G6" i="3" s="1"/>
  <c r="J6" i="3" s="1"/>
  <c r="M46" i="1"/>
  <c r="U46" i="1" s="1"/>
  <c r="I46" i="1"/>
  <c r="D46" i="1"/>
  <c r="Q46" i="1" s="1"/>
  <c r="M48" i="1"/>
  <c r="U48" i="1" s="1"/>
  <c r="L48" i="1"/>
  <c r="I48" i="1"/>
  <c r="C48" i="1"/>
  <c r="C2" i="1"/>
  <c r="I26" i="1"/>
  <c r="B6" i="1"/>
  <c r="D6" i="1"/>
  <c r="K43" i="1"/>
  <c r="I25" i="1"/>
  <c r="I20" i="1" s="1"/>
  <c r="M11" i="2"/>
  <c r="N4" i="2"/>
  <c r="E2" i="1"/>
  <c r="I14" i="1" s="1"/>
  <c r="M16" i="2"/>
  <c r="S6" i="2"/>
  <c r="S4" i="2"/>
  <c r="S3" i="2"/>
  <c r="M4" i="2"/>
  <c r="C3" i="1" s="1"/>
  <c r="L32" i="1" s="1"/>
  <c r="M3" i="2"/>
  <c r="I11" i="2"/>
  <c r="I16" i="2" s="1"/>
  <c r="M6" i="2"/>
  <c r="I6" i="2"/>
  <c r="I3" i="2"/>
  <c r="T80" i="4" l="1"/>
  <c r="O80" i="4"/>
  <c r="Q80" i="4" s="1"/>
  <c r="K75" i="4"/>
  <c r="L75" i="4"/>
  <c r="L77" i="4"/>
  <c r="O76" i="4"/>
  <c r="Q76" i="4" s="1"/>
  <c r="T76" i="4"/>
  <c r="U76" i="4"/>
  <c r="M27" i="4"/>
  <c r="U27" i="4" s="1"/>
  <c r="C5" i="4"/>
  <c r="L23" i="4" s="1"/>
  <c r="M47" i="4"/>
  <c r="D47" i="4" s="1"/>
  <c r="M31" i="4"/>
  <c r="M56" i="4"/>
  <c r="O56" i="4" s="1"/>
  <c r="Q82" i="4"/>
  <c r="P82" i="4" s="1"/>
  <c r="L62" i="4"/>
  <c r="M55" i="4"/>
  <c r="L81" i="4"/>
  <c r="L51" i="4"/>
  <c r="M51" i="4" s="1"/>
  <c r="D51" i="4" s="1"/>
  <c r="T82" i="4"/>
  <c r="U82" i="4"/>
  <c r="M66" i="4"/>
  <c r="Q66" i="4" s="1"/>
  <c r="L52" i="4"/>
  <c r="K52" i="4" s="1"/>
  <c r="M52" i="4" s="1"/>
  <c r="L32" i="4"/>
  <c r="M32" i="4" s="1"/>
  <c r="U32" i="4" s="1"/>
  <c r="Q59" i="4"/>
  <c r="M54" i="4"/>
  <c r="Q54" i="4" s="1"/>
  <c r="S54" i="4" s="1"/>
  <c r="Q17" i="4"/>
  <c r="R17" i="4" s="1"/>
  <c r="M48" i="4"/>
  <c r="M30" i="4"/>
  <c r="Q30" i="4" s="1"/>
  <c r="M40" i="4"/>
  <c r="T40" i="4" s="1"/>
  <c r="U67" i="4"/>
  <c r="T83" i="4"/>
  <c r="U59" i="4"/>
  <c r="Q65" i="4"/>
  <c r="U65" i="4"/>
  <c r="T65" i="4"/>
  <c r="U17" i="4"/>
  <c r="T17" i="4"/>
  <c r="L38" i="4"/>
  <c r="M38" i="4" s="1"/>
  <c r="L28" i="4"/>
  <c r="L33" i="4"/>
  <c r="L39" i="4"/>
  <c r="M39" i="4" s="1"/>
  <c r="D39" i="4" s="1"/>
  <c r="T67" i="4"/>
  <c r="B88" i="4"/>
  <c r="C6" i="4"/>
  <c r="L42" i="4" s="1"/>
  <c r="D31" i="1"/>
  <c r="T31" i="1" s="1"/>
  <c r="O31" i="1"/>
  <c r="M32" i="1"/>
  <c r="D32" i="1" s="1"/>
  <c r="Q48" i="1"/>
  <c r="L27" i="1"/>
  <c r="K27" i="1" s="1"/>
  <c r="I27" i="1"/>
  <c r="S46" i="1"/>
  <c r="T46" i="1"/>
  <c r="T48" i="1"/>
  <c r="M15" i="2"/>
  <c r="S11" i="2"/>
  <c r="S8" i="2"/>
  <c r="I15" i="2"/>
  <c r="I8" i="2"/>
  <c r="S80" i="4" l="1"/>
  <c r="R80" i="4"/>
  <c r="P80" i="4"/>
  <c r="M23" i="4"/>
  <c r="Q23" i="4" s="1"/>
  <c r="S23" i="4" s="1"/>
  <c r="L25" i="4"/>
  <c r="M25" i="4" s="1"/>
  <c r="M42" i="4"/>
  <c r="D42" i="4" s="1"/>
  <c r="T42" i="4" s="1"/>
  <c r="L43" i="4"/>
  <c r="M43" i="4" s="1"/>
  <c r="L44" i="4"/>
  <c r="M44" i="4" s="1"/>
  <c r="L45" i="4"/>
  <c r="M45" i="4" s="1"/>
  <c r="M75" i="4"/>
  <c r="D75" i="4" s="1"/>
  <c r="U75" i="4" s="1"/>
  <c r="K77" i="4"/>
  <c r="M77" i="4" s="1"/>
  <c r="O77" i="4" s="1"/>
  <c r="L78" i="4"/>
  <c r="M78" i="4" s="1"/>
  <c r="S76" i="4"/>
  <c r="P76" i="4"/>
  <c r="R76" i="4"/>
  <c r="M81" i="4"/>
  <c r="O81" i="4" s="1"/>
  <c r="L72" i="4"/>
  <c r="R82" i="4"/>
  <c r="D56" i="4"/>
  <c r="Q56" i="4" s="1"/>
  <c r="S56" i="4" s="1"/>
  <c r="S82" i="4"/>
  <c r="O55" i="4"/>
  <c r="D55" i="4"/>
  <c r="T55" i="4" s="1"/>
  <c r="L63" i="4"/>
  <c r="M62" i="4"/>
  <c r="O27" i="4"/>
  <c r="T27" i="4"/>
  <c r="O51" i="4"/>
  <c r="Q51" i="4" s="1"/>
  <c r="R51" i="4" s="1"/>
  <c r="L29" i="4"/>
  <c r="M29" i="4" s="1"/>
  <c r="M28" i="4"/>
  <c r="Q28" i="4" s="1"/>
  <c r="S28" i="4" s="1"/>
  <c r="T51" i="4"/>
  <c r="U51" i="4"/>
  <c r="T66" i="4"/>
  <c r="U66" i="4"/>
  <c r="T32" i="4"/>
  <c r="Q32" i="4"/>
  <c r="R32" i="4" s="1"/>
  <c r="T54" i="4"/>
  <c r="U54" i="4"/>
  <c r="P17" i="4"/>
  <c r="U30" i="4"/>
  <c r="T30" i="4"/>
  <c r="R54" i="4"/>
  <c r="P54" i="4"/>
  <c r="Q40" i="4"/>
  <c r="R40" i="4" s="1"/>
  <c r="L37" i="4"/>
  <c r="M37" i="4" s="1"/>
  <c r="D37" i="4" s="1"/>
  <c r="U40" i="4"/>
  <c r="U83" i="4"/>
  <c r="Q67" i="4"/>
  <c r="R67" i="4" s="1"/>
  <c r="P59" i="4"/>
  <c r="P83" i="4"/>
  <c r="T59" i="4"/>
  <c r="O39" i="4"/>
  <c r="T39" i="4"/>
  <c r="L87" i="4"/>
  <c r="M87" i="4" s="1"/>
  <c r="Q87" i="4" s="1"/>
  <c r="Q31" i="4"/>
  <c r="O47" i="4"/>
  <c r="P65" i="4"/>
  <c r="R65" i="4"/>
  <c r="S65" i="4"/>
  <c r="S66" i="4"/>
  <c r="R66" i="4"/>
  <c r="P66" i="4"/>
  <c r="M33" i="4"/>
  <c r="S30" i="4"/>
  <c r="R30" i="4"/>
  <c r="P30" i="4"/>
  <c r="S17" i="4"/>
  <c r="U31" i="1"/>
  <c r="Q31" i="1"/>
  <c r="O32" i="1"/>
  <c r="Q32" i="1" s="1"/>
  <c r="T32" i="1"/>
  <c r="U32" i="1"/>
  <c r="J27" i="1"/>
  <c r="M27" i="1" s="1"/>
  <c r="R46" i="1"/>
  <c r="P46" i="1"/>
  <c r="S48" i="1"/>
  <c r="R48" i="1"/>
  <c r="P48" i="1"/>
  <c r="S15" i="2"/>
  <c r="S16" i="2"/>
  <c r="U23" i="4" l="1"/>
  <c r="R23" i="4"/>
  <c r="P23" i="4"/>
  <c r="T23" i="4"/>
  <c r="O42" i="4"/>
  <c r="Q42" i="4" s="1"/>
  <c r="U25" i="4"/>
  <c r="T25" i="4"/>
  <c r="Q25" i="4"/>
  <c r="U42" i="4"/>
  <c r="Q45" i="4"/>
  <c r="U45" i="4"/>
  <c r="T45" i="4"/>
  <c r="O44" i="4"/>
  <c r="D44" i="4"/>
  <c r="T44" i="4" s="1"/>
  <c r="T43" i="4"/>
  <c r="Q43" i="4"/>
  <c r="U43" i="4"/>
  <c r="O75" i="4"/>
  <c r="Q75" i="4" s="1"/>
  <c r="T75" i="4"/>
  <c r="D77" i="4"/>
  <c r="Q77" i="4" s="1"/>
  <c r="R77" i="4" s="1"/>
  <c r="D78" i="4"/>
  <c r="U78" i="4" s="1"/>
  <c r="O78" i="4"/>
  <c r="D81" i="4"/>
  <c r="T81" i="4" s="1"/>
  <c r="M72" i="4"/>
  <c r="U72" i="4" s="1"/>
  <c r="L73" i="4"/>
  <c r="M73" i="4" s="1"/>
  <c r="M63" i="4"/>
  <c r="L69" i="4"/>
  <c r="U56" i="4"/>
  <c r="P56" i="4"/>
  <c r="T56" i="4"/>
  <c r="R56" i="4"/>
  <c r="U55" i="4"/>
  <c r="Q55" i="4"/>
  <c r="S55" i="4" s="1"/>
  <c r="U62" i="4"/>
  <c r="T62" i="4"/>
  <c r="Q62" i="4"/>
  <c r="Q27" i="4"/>
  <c r="R27" i="4" s="1"/>
  <c r="S51" i="4"/>
  <c r="P51" i="4"/>
  <c r="O29" i="4"/>
  <c r="D29" i="4"/>
  <c r="U29" i="4" s="1"/>
  <c r="T47" i="4"/>
  <c r="Q47" i="4"/>
  <c r="S87" i="4"/>
  <c r="R87" i="4"/>
  <c r="P87" i="4"/>
  <c r="P32" i="4"/>
  <c r="S32" i="4"/>
  <c r="S67" i="4"/>
  <c r="U37" i="4"/>
  <c r="O37" i="4"/>
  <c r="P40" i="4"/>
  <c r="R83" i="4"/>
  <c r="S83" i="4"/>
  <c r="S40" i="4"/>
  <c r="P67" i="4"/>
  <c r="P28" i="4"/>
  <c r="R28" i="4"/>
  <c r="R59" i="4"/>
  <c r="S59" i="4"/>
  <c r="U47" i="4"/>
  <c r="O38" i="4"/>
  <c r="D38" i="4"/>
  <c r="T38" i="4" s="1"/>
  <c r="U39" i="4"/>
  <c r="R31" i="4"/>
  <c r="P31" i="4"/>
  <c r="S31" i="4"/>
  <c r="Q33" i="4"/>
  <c r="U33" i="4"/>
  <c r="T33" i="4"/>
  <c r="L88" i="4"/>
  <c r="M88" i="4" s="1"/>
  <c r="Q88" i="4" s="1"/>
  <c r="Q39" i="4"/>
  <c r="R31" i="1"/>
  <c r="P31" i="1"/>
  <c r="S31" i="1"/>
  <c r="U27" i="1"/>
  <c r="Q27" i="1"/>
  <c r="T27" i="1"/>
  <c r="S32" i="1"/>
  <c r="R32" i="1"/>
  <c r="P32" i="1"/>
  <c r="C5" i="1"/>
  <c r="M26" i="1" s="1"/>
  <c r="Q26" i="1" s="1"/>
  <c r="C4" i="1"/>
  <c r="L24" i="1" s="1"/>
  <c r="L25" i="1"/>
  <c r="D24" i="1"/>
  <c r="D53" i="1"/>
  <c r="I53" i="1"/>
  <c r="K53" i="1"/>
  <c r="K52" i="1"/>
  <c r="I52" i="1"/>
  <c r="B52" i="1"/>
  <c r="B53" i="1" s="1"/>
  <c r="D5" i="1"/>
  <c r="S25" i="4" l="1"/>
  <c r="R25" i="4"/>
  <c r="P25" i="4"/>
  <c r="D63" i="4"/>
  <c r="T63" i="4" s="1"/>
  <c r="O63" i="4"/>
  <c r="P43" i="4"/>
  <c r="R43" i="4"/>
  <c r="S43" i="4"/>
  <c r="Q44" i="4"/>
  <c r="U44" i="4"/>
  <c r="S45" i="4"/>
  <c r="P45" i="4"/>
  <c r="R45" i="4"/>
  <c r="S42" i="4"/>
  <c r="P42" i="4"/>
  <c r="R42" i="4"/>
  <c r="S77" i="4"/>
  <c r="R75" i="4"/>
  <c r="P75" i="4"/>
  <c r="S75" i="4"/>
  <c r="U77" i="4"/>
  <c r="T77" i="4"/>
  <c r="P77" i="4"/>
  <c r="T78" i="4"/>
  <c r="Q78" i="4"/>
  <c r="Q81" i="4"/>
  <c r="P81" i="4" s="1"/>
  <c r="U81" i="4"/>
  <c r="T72" i="4"/>
  <c r="Q72" i="4"/>
  <c r="S72" i="4" s="1"/>
  <c r="U73" i="4"/>
  <c r="T73" i="4"/>
  <c r="Q73" i="4"/>
  <c r="M69" i="4"/>
  <c r="Q69" i="4" s="1"/>
  <c r="L70" i="4"/>
  <c r="M70" i="4" s="1"/>
  <c r="R55" i="4"/>
  <c r="P55" i="4"/>
  <c r="P62" i="4"/>
  <c r="R62" i="4"/>
  <c r="S62" i="4"/>
  <c r="S27" i="4"/>
  <c r="P27" i="4"/>
  <c r="Q29" i="4"/>
  <c r="T29" i="4"/>
  <c r="S88" i="4"/>
  <c r="P88" i="4"/>
  <c r="R88" i="4"/>
  <c r="Q37" i="4"/>
  <c r="P37" i="4" s="1"/>
  <c r="T37" i="4"/>
  <c r="Q38" i="4"/>
  <c r="R38" i="4" s="1"/>
  <c r="U38" i="4"/>
  <c r="U87" i="4"/>
  <c r="T87" i="4"/>
  <c r="U88" i="4"/>
  <c r="T88" i="4"/>
  <c r="P39" i="4"/>
  <c r="S39" i="4"/>
  <c r="R39" i="4"/>
  <c r="S47" i="4"/>
  <c r="R47" i="4"/>
  <c r="P47" i="4"/>
  <c r="P33" i="4"/>
  <c r="R33" i="4"/>
  <c r="S33" i="4"/>
  <c r="S27" i="1"/>
  <c r="P27" i="1"/>
  <c r="R27" i="1"/>
  <c r="L20" i="1"/>
  <c r="M20" i="1" s="1"/>
  <c r="M25" i="1"/>
  <c r="Q25" i="1" s="1"/>
  <c r="R26" i="1"/>
  <c r="S26" i="1"/>
  <c r="P26" i="1"/>
  <c r="G24" i="1"/>
  <c r="I24" i="1" s="1"/>
  <c r="J24" i="1"/>
  <c r="M24" i="1" s="1"/>
  <c r="Q24" i="1" s="1"/>
  <c r="B35" i="1"/>
  <c r="B36" i="1" s="1"/>
  <c r="C7" i="1"/>
  <c r="L34" i="1" s="1"/>
  <c r="D7" i="1"/>
  <c r="B7" i="1"/>
  <c r="L35" i="1"/>
  <c r="L42" i="1"/>
  <c r="M42" i="1" s="1"/>
  <c r="Q42" i="1" s="1"/>
  <c r="B21" i="1"/>
  <c r="I43" i="1"/>
  <c r="I44" i="1"/>
  <c r="I42" i="1"/>
  <c r="L43" i="1"/>
  <c r="L44" i="1"/>
  <c r="M44" i="1" s="1"/>
  <c r="Q44" i="1" s="1"/>
  <c r="I33" i="1"/>
  <c r="I35" i="1"/>
  <c r="L14" i="1"/>
  <c r="L39" i="1"/>
  <c r="M39" i="1" s="1"/>
  <c r="U63" i="4" l="1"/>
  <c r="Q63" i="4"/>
  <c r="S63" i="4" s="1"/>
  <c r="R44" i="4"/>
  <c r="P44" i="4"/>
  <c r="S44" i="4"/>
  <c r="S81" i="4"/>
  <c r="R81" i="4"/>
  <c r="P78" i="4"/>
  <c r="R78" i="4"/>
  <c r="S78" i="4"/>
  <c r="R72" i="4"/>
  <c r="P72" i="4"/>
  <c r="R73" i="4"/>
  <c r="P73" i="4"/>
  <c r="S73" i="4"/>
  <c r="R63" i="4"/>
  <c r="T69" i="4"/>
  <c r="O70" i="4"/>
  <c r="D70" i="4"/>
  <c r="U70" i="4" s="1"/>
  <c r="U69" i="4"/>
  <c r="S69" i="4"/>
  <c r="R69" i="4"/>
  <c r="P69" i="4"/>
  <c r="P29" i="4"/>
  <c r="S29" i="4"/>
  <c r="R29" i="4"/>
  <c r="R37" i="4"/>
  <c r="S37" i="4"/>
  <c r="S38" i="4"/>
  <c r="P38" i="4"/>
  <c r="Q20" i="1"/>
  <c r="P20" i="1" s="1"/>
  <c r="Q39" i="1"/>
  <c r="P39" i="1" s="1"/>
  <c r="R20" i="1"/>
  <c r="S20" i="1"/>
  <c r="K14" i="1"/>
  <c r="M14" i="1" s="1"/>
  <c r="U14" i="1" s="1"/>
  <c r="S39" i="1"/>
  <c r="U39" i="1"/>
  <c r="T39" i="1"/>
  <c r="R44" i="1"/>
  <c r="T44" i="1"/>
  <c r="U44" i="1"/>
  <c r="S42" i="1"/>
  <c r="T42" i="1"/>
  <c r="U42" i="1"/>
  <c r="L21" i="1"/>
  <c r="M21" i="1" s="1"/>
  <c r="Q21" i="1" s="1"/>
  <c r="L52" i="1"/>
  <c r="M34" i="1"/>
  <c r="Q34" i="1" s="1"/>
  <c r="M35" i="1"/>
  <c r="C6" i="1"/>
  <c r="L33" i="1"/>
  <c r="M43" i="1"/>
  <c r="Q43" i="1" s="1"/>
  <c r="L22" i="1"/>
  <c r="P63" i="4" l="1"/>
  <c r="T70" i="4"/>
  <c r="Q70" i="4"/>
  <c r="O35" i="1"/>
  <c r="D35" i="1"/>
  <c r="Q35" i="1" s="1"/>
  <c r="Q14" i="1"/>
  <c r="S14" i="1" s="1"/>
  <c r="T14" i="1"/>
  <c r="P43" i="1"/>
  <c r="U43" i="1"/>
  <c r="T43" i="1"/>
  <c r="U21" i="1"/>
  <c r="T21" i="1"/>
  <c r="T34" i="1"/>
  <c r="U34" i="1"/>
  <c r="U35" i="1"/>
  <c r="T35" i="1"/>
  <c r="L53" i="1"/>
  <c r="M53" i="1" s="1"/>
  <c r="Q53" i="1" s="1"/>
  <c r="M52" i="1"/>
  <c r="Q52" i="1" s="1"/>
  <c r="R34" i="1"/>
  <c r="P21" i="1"/>
  <c r="S25" i="1"/>
  <c r="M33" i="1"/>
  <c r="R39" i="1"/>
  <c r="M22" i="1"/>
  <c r="Q22" i="1" s="1"/>
  <c r="S44" i="1"/>
  <c r="P42" i="1"/>
  <c r="P44" i="1"/>
  <c r="R42" i="1"/>
  <c r="S70" i="4" l="1"/>
  <c r="P70" i="4"/>
  <c r="R70" i="4"/>
  <c r="S35" i="1"/>
  <c r="D33" i="1"/>
  <c r="O33" i="1"/>
  <c r="R14" i="1"/>
  <c r="P14" i="1"/>
  <c r="U24" i="1"/>
  <c r="T24" i="1"/>
  <c r="S43" i="1"/>
  <c r="R25" i="1"/>
  <c r="T25" i="1"/>
  <c r="U25" i="1"/>
  <c r="R43" i="1"/>
  <c r="P52" i="1"/>
  <c r="U52" i="1"/>
  <c r="T52" i="1"/>
  <c r="S53" i="1"/>
  <c r="U53" i="1"/>
  <c r="T53" i="1"/>
  <c r="S21" i="1"/>
  <c r="R21" i="1"/>
  <c r="P34" i="1"/>
  <c r="S34" i="1"/>
  <c r="R22" i="1"/>
  <c r="P22" i="1"/>
  <c r="T33" i="1" l="1"/>
  <c r="Q33" i="1"/>
  <c r="P35" i="1"/>
  <c r="R35" i="1"/>
  <c r="U33" i="1"/>
  <c r="S33" i="1"/>
  <c r="R52" i="1"/>
  <c r="P24" i="1"/>
  <c r="R24" i="1"/>
  <c r="P53" i="1"/>
  <c r="R53" i="1"/>
  <c r="P25" i="1"/>
  <c r="S52" i="1"/>
  <c r="S24" i="1"/>
  <c r="P33" i="1" l="1"/>
  <c r="R33" i="1"/>
  <c r="T52" i="4"/>
  <c r="Q52" i="4" l="1"/>
  <c r="U52" i="4"/>
  <c r="P52" i="4" l="1"/>
  <c r="R52" i="4"/>
  <c r="S52" i="4"/>
</calcChain>
</file>

<file path=xl/sharedStrings.xml><?xml version="1.0" encoding="utf-8"?>
<sst xmlns="http://schemas.openxmlformats.org/spreadsheetml/2006/main" count="389" uniqueCount="166">
  <si>
    <t>Growth</t>
  </si>
  <si>
    <t>EV</t>
  </si>
  <si>
    <t>Inflation</t>
  </si>
  <si>
    <t>solar</t>
  </si>
  <si>
    <t>Popluation growth</t>
  </si>
  <si>
    <t>semiconductor</t>
  </si>
  <si>
    <t>resource</t>
  </si>
  <si>
    <t>EPS</t>
  </si>
  <si>
    <t>ROA</t>
  </si>
  <si>
    <t>ROE</t>
  </si>
  <si>
    <t>P/E</t>
  </si>
  <si>
    <t>TSLA</t>
  </si>
  <si>
    <t>LCID</t>
  </si>
  <si>
    <t>RIVN</t>
  </si>
  <si>
    <t>NIO</t>
  </si>
  <si>
    <t>EVGO</t>
  </si>
  <si>
    <t>EV infrastructure</t>
  </si>
  <si>
    <t>ENPH</t>
  </si>
  <si>
    <t>solar &amp; battery</t>
  </si>
  <si>
    <t>SEDG</t>
  </si>
  <si>
    <t>FSLR</t>
  </si>
  <si>
    <t>NRGV</t>
  </si>
  <si>
    <t>storage</t>
  </si>
  <si>
    <t>ON</t>
  </si>
  <si>
    <t>NVTS</t>
  </si>
  <si>
    <t>(TSM)</t>
  </si>
  <si>
    <t xml:space="preserve">* different type </t>
  </si>
  <si>
    <t>ALB</t>
  </si>
  <si>
    <t>lithium</t>
  </si>
  <si>
    <t>PLL</t>
  </si>
  <si>
    <t>Low</t>
  </si>
  <si>
    <t>Mid</t>
  </si>
  <si>
    <t>High</t>
  </si>
  <si>
    <t xml:space="preserve">Growth </t>
  </si>
  <si>
    <t>Past</t>
  </si>
  <si>
    <t>Future</t>
  </si>
  <si>
    <t>Current</t>
  </si>
  <si>
    <t>Profit</t>
  </si>
  <si>
    <t>Sectors</t>
  </si>
  <si>
    <t>Cap</t>
  </si>
  <si>
    <t>Estimation</t>
  </si>
  <si>
    <t>Month</t>
  </si>
  <si>
    <t>P/E - 2033</t>
  </si>
  <si>
    <t>Apple</t>
  </si>
  <si>
    <t>Microsoft</t>
  </si>
  <si>
    <t>Google</t>
  </si>
  <si>
    <t>tech</t>
  </si>
  <si>
    <t>Industry</t>
  </si>
  <si>
    <t>Avg.</t>
  </si>
  <si>
    <t>Sector</t>
  </si>
  <si>
    <t>Detail</t>
  </si>
  <si>
    <t>semiconductor R</t>
  </si>
  <si>
    <t>semiconductor T</t>
  </si>
  <si>
    <t>SPWR</t>
  </si>
  <si>
    <t>solar manufacturer</t>
  </si>
  <si>
    <t>Shares m</t>
  </si>
  <si>
    <t>Net Income m</t>
  </si>
  <si>
    <t>CSIQ</t>
  </si>
  <si>
    <t>ASX</t>
  </si>
  <si>
    <t>MEZ.AX</t>
  </si>
  <si>
    <t>renewable</t>
  </si>
  <si>
    <t>MCY.AX</t>
  </si>
  <si>
    <t>The EPS is for continuing operations only</t>
  </si>
  <si>
    <t>PEG</t>
  </si>
  <si>
    <t>(Intel)</t>
  </si>
  <si>
    <t>Residential Solar</t>
  </si>
  <si>
    <t>List</t>
  </si>
  <si>
    <t>Car sale grwoth</t>
  </si>
  <si>
    <t>EV shares</t>
  </si>
  <si>
    <t>1980-2020</t>
  </si>
  <si>
    <t>Annual growth</t>
  </si>
  <si>
    <t>Solar</t>
  </si>
  <si>
    <t>Market size GW (US)</t>
  </si>
  <si>
    <t>Economic growth</t>
  </si>
  <si>
    <t>Residential</t>
  </si>
  <si>
    <t>Non-growing</t>
  </si>
  <si>
    <t>Base</t>
  </si>
  <si>
    <t>Replacement</t>
  </si>
  <si>
    <t>Further growth</t>
  </si>
  <si>
    <t>Path</t>
  </si>
  <si>
    <t>Method 1</t>
  </si>
  <si>
    <t>Method 2</t>
  </si>
  <si>
    <t>Stock</t>
  </si>
  <si>
    <t>Sales</t>
  </si>
  <si>
    <t>Example - max</t>
  </si>
  <si>
    <t>AMD</t>
  </si>
  <si>
    <t>CWEN</t>
  </si>
  <si>
    <t>Renewable</t>
  </si>
  <si>
    <t>operator</t>
  </si>
  <si>
    <t>DIS</t>
  </si>
  <si>
    <t>entertainment</t>
  </si>
  <si>
    <t>Perion (PERI)</t>
  </si>
  <si>
    <t>online ad</t>
  </si>
  <si>
    <t>EPD</t>
  </si>
  <si>
    <t>Dividend</t>
  </si>
  <si>
    <t>Payout</t>
  </si>
  <si>
    <t>Historical</t>
  </si>
  <si>
    <t>YZ Estimation</t>
  </si>
  <si>
    <t>Required Rate</t>
  </si>
  <si>
    <t>ET</t>
  </si>
  <si>
    <t>MMP</t>
  </si>
  <si>
    <t>Floor</t>
  </si>
  <si>
    <t>OKE</t>
  </si>
  <si>
    <t>JKS</t>
  </si>
  <si>
    <t>-10%</t>
  </si>
  <si>
    <t>chip manufacturer</t>
  </si>
  <si>
    <t>EV &amp; Power</t>
  </si>
  <si>
    <t>TXN</t>
  </si>
  <si>
    <t>WACC</t>
  </si>
  <si>
    <t>Dividend value</t>
  </si>
  <si>
    <t>Tax rate</t>
  </si>
  <si>
    <t>MCHP</t>
  </si>
  <si>
    <t>microchips</t>
  </si>
  <si>
    <t>industry</t>
  </si>
  <si>
    <t>Oil &amp; Gas</t>
  </si>
  <si>
    <t>Midstream</t>
  </si>
  <si>
    <t>Solar &amp; battery</t>
  </si>
  <si>
    <t>Solar manufacturer</t>
  </si>
  <si>
    <t>Semiconductor T</t>
  </si>
  <si>
    <t>Semiconductor</t>
  </si>
  <si>
    <t>Resource</t>
  </si>
  <si>
    <t>Tech</t>
  </si>
  <si>
    <t>Entertainment</t>
  </si>
  <si>
    <t>Online ad</t>
  </si>
  <si>
    <t>OXY</t>
  </si>
  <si>
    <t>Operator</t>
  </si>
  <si>
    <t>TMO</t>
  </si>
  <si>
    <t>Research equipment</t>
  </si>
  <si>
    <t>Tech - support</t>
  </si>
  <si>
    <t>SBUX</t>
  </si>
  <si>
    <t>Coffee</t>
  </si>
  <si>
    <t>ULTA</t>
  </si>
  <si>
    <t>Comestic</t>
  </si>
  <si>
    <t>HPQ</t>
  </si>
  <si>
    <t>DELL</t>
  </si>
  <si>
    <t>Computer</t>
  </si>
  <si>
    <t>DVN</t>
  </si>
  <si>
    <t>E&amp;P</t>
  </si>
  <si>
    <t>NEE</t>
  </si>
  <si>
    <t>Regulated electricity</t>
  </si>
  <si>
    <t>DUK</t>
  </si>
  <si>
    <t>$</t>
  </si>
  <si>
    <t>BABA</t>
  </si>
  <si>
    <t>JD</t>
  </si>
  <si>
    <t>TGT</t>
  </si>
  <si>
    <t>Shoping</t>
  </si>
  <si>
    <t>COST</t>
  </si>
  <si>
    <t>Health</t>
  </si>
  <si>
    <t>Medical</t>
  </si>
  <si>
    <t>JNJ</t>
  </si>
  <si>
    <t>LLY</t>
  </si>
  <si>
    <t>PFE</t>
  </si>
  <si>
    <t>ABBV</t>
  </si>
  <si>
    <t>SIE.DE</t>
  </si>
  <si>
    <t>Power Electronic</t>
  </si>
  <si>
    <t>Semiconductor - EV &amp; Power</t>
  </si>
  <si>
    <t>Semiconductor - industry</t>
  </si>
  <si>
    <t>Semiconductor - Microchips</t>
  </si>
  <si>
    <t>Industry, infrastructure, Mobility</t>
  </si>
  <si>
    <t>LII</t>
  </si>
  <si>
    <t>EMR</t>
  </si>
  <si>
    <t>XYL</t>
  </si>
  <si>
    <t>Heat Pump</t>
  </si>
  <si>
    <t>ED</t>
  </si>
  <si>
    <t>TXRH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</si>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</sst>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2" fontId="2" fillId="0" borderId="0" xfId="0" applyNumberFormat="1" applyFont="1"/>
    <xf numFmtId="9" fontId="2" fillId="0" borderId="0" xfId="0" applyNumberFormat="1" applyFont="1"/>
    <xf numFmtId="10" fontId="2" fillId="0" borderId="0" xfId="0" applyNumberFormat="1" applyFont="1"/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9" fontId="2" fillId="3" borderId="0" xfId="1" applyFont="1" applyFill="1"/>
    <xf numFmtId="9" fontId="2" fillId="3" borderId="0" xfId="0" applyNumberFormat="1" applyFont="1" applyFill="1"/>
    <xf numFmtId="10" fontId="2" fillId="5" borderId="0" xfId="0" applyNumberFormat="1" applyFont="1" applyFill="1"/>
    <xf numFmtId="9" fontId="2" fillId="5" borderId="0" xfId="0" applyNumberFormat="1" applyFont="1" applyFill="1"/>
    <xf numFmtId="0" fontId="2" fillId="4" borderId="0" xfId="0" applyFont="1" applyFill="1" applyAlignment="1">
      <alignment wrapText="1"/>
    </xf>
    <xf numFmtId="0" fontId="2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3" fillId="0" borderId="0" xfId="0" applyFont="1"/>
    <xf numFmtId="2" fontId="2" fillId="9" borderId="0" xfId="0" applyNumberFormat="1" applyFont="1" applyFill="1"/>
    <xf numFmtId="2" fontId="2" fillId="10" borderId="0" xfId="0" applyNumberFormat="1" applyFont="1" applyFill="1"/>
    <xf numFmtId="0" fontId="2" fillId="11" borderId="0" xfId="0" applyFont="1" applyFill="1"/>
    <xf numFmtId="2" fontId="2" fillId="11" borderId="0" xfId="0" applyNumberFormat="1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6" borderId="1" xfId="0" applyFont="1" applyFill="1" applyBorder="1"/>
    <xf numFmtId="0" fontId="2" fillId="11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2" fontId="2" fillId="0" borderId="1" xfId="0" applyNumberFormat="1" applyFont="1" applyBorder="1"/>
    <xf numFmtId="2" fontId="2" fillId="2" borderId="1" xfId="0" applyNumberFormat="1" applyFont="1" applyFill="1" applyBorder="1"/>
    <xf numFmtId="2" fontId="2" fillId="9" borderId="1" xfId="0" applyNumberFormat="1" applyFont="1" applyFill="1" applyBorder="1"/>
    <xf numFmtId="2" fontId="2" fillId="10" borderId="1" xfId="0" applyNumberFormat="1" applyFont="1" applyFill="1" applyBorder="1"/>
    <xf numFmtId="164" fontId="2" fillId="3" borderId="0" xfId="0" applyNumberFormat="1" applyFont="1" applyFill="1"/>
    <xf numFmtId="9" fontId="2" fillId="11" borderId="0" xfId="1" applyFont="1" applyFill="1"/>
    <xf numFmtId="9" fontId="2" fillId="11" borderId="1" xfId="1" applyFont="1" applyFill="1" applyBorder="1"/>
    <xf numFmtId="9" fontId="4" fillId="11" borderId="0" xfId="1" applyFont="1" applyFill="1"/>
    <xf numFmtId="9" fontId="0" fillId="11" borderId="1" xfId="1" applyFont="1" applyFill="1" applyBorder="1"/>
    <xf numFmtId="9" fontId="0" fillId="11" borderId="0" xfId="1" applyFont="1" applyFill="1"/>
    <xf numFmtId="10" fontId="2" fillId="11" borderId="0" xfId="0" applyNumberFormat="1" applyFont="1" applyFill="1"/>
    <xf numFmtId="10" fontId="0" fillId="11" borderId="0" xfId="0" applyNumberFormat="1" applyFill="1"/>
    <xf numFmtId="1" fontId="2" fillId="3" borderId="0" xfId="0" applyNumberFormat="1" applyFont="1" applyFill="1"/>
    <xf numFmtId="0" fontId="2" fillId="6" borderId="2" xfId="0" applyFont="1" applyFill="1" applyBorder="1"/>
    <xf numFmtId="0" fontId="2" fillId="11" borderId="2" xfId="0" applyFont="1" applyFill="1" applyBorder="1"/>
    <xf numFmtId="0" fontId="4" fillId="11" borderId="0" xfId="0" applyFont="1" applyFill="1"/>
    <xf numFmtId="0" fontId="0" fillId="11" borderId="0" xfId="0" applyFill="1"/>
    <xf numFmtId="10" fontId="2" fillId="11" borderId="1" xfId="0" applyNumberFormat="1" applyFont="1" applyFill="1" applyBorder="1"/>
    <xf numFmtId="164" fontId="2" fillId="0" borderId="0" xfId="0" applyNumberFormat="1" applyFont="1"/>
    <xf numFmtId="9" fontId="2" fillId="11" borderId="0" xfId="0" applyNumberFormat="1" applyFont="1" applyFill="1"/>
    <xf numFmtId="2" fontId="3" fillId="8" borderId="1" xfId="0" applyNumberFormat="1" applyFont="1" applyFill="1" applyBorder="1" applyAlignment="1">
      <alignment horizontal="center"/>
    </xf>
    <xf numFmtId="2" fontId="3" fillId="8" borderId="0" xfId="0" applyNumberFormat="1" applyFont="1" applyFill="1" applyAlignment="1">
      <alignment horizontal="center"/>
    </xf>
    <xf numFmtId="2" fontId="2" fillId="0" borderId="1" xfId="0" applyNumberFormat="1" applyFont="1" applyBorder="1" applyAlignment="1">
      <alignment wrapText="1"/>
    </xf>
    <xf numFmtId="0" fontId="0" fillId="0" borderId="1" xfId="0" applyBorder="1"/>
    <xf numFmtId="9" fontId="0" fillId="0" borderId="0" xfId="0" applyNumberFormat="1"/>
    <xf numFmtId="9" fontId="0" fillId="0" borderId="0" xfId="1" applyFont="1"/>
    <xf numFmtId="10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" fontId="2" fillId="0" borderId="0" xfId="0" applyNumberFormat="1" applyFont="1"/>
    <xf numFmtId="0" fontId="5" fillId="11" borderId="0" xfId="0" applyFont="1" applyFill="1"/>
    <xf numFmtId="0" fontId="6" fillId="0" borderId="0" xfId="0" applyFont="1"/>
    <xf numFmtId="9" fontId="6" fillId="0" borderId="0" xfId="1" applyFont="1"/>
    <xf numFmtId="10" fontId="6" fillId="0" borderId="0" xfId="1" applyNumberFormat="1" applyFont="1"/>
    <xf numFmtId="10" fontId="6" fillId="0" borderId="0" xfId="0" applyNumberFormat="1" applyFont="1"/>
    <xf numFmtId="9" fontId="6" fillId="0" borderId="0" xfId="0" applyNumberFormat="1" applyFont="1"/>
    <xf numFmtId="44" fontId="6" fillId="0" borderId="0" xfId="2" applyFont="1"/>
    <xf numFmtId="44" fontId="6" fillId="0" borderId="0" xfId="0" applyNumberFormat="1" applyFont="1"/>
    <xf numFmtId="44" fontId="7" fillId="0" borderId="0" xfId="0" applyNumberFormat="1" applyFont="1"/>
    <xf numFmtId="0" fontId="6" fillId="0" borderId="0" xfId="0" quotePrefix="1" applyFont="1"/>
    <xf numFmtId="9" fontId="2" fillId="0" borderId="0" xfId="1" applyFont="1" applyAlignment="1">
      <alignment wrapText="1"/>
    </xf>
    <xf numFmtId="9" fontId="2" fillId="0" borderId="0" xfId="1" applyFont="1"/>
    <xf numFmtId="9" fontId="2" fillId="6" borderId="0" xfId="1" applyFont="1" applyFill="1"/>
    <xf numFmtId="10" fontId="2" fillId="11" borderId="0" xfId="1" applyNumberFormat="1" applyFont="1" applyFill="1"/>
    <xf numFmtId="10" fontId="2" fillId="0" borderId="0" xfId="1" applyNumberFormat="1" applyFont="1"/>
    <xf numFmtId="0" fontId="2" fillId="12" borderId="1" xfId="0" applyFont="1" applyFill="1" applyBorder="1"/>
    <xf numFmtId="9" fontId="2" fillId="12" borderId="0" xfId="0" applyNumberFormat="1" applyFont="1" applyFill="1"/>
    <xf numFmtId="0" fontId="2" fillId="8" borderId="1" xfId="0" applyFont="1" applyFill="1" applyBorder="1"/>
    <xf numFmtId="9" fontId="2" fillId="8" borderId="0" xfId="0" applyNumberFormat="1" applyFont="1" applyFill="1"/>
    <xf numFmtId="9" fontId="2" fillId="13" borderId="0" xfId="0" applyNumberFormat="1" applyFont="1" applyFill="1"/>
    <xf numFmtId="44" fontId="2" fillId="11" borderId="1" xfId="2" applyFont="1" applyFill="1" applyBorder="1"/>
    <xf numFmtId="44" fontId="4" fillId="11" borderId="1" xfId="2" applyFont="1" applyFill="1" applyBorder="1"/>
    <xf numFmtId="44" fontId="8" fillId="11" borderId="1" xfId="2" applyFont="1" applyFill="1" applyBorder="1"/>
    <xf numFmtId="44" fontId="0" fillId="11" borderId="1" xfId="2" applyFont="1" applyFill="1" applyBorder="1"/>
    <xf numFmtId="0" fontId="2" fillId="14" borderId="0" xfId="0" applyFont="1" applyFill="1"/>
    <xf numFmtId="0" fontId="2" fillId="14" borderId="1" xfId="0" applyFont="1" applyFill="1" applyBorder="1"/>
    <xf numFmtId="0" fontId="2" fillId="14" borderId="2" xfId="0" applyFont="1" applyFill="1" applyBorder="1"/>
    <xf numFmtId="44" fontId="2" fillId="14" borderId="1" xfId="2" applyFont="1" applyFill="1" applyBorder="1"/>
    <xf numFmtId="9" fontId="2" fillId="14" borderId="1" xfId="1" applyFont="1" applyFill="1" applyBorder="1"/>
    <xf numFmtId="9" fontId="2" fillId="14" borderId="0" xfId="1" applyFont="1" applyFill="1"/>
    <xf numFmtId="10" fontId="2" fillId="14" borderId="0" xfId="1" applyNumberFormat="1" applyFont="1" applyFill="1"/>
    <xf numFmtId="2" fontId="2" fillId="14" borderId="1" xfId="0" applyNumberFormat="1" applyFont="1" applyFill="1" applyBorder="1"/>
    <xf numFmtId="2" fontId="2" fillId="14" borderId="0" xfId="0" applyNumberFormat="1" applyFont="1" applyFill="1"/>
    <xf numFmtId="9" fontId="2" fillId="11" borderId="1" xfId="0" applyNumberFormat="1" applyFont="1" applyFill="1" applyBorder="1"/>
    <xf numFmtId="2" fontId="2" fillId="11" borderId="1" xfId="0" applyNumberFormat="1" applyFont="1" applyFill="1" applyBorder="1"/>
    <xf numFmtId="0" fontId="5" fillId="2" borderId="0" xfId="0" applyFont="1" applyFill="1"/>
    <xf numFmtId="9" fontId="4" fillId="11" borderId="0" xfId="0" applyNumberFormat="1" applyFont="1" applyFill="1"/>
    <xf numFmtId="10" fontId="4" fillId="11" borderId="0" xfId="0" applyNumberFormat="1" applyFont="1" applyFill="1"/>
    <xf numFmtId="9" fontId="4" fillId="11" borderId="1" xfId="1" applyFont="1" applyFill="1" applyBorder="1"/>
    <xf numFmtId="44" fontId="9" fillId="11" borderId="1" xfId="2" applyFont="1" applyFill="1" applyBorder="1"/>
    <xf numFmtId="9" fontId="9" fillId="11" borderId="0" xfId="1" applyFont="1" applyFill="1"/>
    <xf numFmtId="9" fontId="8" fillId="11" borderId="0" xfId="1" applyFont="1" applyFill="1"/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2" fontId="3" fillId="8" borderId="1" xfId="0" applyNumberFormat="1" applyFont="1" applyFill="1" applyBorder="1" applyAlignment="1">
      <alignment horizontal="center"/>
    </xf>
    <xf numFmtId="2" fontId="3" fillId="8" borderId="0" xfId="0" applyNumberFormat="1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fill>
        <patternFill patternType="solid">
          <fgColor indexed="64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30DDA-2455-42CF-AF38-90244DC04D9E}" name="Table1" displayName="Table1" ref="A1:D13" totalsRowShown="0" headerRowDxfId="5" dataDxfId="4">
  <autoFilter ref="A1:D13" xr:uid="{2CC30DDA-2455-42CF-AF38-90244DC04D9E}"/>
  <tableColumns count="4">
    <tableColumn id="1" xr3:uid="{5220F76C-9B86-40FE-811A-A8F7B1C92BFB}" name="Sectors" dataDxfId="3"/>
    <tableColumn id="2" xr3:uid="{7DDC09D4-7C4E-4514-ADB5-1FEA5A0D90EA}" name="Low" dataDxfId="2"/>
    <tableColumn id="3" xr3:uid="{B49B0689-7EBB-4B38-B23B-857F75A2CB85}" name="Growth" dataDxfId="1"/>
    <tableColumn id="4" xr3:uid="{E8991497-ABB6-46A7-8690-649B4912A8B6}" name="Cap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3807-1D2D-4D89-81C0-43CEF5ADD9E4}">
  <dimension ref="A1:X143"/>
  <sheetViews>
    <sheetView tabSelected="1" topLeftCell="F14" workbookViewId="0">
      <selection activeCell="M29" sqref="M29"/>
    </sheetView>
  </sheetViews>
  <sheetFormatPr defaultRowHeight="15.75" x14ac:dyDescent="0.25"/>
  <cols>
    <col min="1" max="1" width="17.7109375" style="1" bestFit="1" customWidth="1"/>
    <col min="2" max="2" width="16.7109375" style="1" bestFit="1" customWidth="1"/>
    <col min="3" max="3" width="16.7109375" style="1" customWidth="1"/>
    <col min="4" max="9" width="12.7109375" style="1" customWidth="1"/>
    <col min="10" max="10" width="12.7109375" style="23" customWidth="1"/>
    <col min="11" max="13" width="12.7109375" style="1" customWidth="1"/>
    <col min="14" max="14" width="12.7109375" style="69" customWidth="1"/>
    <col min="15" max="15" width="12.7109375" style="1" customWidth="1"/>
    <col min="16" max="16" width="12.7109375" style="28" customWidth="1"/>
    <col min="17" max="19" width="12.7109375" style="2" customWidth="1"/>
    <col min="20" max="20" width="12.7109375" style="28" customWidth="1"/>
    <col min="21" max="21" width="12.7109375" style="2" customWidth="1"/>
    <col min="22" max="16384" width="9.140625" style="1"/>
  </cols>
  <sheetData>
    <row r="1" spans="1:24" s="5" customFormat="1" x14ac:dyDescent="0.25">
      <c r="A1" s="7" t="s">
        <v>38</v>
      </c>
      <c r="B1" s="7" t="s">
        <v>30</v>
      </c>
      <c r="C1" s="7" t="s">
        <v>0</v>
      </c>
      <c r="D1" s="7" t="s">
        <v>39</v>
      </c>
      <c r="E1" s="5" t="s">
        <v>10</v>
      </c>
      <c r="J1" s="22"/>
      <c r="N1" s="68"/>
      <c r="P1" s="26"/>
      <c r="Q1" s="13" t="s">
        <v>40</v>
      </c>
      <c r="R1" s="6"/>
      <c r="S1" s="6"/>
      <c r="T1" s="50"/>
      <c r="U1" s="6"/>
    </row>
    <row r="2" spans="1:24" x14ac:dyDescent="0.25">
      <c r="A2" s="93" t="s">
        <v>1</v>
      </c>
      <c r="B2" s="10">
        <v>0.2</v>
      </c>
      <c r="C2" s="9">
        <f>Assumptions!I8</f>
        <v>0.27614441334491635</v>
      </c>
      <c r="D2" s="10">
        <v>0.3</v>
      </c>
      <c r="E2" s="57">
        <f>Assumptions!I15</f>
        <v>11</v>
      </c>
      <c r="P2" s="27" t="s">
        <v>2</v>
      </c>
      <c r="Q2" s="11">
        <v>3.5000000000000003E-2</v>
      </c>
    </row>
    <row r="3" spans="1:24" x14ac:dyDescent="0.25">
      <c r="A3" s="93" t="s">
        <v>71</v>
      </c>
      <c r="B3" s="10">
        <v>0.09</v>
      </c>
      <c r="C3" s="9">
        <f>Assumptions!M8-3.5%</f>
        <v>0.13719210348430821</v>
      </c>
      <c r="D3" s="10">
        <v>0.2</v>
      </c>
      <c r="E3" s="57">
        <v>8.5</v>
      </c>
      <c r="P3" s="27" t="s">
        <v>4</v>
      </c>
      <c r="Q3" s="12">
        <v>0.01</v>
      </c>
    </row>
    <row r="4" spans="1:24" x14ac:dyDescent="0.25">
      <c r="A4" s="93" t="s">
        <v>65</v>
      </c>
      <c r="B4" s="10">
        <v>0.1</v>
      </c>
      <c r="C4" s="9">
        <f>(Assumptions!S4/Assumptions!S3)^0.1-1+3.5%</f>
        <v>2.0241667916391121E-2</v>
      </c>
      <c r="D4" s="10">
        <v>0.15</v>
      </c>
      <c r="P4" s="73"/>
      <c r="Q4" s="74"/>
    </row>
    <row r="5" spans="1:24" x14ac:dyDescent="0.25">
      <c r="A5" s="93" t="s">
        <v>87</v>
      </c>
      <c r="B5" s="10">
        <f>B3-5%</f>
        <v>3.9999999999999994E-2</v>
      </c>
      <c r="C5" s="10">
        <f>C3-5%</f>
        <v>8.7192103484308212E-2</v>
      </c>
      <c r="D5" s="10">
        <f t="shared" ref="D5" si="0">D3-5%</f>
        <v>0.15000000000000002</v>
      </c>
      <c r="L5" s="3"/>
      <c r="P5" s="75"/>
      <c r="Q5" s="76" t="str">
        <f>Q1</f>
        <v>Estimation</v>
      </c>
    </row>
    <row r="6" spans="1:24" x14ac:dyDescent="0.25">
      <c r="A6" s="93" t="s">
        <v>154</v>
      </c>
      <c r="B6" s="32">
        <f>B3-5%</f>
        <v>3.9999999999999994E-2</v>
      </c>
      <c r="C6" s="32">
        <f t="shared" ref="C6" si="1">C3-5%</f>
        <v>8.7192103484308212E-2</v>
      </c>
      <c r="D6" s="32">
        <f>D3-5%</f>
        <v>0.15000000000000002</v>
      </c>
      <c r="E6" s="46"/>
      <c r="F6" s="46"/>
      <c r="L6" s="3"/>
      <c r="P6" s="75" t="s">
        <v>108</v>
      </c>
      <c r="Q6" s="77">
        <v>0.1</v>
      </c>
    </row>
    <row r="7" spans="1:24" x14ac:dyDescent="0.25">
      <c r="A7" s="93" t="s">
        <v>118</v>
      </c>
      <c r="B7" s="32">
        <f>B9-5%</f>
        <v>9.9999999999999992E-2</v>
      </c>
      <c r="C7" s="32">
        <f t="shared" ref="C7:D7" si="2">C9-5%</f>
        <v>0.13</v>
      </c>
      <c r="D7" s="32">
        <f t="shared" si="2"/>
        <v>0.2</v>
      </c>
      <c r="E7" s="46"/>
      <c r="F7" s="46"/>
      <c r="P7" s="75" t="s">
        <v>110</v>
      </c>
      <c r="Q7" s="77">
        <v>0.45</v>
      </c>
    </row>
    <row r="8" spans="1:24" x14ac:dyDescent="0.25">
      <c r="A8" s="93" t="s">
        <v>120</v>
      </c>
      <c r="B8" s="9">
        <v>0.05</v>
      </c>
      <c r="C8" s="10">
        <v>0.05</v>
      </c>
      <c r="D8" s="10">
        <v>0.1</v>
      </c>
      <c r="E8" s="3"/>
      <c r="F8" s="3"/>
      <c r="P8" s="75" t="s">
        <v>109</v>
      </c>
      <c r="Q8" s="77">
        <f>(1+10%*(1-Q7))^10/((1+10%)^10*(1-Q7/2)+Q7/2)</f>
        <v>0.76421902227561123</v>
      </c>
    </row>
    <row r="9" spans="1:24" x14ac:dyDescent="0.25">
      <c r="A9" s="93" t="s">
        <v>121</v>
      </c>
      <c r="B9" s="10">
        <v>0.15</v>
      </c>
      <c r="C9" s="10">
        <v>0.18</v>
      </c>
      <c r="D9" s="10">
        <v>0.25</v>
      </c>
      <c r="E9" s="3"/>
      <c r="F9" s="3"/>
    </row>
    <row r="10" spans="1:24" x14ac:dyDescent="0.25">
      <c r="A10" s="93" t="s">
        <v>128</v>
      </c>
      <c r="B10" s="10">
        <v>0.05</v>
      </c>
      <c r="C10" s="10">
        <f t="shared" ref="C10:D10" si="3">C9-5%</f>
        <v>0.13</v>
      </c>
      <c r="D10" s="10">
        <f t="shared" si="3"/>
        <v>0.2</v>
      </c>
      <c r="E10" s="3"/>
      <c r="F10" s="3"/>
      <c r="P10" s="29" t="s">
        <v>41</v>
      </c>
      <c r="Q10" s="40">
        <v>9</v>
      </c>
    </row>
    <row r="11" spans="1:24" x14ac:dyDescent="0.25">
      <c r="A11" s="93" t="s">
        <v>122</v>
      </c>
      <c r="B11" s="10">
        <v>0.1</v>
      </c>
      <c r="C11" s="10">
        <v>0.15</v>
      </c>
      <c r="D11" s="10">
        <v>0.2</v>
      </c>
      <c r="E11" s="3"/>
      <c r="F11" s="3"/>
      <c r="P11" s="29"/>
      <c r="Q11" s="40"/>
    </row>
    <row r="12" spans="1:24" x14ac:dyDescent="0.25">
      <c r="A12" s="93" t="s">
        <v>147</v>
      </c>
      <c r="B12" s="10">
        <v>0.09</v>
      </c>
      <c r="C12" s="10">
        <v>0.12</v>
      </c>
      <c r="D12" s="10">
        <v>0.15</v>
      </c>
      <c r="E12" s="3"/>
      <c r="F12" s="3"/>
      <c r="P12" s="29"/>
      <c r="Q12" s="40"/>
    </row>
    <row r="13" spans="1:24" x14ac:dyDescent="0.25">
      <c r="A13" s="93" t="s">
        <v>114</v>
      </c>
      <c r="B13" s="10">
        <v>0</v>
      </c>
      <c r="C13" s="10">
        <v>0.03</v>
      </c>
      <c r="D13" s="10">
        <v>0.15</v>
      </c>
      <c r="E13" s="3"/>
      <c r="F13" s="3"/>
      <c r="P13" s="29"/>
      <c r="Q13" s="40"/>
    </row>
    <row r="14" spans="1:24" x14ac:dyDescent="0.25">
      <c r="B14" s="3"/>
      <c r="C14" s="3"/>
      <c r="D14" s="3"/>
      <c r="E14" s="3"/>
      <c r="F14" s="3"/>
    </row>
    <row r="15" spans="1:24" s="15" customFormat="1" x14ac:dyDescent="0.25">
      <c r="B15" s="100" t="s">
        <v>49</v>
      </c>
      <c r="C15" s="101"/>
      <c r="D15" s="100" t="s">
        <v>37</v>
      </c>
      <c r="E15" s="102"/>
      <c r="F15" s="102"/>
      <c r="G15" s="102"/>
      <c r="H15" s="102"/>
      <c r="I15" s="16"/>
      <c r="J15" s="102" t="s">
        <v>33</v>
      </c>
      <c r="K15" s="102"/>
      <c r="L15" s="102"/>
      <c r="M15" s="102"/>
      <c r="N15" s="102"/>
      <c r="O15" s="102"/>
      <c r="P15" s="103" t="s">
        <v>40</v>
      </c>
      <c r="Q15" s="104"/>
      <c r="R15" s="104"/>
      <c r="S15" s="104"/>
      <c r="T15" s="103" t="s">
        <v>63</v>
      </c>
      <c r="U15" s="104"/>
      <c r="V15" s="17"/>
      <c r="W15" s="17"/>
      <c r="X15" s="17"/>
    </row>
    <row r="16" spans="1:24" x14ac:dyDescent="0.25">
      <c r="A16" s="14"/>
      <c r="B16" s="24" t="s">
        <v>49</v>
      </c>
      <c r="C16" s="41" t="s">
        <v>50</v>
      </c>
      <c r="D16" s="24" t="s">
        <v>7</v>
      </c>
      <c r="E16" s="14" t="s">
        <v>56</v>
      </c>
      <c r="F16" s="14" t="s">
        <v>55</v>
      </c>
      <c r="G16" s="14" t="s">
        <v>8</v>
      </c>
      <c r="H16" s="14" t="s">
        <v>9</v>
      </c>
      <c r="I16" s="14" t="s">
        <v>42</v>
      </c>
      <c r="J16" s="24" t="s">
        <v>34</v>
      </c>
      <c r="K16" s="14" t="s">
        <v>35</v>
      </c>
      <c r="L16" s="14" t="s">
        <v>47</v>
      </c>
      <c r="M16" s="14" t="s">
        <v>48</v>
      </c>
      <c r="N16" s="70" t="s">
        <v>94</v>
      </c>
      <c r="O16" s="14" t="s">
        <v>36</v>
      </c>
      <c r="P16" s="30" t="s">
        <v>32</v>
      </c>
      <c r="Q16" s="18" t="s">
        <v>31</v>
      </c>
      <c r="R16" s="18" t="s">
        <v>30</v>
      </c>
      <c r="S16" s="18" t="s">
        <v>10</v>
      </c>
      <c r="T16" s="30">
        <v>1</v>
      </c>
      <c r="U16" s="18">
        <v>1.25</v>
      </c>
    </row>
    <row r="17" spans="1:22" x14ac:dyDescent="0.25">
      <c r="A17" s="20" t="s">
        <v>11</v>
      </c>
      <c r="B17" s="25" t="s">
        <v>1</v>
      </c>
      <c r="C17" s="42" t="s">
        <v>1</v>
      </c>
      <c r="D17" s="78">
        <v>3.62</v>
      </c>
      <c r="E17" s="20"/>
      <c r="F17" s="20"/>
      <c r="G17" s="38">
        <v>0.11849999999999999</v>
      </c>
      <c r="H17" s="38">
        <v>0.32490000000000002</v>
      </c>
      <c r="I17" s="21">
        <f>(G17+20%)/3*100</f>
        <v>10.616666666666667</v>
      </c>
      <c r="J17" s="34">
        <v>0.86160000000000003</v>
      </c>
      <c r="K17" s="35">
        <f>L17</f>
        <v>0.27614441334491635</v>
      </c>
      <c r="L17" s="33">
        <f>C2</f>
        <v>0.27614441334491635</v>
      </c>
      <c r="M17" s="33">
        <f>AVERAGE(MIN(MAX(J17,INDEX(Table1[Low],MATCH(B17,Table1[Sectors],0))), INDEX(Table1[Cap],MATCH(B17,Table1[Sectors],0))), MIN(MAX(K17,INDEX(Table1[Low],MATCH(B17,Table1[Sectors],0))), INDEX(Table1[Cap],MATCH(B17,Table1[Sectors],0))),MIN(MAX(L17,INDEX(Table1[Low],MATCH(B17,Table1[Sectors],0))), INDEX(Table1[Cap],MATCH(B17,Table1[Sectors],0))),MIN(MAX(H17,INDEX(Table1[Low],MATCH(B17,Table1[Sectors],0))), INDEX(Table1[Cap],MATCH(B17,Table1[Sectors],0))))</f>
        <v>0.28807220667245814</v>
      </c>
      <c r="N17" s="71"/>
      <c r="O17" s="33">
        <v>-0.05</v>
      </c>
      <c r="P17" s="31">
        <f>Q17*1.2</f>
        <v>212.36201907632685</v>
      </c>
      <c r="Q17" s="19">
        <f t="shared" ref="Q17" si="4">D17*(M17+1)^10*I17/(1+$Q$6-N17*$Q$8)^10*(1+O17*IF(O17&gt;0,$Q$10/12,1))</f>
        <v>176.96834923027237</v>
      </c>
      <c r="R17" s="19">
        <f>Q17*0.8</f>
        <v>141.57467938421789</v>
      </c>
      <c r="S17" s="19">
        <f>Q17/D17</f>
        <v>48.886284317754793</v>
      </c>
      <c r="T17" s="31">
        <f>$M17*$D17*100*T$16</f>
        <v>104.28213881542985</v>
      </c>
      <c r="U17" s="19">
        <f>$M17*$D17*100*U$16</f>
        <v>130.35267351928729</v>
      </c>
    </row>
    <row r="18" spans="1:22" x14ac:dyDescent="0.25">
      <c r="A18" s="20" t="s">
        <v>12</v>
      </c>
      <c r="B18" s="25" t="s">
        <v>1</v>
      </c>
      <c r="C18" s="42" t="s">
        <v>1</v>
      </c>
      <c r="D18" s="78">
        <v>-1.48</v>
      </c>
      <c r="E18" s="20"/>
      <c r="F18" s="20"/>
      <c r="G18" s="20"/>
      <c r="H18" s="20"/>
      <c r="I18" s="21"/>
      <c r="J18" s="34"/>
      <c r="K18" s="33"/>
      <c r="L18" s="33"/>
      <c r="M18" s="33"/>
      <c r="N18" s="71"/>
      <c r="O18" s="33"/>
      <c r="P18" s="31"/>
      <c r="Q18" s="19"/>
      <c r="R18" s="19"/>
      <c r="S18" s="19"/>
      <c r="T18" s="31"/>
      <c r="U18" s="19"/>
    </row>
    <row r="19" spans="1:22" x14ac:dyDescent="0.25">
      <c r="A19" s="20" t="s">
        <v>13</v>
      </c>
      <c r="B19" s="25" t="s">
        <v>1</v>
      </c>
      <c r="C19" s="42" t="s">
        <v>1</v>
      </c>
      <c r="D19" s="78">
        <v>-14.53</v>
      </c>
      <c r="E19" s="20"/>
      <c r="F19" s="20"/>
      <c r="G19" s="20"/>
      <c r="H19" s="20"/>
      <c r="I19" s="21"/>
      <c r="J19" s="34"/>
      <c r="K19" s="33"/>
      <c r="L19" s="33"/>
      <c r="M19" s="33"/>
      <c r="N19" s="71"/>
      <c r="O19" s="33"/>
      <c r="P19" s="31"/>
      <c r="Q19" s="19"/>
      <c r="R19" s="19"/>
      <c r="S19" s="19"/>
      <c r="T19" s="31"/>
      <c r="U19" s="19"/>
    </row>
    <row r="20" spans="1:22" x14ac:dyDescent="0.25">
      <c r="A20" s="20" t="s">
        <v>14</v>
      </c>
      <c r="B20" s="25" t="s">
        <v>1</v>
      </c>
      <c r="C20" s="42" t="s">
        <v>1</v>
      </c>
      <c r="D20" s="78"/>
      <c r="E20" s="20"/>
      <c r="F20" s="20"/>
      <c r="G20" s="20"/>
      <c r="H20" s="20"/>
      <c r="I20" s="21"/>
      <c r="J20" s="34"/>
      <c r="K20" s="33"/>
      <c r="L20" s="33"/>
      <c r="M20" s="33"/>
      <c r="N20" s="71"/>
      <c r="O20" s="33"/>
      <c r="P20" s="31"/>
      <c r="Q20" s="19"/>
      <c r="R20" s="19"/>
      <c r="S20" s="19"/>
      <c r="T20" s="31"/>
      <c r="U20" s="19"/>
    </row>
    <row r="21" spans="1:22" x14ac:dyDescent="0.25">
      <c r="A21" s="20" t="s">
        <v>15</v>
      </c>
      <c r="B21" s="25" t="s">
        <v>1</v>
      </c>
      <c r="C21" s="42" t="s">
        <v>16</v>
      </c>
      <c r="D21" s="78"/>
      <c r="E21" s="20"/>
      <c r="F21" s="20"/>
      <c r="G21" s="20"/>
      <c r="H21" s="20"/>
      <c r="I21" s="21"/>
      <c r="J21" s="34"/>
      <c r="K21" s="33"/>
      <c r="L21" s="33"/>
      <c r="M21" s="33"/>
      <c r="N21" s="71"/>
      <c r="O21" s="33"/>
      <c r="P21" s="31"/>
      <c r="Q21" s="19"/>
      <c r="R21" s="19"/>
      <c r="S21" s="19"/>
      <c r="T21" s="31"/>
      <c r="U21" s="19"/>
    </row>
    <row r="22" spans="1:22" x14ac:dyDescent="0.25">
      <c r="A22" s="20"/>
      <c r="B22" s="25"/>
      <c r="C22" s="42"/>
      <c r="D22" s="78"/>
      <c r="E22" s="20"/>
      <c r="F22" s="20"/>
      <c r="G22" s="20"/>
      <c r="H22" s="20"/>
      <c r="I22" s="21"/>
      <c r="J22" s="34"/>
      <c r="K22" s="33"/>
      <c r="L22" s="33"/>
      <c r="M22" s="33"/>
      <c r="N22" s="71"/>
      <c r="O22" s="33"/>
      <c r="P22" s="31"/>
      <c r="Q22" s="19"/>
      <c r="R22" s="19"/>
      <c r="S22" s="19"/>
      <c r="T22" s="31"/>
      <c r="U22" s="19"/>
    </row>
    <row r="23" spans="1:22" x14ac:dyDescent="0.25">
      <c r="A23" s="20" t="s">
        <v>138</v>
      </c>
      <c r="B23" s="25" t="s">
        <v>87</v>
      </c>
      <c r="C23" s="42" t="s">
        <v>139</v>
      </c>
      <c r="D23" s="78">
        <v>3.39</v>
      </c>
      <c r="E23" s="20"/>
      <c r="F23" s="20"/>
      <c r="G23" s="38">
        <v>2.9700000000000001E-2</v>
      </c>
      <c r="H23" s="38">
        <v>0.1177</v>
      </c>
      <c r="I23" s="21">
        <f>(G23+20%)/3*100</f>
        <v>7.6566666666666672</v>
      </c>
      <c r="J23" s="34">
        <v>0.1113</v>
      </c>
      <c r="K23" s="33">
        <v>8.7999999999999995E-2</v>
      </c>
      <c r="L23" s="33">
        <f>C5</f>
        <v>8.7192103484308212E-2</v>
      </c>
      <c r="M23" s="33">
        <f>AVERAGE(MIN(MAX(J23,INDEX(Table1[Low],MATCH(B23,Table1[Sectors],0))), INDEX(Table1[Cap],MATCH(B23,Table1[Sectors],0))), MIN(MAX(K23,INDEX(Table1[Low],MATCH(B23,Table1[Sectors],0))), INDEX(Table1[Cap],MATCH(B23,Table1[Sectors],0))),MIN(MAX(L23,INDEX(Table1[Low],MATCH(B23,Table1[Sectors],0))), INDEX(Table1[Cap],MATCH(B23,Table1[Sectors],0))),MIN(MAX(H23,INDEX(Table1[Low],MATCH(B23,Table1[Sectors],0))), INDEX(Table1[Cap],MATCH(B23,Table1[Sectors],0))))</f>
        <v>0.10104802587107706</v>
      </c>
      <c r="N23" s="71">
        <v>2.4E-2</v>
      </c>
      <c r="O23" s="33">
        <v>0</v>
      </c>
      <c r="P23" s="31">
        <f>Q23*1.2</f>
        <v>37.203230976533668</v>
      </c>
      <c r="Q23" s="19">
        <f>D23*(M23+1)^10*I23/(1+$Q$6-N23*$Q$8)^10*(1+O23*IF(O23&gt;0,$Q$10/12,1))</f>
        <v>31.002692480444725</v>
      </c>
      <c r="R23" s="19">
        <f t="shared" ref="R23" si="5">Q23*0.8</f>
        <v>24.802153984355783</v>
      </c>
      <c r="S23" s="19">
        <f>Q23/D23</f>
        <v>9.1453370148804503</v>
      </c>
      <c r="T23" s="31">
        <f>$M23*$D23*100*T$16</f>
        <v>34.255280770295123</v>
      </c>
      <c r="U23" s="19">
        <f>$M23*$D23*100*U$16</f>
        <v>42.819100962868902</v>
      </c>
    </row>
    <row r="24" spans="1:22" x14ac:dyDescent="0.25">
      <c r="A24" s="20" t="s">
        <v>140</v>
      </c>
      <c r="B24" s="25" t="s">
        <v>87</v>
      </c>
      <c r="C24" s="42" t="s">
        <v>139</v>
      </c>
      <c r="D24" s="78" t="s">
        <v>141</v>
      </c>
      <c r="E24" s="20"/>
      <c r="F24" s="20"/>
      <c r="G24" s="38"/>
      <c r="H24" s="38"/>
      <c r="I24" s="21"/>
      <c r="J24" s="34"/>
      <c r="K24" s="33"/>
      <c r="L24" s="33"/>
      <c r="M24" s="33"/>
      <c r="N24" s="71"/>
      <c r="O24" s="33"/>
      <c r="P24" s="31"/>
      <c r="Q24" s="19"/>
      <c r="R24" s="19"/>
      <c r="S24" s="19"/>
      <c r="T24" s="31"/>
      <c r="U24" s="19"/>
    </row>
    <row r="25" spans="1:22" x14ac:dyDescent="0.25">
      <c r="A25" s="20" t="s">
        <v>163</v>
      </c>
      <c r="B25" s="25" t="s">
        <v>87</v>
      </c>
      <c r="C25" s="42" t="s">
        <v>139</v>
      </c>
      <c r="D25" s="78">
        <v>4.57</v>
      </c>
      <c r="E25" s="20"/>
      <c r="F25" s="20"/>
      <c r="G25" s="38">
        <v>3.1199999999999999E-2</v>
      </c>
      <c r="H25" s="38">
        <v>0.11940000000000001</v>
      </c>
      <c r="I25" s="21">
        <f>(G25+20%)/3*100</f>
        <v>7.706666666666667</v>
      </c>
      <c r="J25" s="34">
        <v>3.1399999999999997E-2</v>
      </c>
      <c r="K25" s="33">
        <v>6.1199999999999997E-2</v>
      </c>
      <c r="L25" s="33">
        <f>L23</f>
        <v>8.7192103484308212E-2</v>
      </c>
      <c r="M25" s="33">
        <f>AVERAGE(MIN(MAX(J25,INDEX(Table1[Low],MATCH(B25,Table1[Sectors],0))), INDEX(Table1[Cap],MATCH(B25,Table1[Sectors],0))), MIN(MAX(K25,INDEX(Table1[Low],MATCH(B25,Table1[Sectors],0))), INDEX(Table1[Cap],MATCH(B25,Table1[Sectors],0))),MIN(MAX(L25,INDEX(Table1[Low],MATCH(B25,Table1[Sectors],0))), INDEX(Table1[Cap],MATCH(B25,Table1[Sectors],0))),MIN(MAX(H25,INDEX(Table1[Low],MATCH(B25,Table1[Sectors],0))), INDEX(Table1[Cap],MATCH(B25,Table1[Sectors],0))))</f>
        <v>7.6948025871077047E-2</v>
      </c>
      <c r="N25" s="71">
        <v>3.5200000000000002E-2</v>
      </c>
      <c r="O25" s="33">
        <v>6.3E-2</v>
      </c>
      <c r="P25" s="31">
        <f>Q25*1.2</f>
        <v>45.873507626343311</v>
      </c>
      <c r="Q25" s="19">
        <f>D25*(M25+1)^10*I25/(1+$Q$6-N25*$Q$8)^10*(1+O25*IF(O25&gt;0,$Q$10/12,1))</f>
        <v>38.227923021952762</v>
      </c>
      <c r="R25" s="19">
        <f t="shared" ref="R25" si="6">Q25*0.8</f>
        <v>30.582338417562212</v>
      </c>
      <c r="S25" s="19">
        <f>Q25/D25</f>
        <v>8.3649722148693133</v>
      </c>
      <c r="T25" s="31">
        <f>$M25*$D25*100*T$16</f>
        <v>35.165247823082211</v>
      </c>
      <c r="U25" s="19">
        <f>$M25*$D25*100*U$16</f>
        <v>43.956559778852764</v>
      </c>
    </row>
    <row r="26" spans="1:22" x14ac:dyDescent="0.25">
      <c r="A26" s="20"/>
      <c r="B26" s="25"/>
      <c r="C26" s="42"/>
      <c r="D26" s="78"/>
      <c r="E26" s="20"/>
      <c r="F26" s="20"/>
      <c r="G26" s="38"/>
      <c r="H26" s="38"/>
      <c r="I26" s="21"/>
      <c r="J26" s="34"/>
      <c r="K26" s="33"/>
      <c r="L26" s="33"/>
      <c r="M26" s="33"/>
      <c r="N26" s="71"/>
      <c r="O26" s="33"/>
      <c r="P26" s="31"/>
      <c r="Q26" s="19"/>
      <c r="R26" s="19"/>
      <c r="S26" s="19"/>
      <c r="T26" s="31"/>
      <c r="U26" s="19"/>
    </row>
    <row r="27" spans="1:22" x14ac:dyDescent="0.25">
      <c r="A27" s="20" t="s">
        <v>17</v>
      </c>
      <c r="B27" s="25" t="str">
        <f>A3</f>
        <v>Solar</v>
      </c>
      <c r="C27" s="42" t="s">
        <v>116</v>
      </c>
      <c r="D27" s="79">
        <f>3.99</f>
        <v>3.99</v>
      </c>
      <c r="E27" s="20"/>
      <c r="F27" s="20"/>
      <c r="G27" s="38">
        <v>0.10970000000000001</v>
      </c>
      <c r="H27" s="38">
        <v>0.63290000000000002</v>
      </c>
      <c r="I27" s="21">
        <f>(G27+20%)/3*100</f>
        <v>10.323333333333334</v>
      </c>
      <c r="J27" s="34">
        <v>1.4193</v>
      </c>
      <c r="K27" s="33">
        <v>0.2</v>
      </c>
      <c r="L27" s="33">
        <f>C3</f>
        <v>0.13719210348430821</v>
      </c>
      <c r="M27" s="33">
        <f>AVERAGE(MIN(MAX(J27,INDEX(Table1[Low],MATCH(B27,Table1[Sectors],0))), INDEX(Table1[Cap],MATCH(B27,Table1[Sectors],0))), MIN(MAX(K27,INDEX(Table1[Low],MATCH(B27,Table1[Sectors],0))), INDEX(Table1[Cap],MATCH(B27,Table1[Sectors],0))),MIN(MAX(L27,INDEX(Table1[Low],MATCH(B27,Table1[Sectors],0))), INDEX(Table1[Cap],MATCH(B27,Table1[Sectors],0))),MIN(MAX(H27,INDEX(Table1[Low],MATCH(B27,Table1[Sectors],0))), INDEX(Table1[Cap],MATCH(B27,Table1[Sectors],0))))</f>
        <v>0.18429802587107708</v>
      </c>
      <c r="N27" s="71">
        <v>0</v>
      </c>
      <c r="O27" s="35">
        <f>M27</f>
        <v>0.18429802587107708</v>
      </c>
      <c r="P27" s="31">
        <f t="shared" ref="P27:P33" si="7">Q27*1.2</f>
        <v>117.72937801190008</v>
      </c>
      <c r="Q27" s="19">
        <f t="shared" ref="Q27:Q33" si="8">D27*(M27+1)^10*I27/(1+$Q$6-N27*$Q$8)^10*(1+O27*IF(O27&gt;0,$Q$10/12,1))</f>
        <v>98.107815009916735</v>
      </c>
      <c r="R27" s="19">
        <f t="shared" ref="R27:R33" si="9">Q27*0.8</f>
        <v>78.486252007933388</v>
      </c>
      <c r="S27" s="19">
        <f>Q27/D27</f>
        <v>24.58842481451547</v>
      </c>
      <c r="T27" s="31">
        <f>$M27*$D27*100*T$16</f>
        <v>73.534912322559748</v>
      </c>
      <c r="U27" s="19">
        <f>$M27*$D27*100*U$16</f>
        <v>91.918640403199689</v>
      </c>
    </row>
    <row r="28" spans="1:22" x14ac:dyDescent="0.25">
      <c r="A28" s="20" t="s">
        <v>19</v>
      </c>
      <c r="B28" s="25" t="s">
        <v>71</v>
      </c>
      <c r="C28" s="42" t="s">
        <v>71</v>
      </c>
      <c r="D28" s="79">
        <v>5.17</v>
      </c>
      <c r="E28" s="20"/>
      <c r="F28" s="20"/>
      <c r="G28" s="38">
        <v>5.7200000000000001E-2</v>
      </c>
      <c r="H28" s="38">
        <v>9.1300000000000006E-2</v>
      </c>
      <c r="I28" s="21">
        <f t="shared" ref="I28:I30" si="10">(G28+20%)/3*100</f>
        <v>8.5733333333333324</v>
      </c>
      <c r="J28" s="34">
        <v>0.13539999999999999</v>
      </c>
      <c r="K28" s="33">
        <v>0.42020000000000002</v>
      </c>
      <c r="L28" s="33">
        <f>C3</f>
        <v>0.13719210348430821</v>
      </c>
      <c r="M28" s="33">
        <f>AVERAGE(MIN(MAX(J28,INDEX(Table1[Low],MATCH(B28,Table1[Sectors],0))), INDEX(Table1[Cap],MATCH(B28,Table1[Sectors],0))), MIN(MAX(K28,INDEX(Table1[Low],MATCH(B28,Table1[Sectors],0))), INDEX(Table1[Cap],MATCH(B28,Table1[Sectors],0))),MIN(MAX(L28,INDEX(Table1[Low],MATCH(B28,Table1[Sectors],0))), INDEX(Table1[Cap],MATCH(B28,Table1[Sectors],0))),MIN(MAX(H28,INDEX(Table1[Low],MATCH(B28,Table1[Sectors],0))), INDEX(Table1[Cap],MATCH(B28,Table1[Sectors],0))))</f>
        <v>0.14097302587107707</v>
      </c>
      <c r="N28" s="71">
        <v>0</v>
      </c>
      <c r="O28" s="33">
        <v>0.27400000000000002</v>
      </c>
      <c r="P28" s="31">
        <f t="shared" si="7"/>
        <v>92.430570622888851</v>
      </c>
      <c r="Q28" s="19">
        <f t="shared" si="8"/>
        <v>77.02547551907405</v>
      </c>
      <c r="R28" s="19">
        <f t="shared" si="9"/>
        <v>61.620380415259241</v>
      </c>
      <c r="S28" s="19">
        <f t="shared" ref="S28:S29" si="11">Q28/D28</f>
        <v>14.898544587828637</v>
      </c>
      <c r="T28" s="31"/>
      <c r="U28" s="19"/>
    </row>
    <row r="29" spans="1:22" x14ac:dyDescent="0.25">
      <c r="A29" s="20" t="s">
        <v>20</v>
      </c>
      <c r="B29" s="25" t="s">
        <v>71</v>
      </c>
      <c r="C29" s="42" t="s">
        <v>71</v>
      </c>
      <c r="D29" s="79">
        <f>12.85/(1+M29)^2</f>
        <v>9.3983733799455091</v>
      </c>
      <c r="E29" s="43"/>
      <c r="F29" s="43"/>
      <c r="G29" s="95">
        <v>0.1</v>
      </c>
      <c r="H29" s="95">
        <v>0.25</v>
      </c>
      <c r="I29" s="21">
        <f>(G29+20%)/3*100</f>
        <v>10.000000000000002</v>
      </c>
      <c r="J29" s="96">
        <v>0.2</v>
      </c>
      <c r="K29" s="96">
        <v>0.14000000000000001</v>
      </c>
      <c r="L29" s="33">
        <f>L28</f>
        <v>0.13719210348430821</v>
      </c>
      <c r="M29" s="33">
        <f>AVERAGE(MIN(MAX(J29,INDEX(Table1[Low],MATCH(B29,Table1[Sectors],0))), INDEX(Table1[Cap],MATCH(B29,Table1[Sectors],0))), MIN(MAX(K29,INDEX(Table1[Low],MATCH(B29,Table1[Sectors],0))), INDEX(Table1[Cap],MATCH(B29,Table1[Sectors],0))),MIN(MAX(L29,INDEX(Table1[Low],MATCH(B29,Table1[Sectors],0))), INDEX(Table1[Cap],MATCH(B29,Table1[Sectors],0))),MIN(MAX(H29,INDEX(Table1[Low],MATCH(B29,Table1[Sectors],0))), INDEX(Table1[Cap],MATCH(B29,Table1[Sectors],0))))</f>
        <v>0.16929802587107706</v>
      </c>
      <c r="N29" s="71">
        <v>0</v>
      </c>
      <c r="O29" s="35">
        <f>M29</f>
        <v>0.16929802587107706</v>
      </c>
      <c r="P29" s="31">
        <f t="shared" si="7"/>
        <v>234.13857202734351</v>
      </c>
      <c r="Q29" s="19">
        <f t="shared" ref="Q29" si="12">D29*(M29+1)^10*I29/(1+$Q$6-N29*$Q$8)^10*(1+O29*IF(O29&gt;0,$Q$10/12,1))</f>
        <v>195.11547668945295</v>
      </c>
      <c r="R29" s="19">
        <f t="shared" si="9"/>
        <v>156.09238135156238</v>
      </c>
      <c r="S29" s="19">
        <f t="shared" si="11"/>
        <v>20.760558109533655</v>
      </c>
      <c r="T29" s="31">
        <f>$M29*$D29*100*T$16</f>
        <v>159.11260596240569</v>
      </c>
      <c r="U29" s="19">
        <f>$M29*$D29*100*U$16</f>
        <v>198.89075745300713</v>
      </c>
    </row>
    <row r="30" spans="1:22" x14ac:dyDescent="0.25">
      <c r="A30" s="20" t="s">
        <v>53</v>
      </c>
      <c r="B30" s="25" t="s">
        <v>65</v>
      </c>
      <c r="C30" s="42" t="s">
        <v>117</v>
      </c>
      <c r="D30" s="79">
        <f>E30/F30</f>
        <v>0.58765644735331268</v>
      </c>
      <c r="E30" s="43">
        <v>102.358</v>
      </c>
      <c r="F30" s="43">
        <v>174.18</v>
      </c>
      <c r="G30" s="38">
        <f>E30/1780</f>
        <v>5.7504494382022472E-2</v>
      </c>
      <c r="H30" s="38">
        <v>0.22170000000000001</v>
      </c>
      <c r="I30" s="21">
        <f t="shared" si="10"/>
        <v>8.583483146067417</v>
      </c>
      <c r="J30" s="45">
        <f>(E30/22.159)^0.2-1</f>
        <v>0.35804551875785862</v>
      </c>
      <c r="K30" s="33">
        <v>0.52380000000000004</v>
      </c>
      <c r="L30" s="33">
        <f>INDEX($C$1:$C$14,MATCH($B30,$A$1:$A$14,0))</f>
        <v>2.0241667916391121E-2</v>
      </c>
      <c r="M30" s="33">
        <f>AVERAGE(MIN(MAX(J30,INDEX(Table1[Low],MATCH(B30,Table1[Sectors],0))), INDEX(Table1[Cap],MATCH(B30,Table1[Sectors],0))), MIN(MAX(K30,INDEX(Table1[Low],MATCH(B30,Table1[Sectors],0))), INDEX(Table1[Cap],MATCH(B30,Table1[Sectors],0))),MIN(MAX(L30,INDEX(Table1[Low],MATCH(B30,Table1[Sectors],0))), INDEX(Table1[Cap],MATCH(B30,Table1[Sectors],0))),MIN(MAX(H30,INDEX(Table1[Low],MATCH(B30,Table1[Sectors],0))), INDEX(Table1[Cap],MATCH(B30,Table1[Sectors],0))))</f>
        <v>0.13750000000000001</v>
      </c>
      <c r="N30" s="71">
        <v>0</v>
      </c>
      <c r="O30" s="33">
        <v>0.30299999999999999</v>
      </c>
      <c r="P30" s="31">
        <f t="shared" si="7"/>
        <v>10.386962233399467</v>
      </c>
      <c r="Q30" s="19">
        <f t="shared" si="8"/>
        <v>8.6558018611662231</v>
      </c>
      <c r="R30" s="19">
        <f t="shared" si="9"/>
        <v>6.9246414889329788</v>
      </c>
      <c r="S30" s="19">
        <f>Q30/D30</f>
        <v>14.729357433497457</v>
      </c>
      <c r="T30" s="31">
        <f>$M30*$D30*100*T$16</f>
        <v>8.0802761511080501</v>
      </c>
      <c r="U30" s="19">
        <f>$M30*$D30*100*U$16</f>
        <v>10.100345188885063</v>
      </c>
      <c r="V30" s="1" t="s">
        <v>62</v>
      </c>
    </row>
    <row r="31" spans="1:22" x14ac:dyDescent="0.25">
      <c r="A31" s="20" t="s">
        <v>86</v>
      </c>
      <c r="B31" s="25" t="s">
        <v>87</v>
      </c>
      <c r="C31" s="42" t="s">
        <v>125</v>
      </c>
      <c r="D31" s="79">
        <v>6.07</v>
      </c>
      <c r="E31" s="43"/>
      <c r="F31" s="43"/>
      <c r="G31" s="38">
        <v>0.01</v>
      </c>
      <c r="H31" s="38">
        <v>0.28910000000000002</v>
      </c>
      <c r="I31" s="21">
        <f>(G31+20%)/3*100</f>
        <v>7.0000000000000009</v>
      </c>
      <c r="J31" s="92"/>
      <c r="K31" s="33"/>
      <c r="L31" s="33"/>
      <c r="M31" s="33">
        <f>AVERAGE(MIN(MAX(J31,INDEX(Table1[Low],MATCH(B31,Table1[Sectors],0))), INDEX(Table1[Cap],MATCH(B31,Table1[Sectors],0))), MIN(MAX(K31,INDEX(Table1[Low],MATCH(B31,Table1[Sectors],0))), INDEX(Table1[Cap],MATCH(B31,Table1[Sectors],0))),MIN(MAX(L31,INDEX(Table1[Low],MATCH(B31,Table1[Sectors],0))), INDEX(Table1[Cap],MATCH(B31,Table1[Sectors],0))),MIN(MAX(H31,INDEX(Table1[Low],MATCH(B31,Table1[Sectors],0))), INDEX(Table1[Cap],MATCH(B31,Table1[Sectors],0))))</f>
        <v>6.7500000000000004E-2</v>
      </c>
      <c r="N31" s="71">
        <v>0</v>
      </c>
      <c r="O31" s="33">
        <v>0.15</v>
      </c>
      <c r="P31" s="31">
        <f t="shared" si="7"/>
        <v>42.026186376083743</v>
      </c>
      <c r="Q31" s="19">
        <f>D31*(M31+1)^10*I31/(1+$Q$6-N31*$Q$8)^10*(1+O31*IF(O31&gt;0,$Q$10/12,1))</f>
        <v>35.021821980069788</v>
      </c>
      <c r="R31" s="19">
        <f t="shared" si="9"/>
        <v>28.017457584055833</v>
      </c>
      <c r="S31" s="19">
        <f>Q31/D31</f>
        <v>5.7696576573426333</v>
      </c>
      <c r="T31" s="31"/>
      <c r="U31" s="19"/>
    </row>
    <row r="32" spans="1:22" x14ac:dyDescent="0.25">
      <c r="A32" s="20" t="s">
        <v>57</v>
      </c>
      <c r="B32" s="25" t="s">
        <v>71</v>
      </c>
      <c r="C32" s="42" t="s">
        <v>117</v>
      </c>
      <c r="D32" s="80">
        <v>3.44</v>
      </c>
      <c r="E32" s="43"/>
      <c r="F32" s="43"/>
      <c r="G32" s="38">
        <v>2.3400000000000001E-2</v>
      </c>
      <c r="H32" s="38">
        <v>0.1153</v>
      </c>
      <c r="I32" s="21">
        <f>E3</f>
        <v>8.5</v>
      </c>
      <c r="J32" s="45">
        <v>-0.14849999999999999</v>
      </c>
      <c r="K32" s="33">
        <v>0.12</v>
      </c>
      <c r="L32" s="33">
        <f>INDEX($C$1:$C$14,MATCH($B32,$A$1:$A$14,0))</f>
        <v>0.13719210348430821</v>
      </c>
      <c r="M32" s="33">
        <f>AVERAGE(MIN(MAX(J32,INDEX(Table1[Low],MATCH(B32,Table1[Sectors],0))), INDEX(Table1[Cap],MATCH(B32,Table1[Sectors],0))), MIN(MAX(K32,INDEX(Table1[Low],MATCH(B32,Table1[Sectors],0))), INDEX(Table1[Cap],MATCH(B32,Table1[Sectors],0))),MIN(MAX(L32,INDEX(Table1[Low],MATCH(B32,Table1[Sectors],0))), INDEX(Table1[Cap],MATCH(B32,Table1[Sectors],0))),MIN(MAX(H32,INDEX(Table1[Low],MATCH(B32,Table1[Sectors],0))), INDEX(Table1[Cap],MATCH(B32,Table1[Sectors],0))))</f>
        <v>0.11562302587107705</v>
      </c>
      <c r="N32" s="71">
        <v>0</v>
      </c>
      <c r="O32" s="35">
        <v>0.2</v>
      </c>
      <c r="P32" s="31">
        <f t="shared" si="7"/>
        <v>46.462684222032323</v>
      </c>
      <c r="Q32" s="19">
        <f t="shared" si="8"/>
        <v>38.718903518360271</v>
      </c>
      <c r="R32" s="19">
        <f t="shared" si="9"/>
        <v>30.97512281468822</v>
      </c>
      <c r="S32" s="19">
        <f>Q32/D32</f>
        <v>11.255495208825661</v>
      </c>
      <c r="T32" s="31">
        <f>$M32*$D32*100*T$16</f>
        <v>39.774320899650505</v>
      </c>
      <c r="U32" s="19">
        <f>$M32*$D32*100*U$16</f>
        <v>49.717901124563127</v>
      </c>
    </row>
    <row r="33" spans="1:22" x14ac:dyDescent="0.25">
      <c r="A33" s="20" t="s">
        <v>103</v>
      </c>
      <c r="B33" s="25" t="s">
        <v>71</v>
      </c>
      <c r="C33" s="42" t="s">
        <v>117</v>
      </c>
      <c r="D33" s="80">
        <f>-1.11+0.91+0.82+2.31</f>
        <v>2.9299999999999997</v>
      </c>
      <c r="E33" s="43"/>
      <c r="F33" s="43"/>
      <c r="G33" s="38">
        <v>1.2E-2</v>
      </c>
      <c r="H33" s="38">
        <v>0.1071</v>
      </c>
      <c r="I33" s="21">
        <f>I32</f>
        <v>8.5</v>
      </c>
      <c r="J33" s="91">
        <v>0.2</v>
      </c>
      <c r="K33" s="33">
        <v>0.2</v>
      </c>
      <c r="L33" s="33">
        <f>INDEX($C$1:$C$14,MATCH($B33,$A$1:$A$14,0))</f>
        <v>0.13719210348430821</v>
      </c>
      <c r="M33" s="33">
        <f>AVERAGE(MIN(MAX(J33,INDEX(Table1[Low],MATCH(B33,Table1[Sectors],0))), INDEX(Table1[Cap],MATCH(B33,Table1[Sectors],0))), MIN(MAX(K33,INDEX(Table1[Low],MATCH(B33,Table1[Sectors],0))), INDEX(Table1[Cap],MATCH(B33,Table1[Sectors],0))),MIN(MAX(L33,INDEX(Table1[Low],MATCH(B33,Table1[Sectors],0))), INDEX(Table1[Cap],MATCH(B33,Table1[Sectors],0))),MIN(MAX(H33,INDEX(Table1[Low],MATCH(B33,Table1[Sectors],0))), INDEX(Table1[Cap],MATCH(B33,Table1[Sectors],0))))</f>
        <v>0.16107302587107705</v>
      </c>
      <c r="N33" s="71">
        <v>0</v>
      </c>
      <c r="O33" s="35">
        <v>0.2</v>
      </c>
      <c r="P33" s="31">
        <f t="shared" si="7"/>
        <v>58.997571743304455</v>
      </c>
      <c r="Q33" s="19">
        <f t="shared" si="8"/>
        <v>49.164643119420383</v>
      </c>
      <c r="R33" s="19">
        <f t="shared" si="9"/>
        <v>39.33171449553631</v>
      </c>
      <c r="S33" s="19">
        <f>Q33/D33</f>
        <v>16.779741678983068</v>
      </c>
      <c r="T33" s="31">
        <f>$M33*$D33*100*T$16</f>
        <v>47.194396580225572</v>
      </c>
      <c r="U33" s="19">
        <f>$M33*$D33*100*U$16</f>
        <v>58.992995725281965</v>
      </c>
    </row>
    <row r="34" spans="1:22" x14ac:dyDescent="0.25">
      <c r="A34" s="20"/>
      <c r="B34" s="25"/>
      <c r="C34" s="42"/>
      <c r="D34" s="78"/>
      <c r="E34" s="20"/>
      <c r="F34" s="20"/>
      <c r="G34" s="38"/>
      <c r="H34" s="38"/>
      <c r="I34" s="21"/>
      <c r="J34" s="34"/>
      <c r="K34" s="33"/>
      <c r="L34" s="33"/>
      <c r="M34" s="33"/>
      <c r="N34" s="71"/>
      <c r="O34" s="33"/>
      <c r="P34" s="31"/>
      <c r="Q34" s="19"/>
      <c r="R34" s="19"/>
      <c r="S34" s="19"/>
      <c r="T34" s="31"/>
      <c r="U34" s="19"/>
    </row>
    <row r="35" spans="1:22" x14ac:dyDescent="0.25">
      <c r="A35" s="20" t="s">
        <v>21</v>
      </c>
      <c r="B35" s="25" t="s">
        <v>22</v>
      </c>
      <c r="C35" s="42" t="s">
        <v>22</v>
      </c>
      <c r="D35" s="78">
        <v>-0.21</v>
      </c>
      <c r="E35" s="20"/>
      <c r="F35" s="20"/>
      <c r="G35" s="38"/>
      <c r="H35" s="38"/>
      <c r="I35" s="21"/>
      <c r="J35" s="34"/>
      <c r="K35" s="33"/>
      <c r="L35" s="33"/>
      <c r="M35" s="33"/>
      <c r="N35" s="71"/>
      <c r="O35" s="33"/>
      <c r="P35" s="31"/>
      <c r="Q35" s="19"/>
      <c r="R35" s="19"/>
      <c r="S35" s="19"/>
      <c r="T35" s="31"/>
      <c r="U35" s="19"/>
    </row>
    <row r="36" spans="1:22" x14ac:dyDescent="0.25">
      <c r="A36" s="20"/>
      <c r="B36" s="25"/>
      <c r="C36" s="42"/>
      <c r="D36" s="78"/>
      <c r="E36" s="20"/>
      <c r="F36" s="20"/>
      <c r="G36" s="38"/>
      <c r="H36" s="38"/>
      <c r="I36" s="21"/>
      <c r="J36" s="34"/>
      <c r="K36" s="33"/>
      <c r="L36" s="33"/>
      <c r="M36" s="33"/>
      <c r="N36" s="71"/>
      <c r="O36" s="33"/>
      <c r="P36" s="31"/>
      <c r="Q36" s="19"/>
      <c r="R36" s="19"/>
      <c r="S36" s="19"/>
      <c r="T36" s="31"/>
      <c r="U36" s="19"/>
    </row>
    <row r="37" spans="1:22" x14ac:dyDescent="0.25">
      <c r="A37" s="20" t="s">
        <v>111</v>
      </c>
      <c r="B37" s="25" t="s">
        <v>154</v>
      </c>
      <c r="C37" s="42" t="s">
        <v>157</v>
      </c>
      <c r="D37" s="79">
        <f>6.49/(1+M37)^2</f>
        <v>5.0709652943165686</v>
      </c>
      <c r="E37" s="20"/>
      <c r="F37" s="20"/>
      <c r="G37" s="38">
        <v>0.11940000000000001</v>
      </c>
      <c r="H37" s="38">
        <v>0.36070000000000002</v>
      </c>
      <c r="I37" s="21">
        <f>(G37+20%)/3*100</f>
        <v>10.646666666666667</v>
      </c>
      <c r="J37" s="34">
        <v>0.1706</v>
      </c>
      <c r="K37" s="33">
        <v>0.13800000000000001</v>
      </c>
      <c r="L37" s="33">
        <f>L38</f>
        <v>8.7192103484308212E-2</v>
      </c>
      <c r="M37" s="33">
        <f>AVERAGE(MIN(MAX(J37,INDEX(Table1[Low],MATCH(B37,Table1[Sectors],0))), INDEX(Table1[Cap],MATCH(B37,Table1[Sectors],0))), MIN(MAX(K37,INDEX(Table1[Low],MATCH(B37,Table1[Sectors],0))), INDEX(Table1[Cap],MATCH(B37,Table1[Sectors],0))),MIN(MAX(L37,INDEX(Table1[Low],MATCH(B37,Table1[Sectors],0))), INDEX(Table1[Cap],MATCH(B37,Table1[Sectors],0))),MIN(MAX(H37,INDEX(Table1[Low],MATCH(B37,Table1[Sectors],0))), INDEX(Table1[Cap],MATCH(B37,Table1[Sectors],0))))</f>
        <v>0.13129802587107708</v>
      </c>
      <c r="N37" s="71">
        <v>1.9599999999999999E-2</v>
      </c>
      <c r="O37" s="35">
        <f>M37</f>
        <v>0.13129802587107708</v>
      </c>
      <c r="P37" s="31">
        <f>Q37*1.2</f>
        <v>108.05945146260032</v>
      </c>
      <c r="Q37" s="19">
        <f>D37*(M37+1)^10*I37/(1+$Q$6-N37*$Q$8)^10*(1+O37*IF(O37&gt;0,$Q$10/12,1))</f>
        <v>90.049542885500273</v>
      </c>
      <c r="R37" s="19">
        <f>Q37*0.8</f>
        <v>72.039634308400224</v>
      </c>
      <c r="S37" s="19">
        <f>Q37/D37</f>
        <v>17.757870081742801</v>
      </c>
      <c r="T37" s="31">
        <f t="shared" ref="T37:U47" si="13">$M37*$D37*100*T$16</f>
        <v>66.58077324045108</v>
      </c>
      <c r="U37" s="19">
        <f t="shared" si="13"/>
        <v>83.225966550563854</v>
      </c>
    </row>
    <row r="38" spans="1:22" x14ac:dyDescent="0.25">
      <c r="A38" s="20" t="s">
        <v>107</v>
      </c>
      <c r="B38" s="25" t="s">
        <v>154</v>
      </c>
      <c r="C38" s="42" t="s">
        <v>156</v>
      </c>
      <c r="D38" s="79">
        <f>7.45/(1+M38)</f>
        <v>6.6482358776322803</v>
      </c>
      <c r="E38" s="20"/>
      <c r="F38" s="20"/>
      <c r="G38" s="38">
        <v>0.21560000000000001</v>
      </c>
      <c r="H38" s="38">
        <v>0.56430000000000002</v>
      </c>
      <c r="I38" s="21">
        <f>(G38+20%)/3*100</f>
        <v>13.853333333333333</v>
      </c>
      <c r="J38" s="34">
        <v>0.1452</v>
      </c>
      <c r="K38" s="33">
        <v>0.1</v>
      </c>
      <c r="L38" s="33">
        <f>C3-5%</f>
        <v>8.7192103484308212E-2</v>
      </c>
      <c r="M38" s="33">
        <f>AVERAGE(MIN(MAX(J38,INDEX(Table1[Low],MATCH(B38,Table1[Sectors],0))), INDEX(Table1[Cap],MATCH(B38,Table1[Sectors],0))), MIN(MAX(K38,INDEX(Table1[Low],MATCH(B38,Table1[Sectors],0))), INDEX(Table1[Cap],MATCH(B38,Table1[Sectors],0))),MIN(MAX(L38,INDEX(Table1[Low],MATCH(B38,Table1[Sectors],0))), INDEX(Table1[Cap],MATCH(B38,Table1[Sectors],0))),MIN(MAX(H38,INDEX(Table1[Low],MATCH(B38,Table1[Sectors],0))), INDEX(Table1[Cap],MATCH(B38,Table1[Sectors],0))))</f>
        <v>0.12059802587107706</v>
      </c>
      <c r="N38" s="71">
        <v>2.81E-2</v>
      </c>
      <c r="O38" s="35">
        <f>M38</f>
        <v>0.12059802587107706</v>
      </c>
      <c r="P38" s="31">
        <f>Q38*1.2</f>
        <v>176.70209132548237</v>
      </c>
      <c r="Q38" s="19">
        <f>D38*(M38+1)^10*I38/(1+$Q$6-N38*$Q$8)^10*(1+O38*IF(O38&gt;0,$Q$10/12,1))</f>
        <v>147.25174277123531</v>
      </c>
      <c r="R38" s="19">
        <f>Q38*0.8</f>
        <v>117.80139421698826</v>
      </c>
      <c r="S38" s="19">
        <f>Q38/D38</f>
        <v>22.148994933627105</v>
      </c>
      <c r="T38" s="31">
        <f t="shared" si="13"/>
        <v>80.176412236772038</v>
      </c>
      <c r="U38" s="19">
        <f t="shared" si="13"/>
        <v>100.22051529596504</v>
      </c>
    </row>
    <row r="39" spans="1:22" x14ac:dyDescent="0.25">
      <c r="A39" s="20" t="s">
        <v>23</v>
      </c>
      <c r="B39" s="25" t="s">
        <v>154</v>
      </c>
      <c r="C39" s="42" t="s">
        <v>155</v>
      </c>
      <c r="D39" s="79">
        <f>5.41/(1+M39)^2</f>
        <v>4.2047764641840084</v>
      </c>
      <c r="E39" s="20"/>
      <c r="F39" s="20"/>
      <c r="G39" s="38">
        <v>0.16109999999999999</v>
      </c>
      <c r="H39" s="38">
        <v>0.35220000000000001</v>
      </c>
      <c r="I39" s="21">
        <f>(G39+20%)/3*100</f>
        <v>12.036666666666667</v>
      </c>
      <c r="J39" s="34">
        <v>0.2873</v>
      </c>
      <c r="K39" s="33">
        <v>0.17469999999999999</v>
      </c>
      <c r="L39" s="33">
        <f>C3-5%</f>
        <v>8.7192103484308212E-2</v>
      </c>
      <c r="M39" s="33">
        <f>AVERAGE(MIN(MAX(J39,INDEX(Table1[Low],MATCH(B39,Table1[Sectors],0))), INDEX(Table1[Cap],MATCH(B39,Table1[Sectors],0))), MIN(MAX(K39,INDEX(Table1[Low],MATCH(B39,Table1[Sectors],0))), INDEX(Table1[Cap],MATCH(B39,Table1[Sectors],0))),MIN(MAX(L39,INDEX(Table1[Low],MATCH(B39,Table1[Sectors],0))), INDEX(Table1[Cap],MATCH(B39,Table1[Sectors],0))),MIN(MAX(H39,INDEX(Table1[Low],MATCH(B39,Table1[Sectors],0))), INDEX(Table1[Cap],MATCH(B39,Table1[Sectors],0))))</f>
        <v>0.13429802587107709</v>
      </c>
      <c r="N39" s="71">
        <v>0</v>
      </c>
      <c r="O39" s="35">
        <f>M39</f>
        <v>0.13429802587107709</v>
      </c>
      <c r="P39" s="31">
        <f>Q39*1.2</f>
        <v>90.876909519404862</v>
      </c>
      <c r="Q39" s="19">
        <f t="shared" ref="Q39:Q40" si="14">D39*(M39+1)^10*I39/(1+$Q$6-N39*$Q$8)^10*(1+O39*IF(O39&gt;0,$Q$10/12,1))</f>
        <v>75.730757932837392</v>
      </c>
      <c r="R39" s="19">
        <f>Q39*0.8</f>
        <v>60.584606346269915</v>
      </c>
      <c r="S39" s="19">
        <f>Q39/D39</f>
        <v>18.010650168423147</v>
      </c>
      <c r="T39" s="31">
        <f t="shared" si="13"/>
        <v>56.469317836907997</v>
      </c>
      <c r="U39" s="19">
        <f t="shared" si="13"/>
        <v>70.586647296134998</v>
      </c>
    </row>
    <row r="40" spans="1:22" x14ac:dyDescent="0.25">
      <c r="A40" s="20" t="s">
        <v>24</v>
      </c>
      <c r="B40" s="25" t="s">
        <v>154</v>
      </c>
      <c r="C40" s="42" t="s">
        <v>119</v>
      </c>
      <c r="D40" s="78">
        <v>0.5</v>
      </c>
      <c r="E40" s="20"/>
      <c r="F40" s="20"/>
      <c r="G40" s="20"/>
      <c r="H40" s="38">
        <v>0.32719999999999999</v>
      </c>
      <c r="I40" s="21">
        <f>(G40+20%)/3*100</f>
        <v>6.666666666666667</v>
      </c>
      <c r="J40" s="34"/>
      <c r="K40" s="33">
        <v>0.2</v>
      </c>
      <c r="L40" s="33">
        <f>C7</f>
        <v>0.13</v>
      </c>
      <c r="M40" s="33">
        <f>AVERAGE(MIN(MAX(J40,INDEX(Table1[Low],MATCH(B40,Table1[Sectors],0))), INDEX(Table1[Cap],MATCH(B40,Table1[Sectors],0))), MIN(MAX(K40,INDEX(Table1[Low],MATCH(B40,Table1[Sectors],0))), INDEX(Table1[Cap],MATCH(B40,Table1[Sectors],0))),MIN(MAX(L40,INDEX(Table1[Low],MATCH(B40,Table1[Sectors],0))), INDEX(Table1[Cap],MATCH(B40,Table1[Sectors],0))),MIN(MAX(H40,INDEX(Table1[Low],MATCH(B40,Table1[Sectors],0))), INDEX(Table1[Cap],MATCH(B40,Table1[Sectors],0))))</f>
        <v>0.11750000000000001</v>
      </c>
      <c r="N40" s="71">
        <v>4.0000000000000002E-4</v>
      </c>
      <c r="O40" s="33">
        <v>0.19</v>
      </c>
      <c r="P40" s="31">
        <f>Q40*1.2</f>
        <v>5.3662602271832975</v>
      </c>
      <c r="Q40" s="19">
        <f t="shared" si="14"/>
        <v>4.4718835226527478</v>
      </c>
      <c r="R40" s="19">
        <f>Q40*0.8</f>
        <v>3.5775068181221985</v>
      </c>
      <c r="S40" s="19">
        <f>Q40/D40</f>
        <v>8.9437670453054956</v>
      </c>
      <c r="T40" s="31">
        <f t="shared" si="13"/>
        <v>5.875</v>
      </c>
      <c r="U40" s="19">
        <f t="shared" si="13"/>
        <v>7.34375</v>
      </c>
    </row>
    <row r="41" spans="1:22" x14ac:dyDescent="0.25">
      <c r="A41" s="20"/>
      <c r="B41" s="25"/>
      <c r="C41" s="42"/>
      <c r="D41" s="78"/>
      <c r="E41" s="20"/>
      <c r="F41" s="20"/>
      <c r="G41" s="20"/>
      <c r="H41" s="38"/>
      <c r="I41" s="21"/>
      <c r="J41" s="34"/>
      <c r="K41" s="33"/>
      <c r="L41" s="33"/>
      <c r="M41" s="33"/>
      <c r="N41" s="71"/>
      <c r="O41" s="33"/>
      <c r="P41" s="31"/>
      <c r="Q41" s="19"/>
      <c r="R41" s="19"/>
      <c r="S41" s="19"/>
      <c r="T41" s="31"/>
      <c r="U41" s="19"/>
    </row>
    <row r="42" spans="1:22" x14ac:dyDescent="0.25">
      <c r="A42" s="20" t="s">
        <v>153</v>
      </c>
      <c r="B42" s="25" t="s">
        <v>154</v>
      </c>
      <c r="C42" s="42" t="s">
        <v>158</v>
      </c>
      <c r="D42" s="81">
        <f>8.49/(M42+1)^2</f>
        <v>6.6278065831080228</v>
      </c>
      <c r="E42" s="20"/>
      <c r="F42" s="20"/>
      <c r="G42" s="47">
        <v>0.1</v>
      </c>
      <c r="H42" s="38">
        <v>0.156</v>
      </c>
      <c r="I42" s="21">
        <f>(G42+20%)/3*100</f>
        <v>10.000000000000002</v>
      </c>
      <c r="J42" s="34">
        <v>0.18820000000000001</v>
      </c>
      <c r="K42" s="33">
        <v>0.14000000000000001</v>
      </c>
      <c r="L42" s="33">
        <f>C6</f>
        <v>8.7192103484308212E-2</v>
      </c>
      <c r="M42" s="33">
        <f>AVERAGE(MIN(MAX(J42,INDEX(Table1[Low],MATCH(B42,Table1[Sectors],0))), INDEX(Table1[Cap],MATCH(B42,Table1[Sectors],0))), MIN(MAX(K42,INDEX(Table1[Low],MATCH(B42,Table1[Sectors],0))), INDEX(Table1[Cap],MATCH(B42,Table1[Sectors],0))),MIN(MAX(L42,INDEX(Table1[Low],MATCH(B42,Table1[Sectors],0))), INDEX(Table1[Cap],MATCH(B42,Table1[Sectors],0))),MIN(MAX(H42,INDEX(Table1[Low],MATCH(B42,Table1[Sectors],0))), INDEX(Table1[Cap],MATCH(B42,Table1[Sectors],0))))</f>
        <v>0.13179802587107708</v>
      </c>
      <c r="N42" s="71">
        <v>2.98E-2</v>
      </c>
      <c r="O42" s="35">
        <f>M42</f>
        <v>0.13179802587107708</v>
      </c>
      <c r="P42" s="31">
        <f>Q42*1.2</f>
        <v>143.25468989475971</v>
      </c>
      <c r="Q42" s="19">
        <f t="shared" ref="Q42:Q44" si="15">D42*(M42+1)^10*I42/(1+$Q$6-N42*$Q$8)^10*(1+O42*IF(O42&gt;0,$Q$10/12,1))</f>
        <v>119.3789082456331</v>
      </c>
      <c r="R42" s="19">
        <f>Q42*0.8</f>
        <v>95.50312659650649</v>
      </c>
      <c r="S42" s="19">
        <f>Q42/D42</f>
        <v>18.011827404542625</v>
      </c>
      <c r="T42" s="31">
        <f t="shared" si="13"/>
        <v>87.353182350896617</v>
      </c>
      <c r="U42" s="19">
        <f t="shared" si="13"/>
        <v>109.19147793862078</v>
      </c>
    </row>
    <row r="43" spans="1:22" x14ac:dyDescent="0.25">
      <c r="A43" s="20" t="s">
        <v>159</v>
      </c>
      <c r="B43" s="25" t="s">
        <v>154</v>
      </c>
      <c r="C43" s="42" t="s">
        <v>162</v>
      </c>
      <c r="D43" s="81">
        <v>14.07</v>
      </c>
      <c r="E43" s="20"/>
      <c r="F43" s="20"/>
      <c r="G43" s="47">
        <v>0.16220000000000001</v>
      </c>
      <c r="H43" s="38">
        <v>1</v>
      </c>
      <c r="I43" s="21">
        <f t="shared" ref="I43:I44" si="16">(G43+20%)/3*100</f>
        <v>12.073333333333334</v>
      </c>
      <c r="J43" s="34">
        <v>0.11269999999999999</v>
      </c>
      <c r="K43" s="33">
        <v>0.1177</v>
      </c>
      <c r="L43" s="33">
        <f>L42</f>
        <v>8.7192103484308212E-2</v>
      </c>
      <c r="M43" s="33">
        <f>AVERAGE(MIN(MAX(J43,INDEX(Table1[Low],MATCH(B43,Table1[Sectors],0))), INDEX(Table1[Cap],MATCH(B43,Table1[Sectors],0))), MIN(MAX(K43,INDEX(Table1[Low],MATCH(B43,Table1[Sectors],0))), INDEX(Table1[Cap],MATCH(B43,Table1[Sectors],0))),MIN(MAX(L43,INDEX(Table1[Low],MATCH(B43,Table1[Sectors],0))), INDEX(Table1[Cap],MATCH(B43,Table1[Sectors],0))),MIN(MAX(H43,INDEX(Table1[Low],MATCH(B43,Table1[Sectors],0))), INDEX(Table1[Cap],MATCH(B43,Table1[Sectors],0))))</f>
        <v>0.11689802587107706</v>
      </c>
      <c r="N43" s="71">
        <v>1.37E-2</v>
      </c>
      <c r="O43" s="35">
        <v>8.2000000000000003E-2</v>
      </c>
      <c r="P43" s="31">
        <f>Q43*1.2</f>
        <v>277.30968786741857</v>
      </c>
      <c r="Q43" s="19">
        <f t="shared" si="15"/>
        <v>231.09140655618214</v>
      </c>
      <c r="R43" s="19">
        <f t="shared" ref="R43:R44" si="17">Q43*0.8</f>
        <v>184.87312524494573</v>
      </c>
      <c r="S43" s="19">
        <f t="shared" ref="S43:S44" si="18">Q43/D43</f>
        <v>16.424407004703777</v>
      </c>
      <c r="T43" s="31">
        <f t="shared" si="13"/>
        <v>164.47552240060543</v>
      </c>
      <c r="U43" s="19">
        <f t="shared" si="13"/>
        <v>205.59440300075678</v>
      </c>
    </row>
    <row r="44" spans="1:22" x14ac:dyDescent="0.25">
      <c r="A44" s="20" t="s">
        <v>160</v>
      </c>
      <c r="B44" s="25" t="s">
        <v>154</v>
      </c>
      <c r="C44" s="42" t="s">
        <v>162</v>
      </c>
      <c r="D44" s="81">
        <f>4.64/(M44+1)^2</f>
        <v>3.7698461774754044</v>
      </c>
      <c r="E44" s="20"/>
      <c r="F44" s="20"/>
      <c r="G44" s="47">
        <v>7.2099999999999997E-2</v>
      </c>
      <c r="H44" s="38">
        <v>0.20630000000000001</v>
      </c>
      <c r="I44" s="21">
        <f t="shared" si="16"/>
        <v>9.07</v>
      </c>
      <c r="J44" s="34">
        <v>0.10050000000000001</v>
      </c>
      <c r="K44" s="33">
        <v>0.1</v>
      </c>
      <c r="L44" s="33">
        <f>L42</f>
        <v>8.7192103484308212E-2</v>
      </c>
      <c r="M44" s="33">
        <f>AVERAGE(MIN(MAX(J44,INDEX(Table1[Low],MATCH(B44,Table1[Sectors],0))), INDEX(Table1[Cap],MATCH(B44,Table1[Sectors],0))), MIN(MAX(K44,INDEX(Table1[Low],MATCH(B44,Table1[Sectors],0))), INDEX(Table1[Cap],MATCH(B44,Table1[Sectors],0))),MIN(MAX(L44,INDEX(Table1[Low],MATCH(B44,Table1[Sectors],0))), INDEX(Table1[Cap],MATCH(B44,Table1[Sectors],0))),MIN(MAX(H44,INDEX(Table1[Low],MATCH(B44,Table1[Sectors],0))), INDEX(Table1[Cap],MATCH(B44,Table1[Sectors],0))))</f>
        <v>0.10942302587107706</v>
      </c>
      <c r="N44" s="71">
        <v>2.3400000000000001E-2</v>
      </c>
      <c r="O44" s="35">
        <f>M44</f>
        <v>0.10942302587107706</v>
      </c>
      <c r="P44" s="31">
        <f t="shared" ref="P44" si="19">Q44*1.2</f>
        <v>56.963265178556064</v>
      </c>
      <c r="Q44" s="19">
        <f t="shared" si="15"/>
        <v>47.469387648796719</v>
      </c>
      <c r="R44" s="19">
        <f t="shared" si="17"/>
        <v>37.975510119037374</v>
      </c>
      <c r="S44" s="19">
        <f t="shared" si="18"/>
        <v>12.59186327877868</v>
      </c>
      <c r="T44" s="31">
        <f t="shared" si="13"/>
        <v>41.250797580787214</v>
      </c>
      <c r="U44" s="19">
        <f t="shared" si="13"/>
        <v>51.563496975984016</v>
      </c>
    </row>
    <row r="45" spans="1:22" x14ac:dyDescent="0.25">
      <c r="A45" s="20" t="s">
        <v>161</v>
      </c>
      <c r="B45" s="25" t="s">
        <v>154</v>
      </c>
      <c r="C45" s="42" t="s">
        <v>162</v>
      </c>
      <c r="D45" s="81">
        <v>2.85</v>
      </c>
      <c r="E45" s="20"/>
      <c r="F45" s="20"/>
      <c r="G45" s="47">
        <v>5.4100000000000002E-2</v>
      </c>
      <c r="H45" s="38">
        <v>0.1095</v>
      </c>
      <c r="I45" s="21">
        <f>(G45+20%)/3*100</f>
        <v>8.4699999999999989</v>
      </c>
      <c r="J45" s="34">
        <v>1.32E-2</v>
      </c>
      <c r="K45" s="33">
        <v>0.18759999999999999</v>
      </c>
      <c r="L45" s="33">
        <f>L42</f>
        <v>8.7192103484308212E-2</v>
      </c>
      <c r="M45" s="33">
        <f>AVERAGE(MIN(MAX(J45,INDEX(Table1[Low],MATCH(B45,Table1[Sectors],0))), INDEX(Table1[Cap],MATCH(B45,Table1[Sectors],0))), MIN(MAX(K45,INDEX(Table1[Low],MATCH(B45,Table1[Sectors],0))), INDEX(Table1[Cap],MATCH(B45,Table1[Sectors],0))),MIN(MAX(L45,INDEX(Table1[Low],MATCH(B45,Table1[Sectors],0))), INDEX(Table1[Cap],MATCH(B45,Table1[Sectors],0))),MIN(MAX(H45,INDEX(Table1[Low],MATCH(B45,Table1[Sectors],0))), INDEX(Table1[Cap],MATCH(B45,Table1[Sectors],0))))</f>
        <v>9.6673025871077053E-2</v>
      </c>
      <c r="N45" s="71">
        <v>1.2E-2</v>
      </c>
      <c r="O45" s="99">
        <v>0.13700000000000001</v>
      </c>
      <c r="P45" s="31">
        <f>Q45*1.2</f>
        <v>33.696901289148322</v>
      </c>
      <c r="Q45" s="19">
        <f t="shared" ref="Q45" si="20">D45*(M45+1)^10*I45/(1+$Q$6-N45*$Q$8)^10*(1+O45*IF(O45&gt;0,$Q$10/12,1))</f>
        <v>28.080751074290269</v>
      </c>
      <c r="R45" s="19">
        <f>Q45*0.8</f>
        <v>22.464600859432217</v>
      </c>
      <c r="S45" s="19">
        <f>Q45/D45</f>
        <v>9.8528951137860599</v>
      </c>
      <c r="T45" s="31">
        <f t="shared" si="13"/>
        <v>27.551812373256961</v>
      </c>
      <c r="U45" s="19">
        <f t="shared" si="13"/>
        <v>34.439765466571203</v>
      </c>
    </row>
    <row r="46" spans="1:22" x14ac:dyDescent="0.25">
      <c r="A46" s="20"/>
      <c r="B46" s="25"/>
      <c r="C46" s="42"/>
      <c r="D46" s="78"/>
      <c r="E46" s="20"/>
      <c r="F46" s="20"/>
      <c r="G46" s="20"/>
      <c r="H46" s="38"/>
      <c r="I46" s="21"/>
      <c r="J46" s="34"/>
      <c r="K46" s="33"/>
      <c r="L46" s="33"/>
      <c r="M46" s="33"/>
      <c r="N46" s="71"/>
      <c r="O46" s="33"/>
      <c r="P46" s="31"/>
      <c r="Q46" s="19"/>
      <c r="R46" s="19"/>
      <c r="S46" s="19"/>
      <c r="T46" s="31"/>
      <c r="U46" s="19"/>
    </row>
    <row r="47" spans="1:22" x14ac:dyDescent="0.25">
      <c r="A47" s="20" t="s">
        <v>25</v>
      </c>
      <c r="B47" s="25" t="s">
        <v>128</v>
      </c>
      <c r="C47" s="42" t="s">
        <v>105</v>
      </c>
      <c r="D47" s="78">
        <f>5.11/(1+M47)</f>
        <v>4.3213530655391121</v>
      </c>
      <c r="E47" s="20"/>
      <c r="F47" s="20"/>
      <c r="G47" s="38">
        <v>0.16139999999999999</v>
      </c>
      <c r="H47" s="38">
        <v>0.39639999999999997</v>
      </c>
      <c r="I47" s="21">
        <f t="shared" ref="I47" si="21">(G47+20%)/3*100</f>
        <v>12.046666666666667</v>
      </c>
      <c r="J47" s="34">
        <v>0.28079999999999999</v>
      </c>
      <c r="K47" s="33">
        <v>0.215</v>
      </c>
      <c r="L47" s="33">
        <f>C10</f>
        <v>0.13</v>
      </c>
      <c r="M47" s="33">
        <f>AVERAGE(MIN(MAX(J47,INDEX(Table1[Low],MATCH(B47,Table1[Sectors],0))), INDEX(Table1[Cap],MATCH(B47,Table1[Sectors],0))), MIN(MAX(K47,INDEX(Table1[Low],MATCH(B47,Table1[Sectors],0))), INDEX(Table1[Cap],MATCH(B47,Table1[Sectors],0))),MIN(MAX(L47,INDEX(Table1[Low],MATCH(B47,Table1[Sectors],0))), INDEX(Table1[Cap],MATCH(B47,Table1[Sectors],0))),MIN(MAX(H47,INDEX(Table1[Low],MATCH(B47,Table1[Sectors],0))), INDEX(Table1[Cap],MATCH(B47,Table1[Sectors],0))))</f>
        <v>0.1825</v>
      </c>
      <c r="N47" s="71">
        <v>1.7299999999999999E-2</v>
      </c>
      <c r="O47" s="33">
        <f>M47</f>
        <v>0.1825</v>
      </c>
      <c r="P47" s="31">
        <f>Q47*1.2</f>
        <v>165.18845006987516</v>
      </c>
      <c r="Q47" s="19">
        <f>D47*(M47+1)^10*I47/(1+$Q$6-N47*$Q$8)^10*(1+O47*IF(O47&gt;0,$Q$10/12,1))</f>
        <v>137.65704172489598</v>
      </c>
      <c r="R47" s="19">
        <f>Q47*0.8</f>
        <v>110.12563337991679</v>
      </c>
      <c r="S47" s="19">
        <f>Q47/D47</f>
        <v>31.855078637904008</v>
      </c>
      <c r="T47" s="31">
        <f t="shared" si="13"/>
        <v>78.864693446088793</v>
      </c>
      <c r="U47" s="19">
        <f t="shared" si="13"/>
        <v>98.580866807610988</v>
      </c>
      <c r="V47" s="1" t="s">
        <v>26</v>
      </c>
    </row>
    <row r="48" spans="1:22" x14ac:dyDescent="0.25">
      <c r="A48" s="20" t="s">
        <v>64</v>
      </c>
      <c r="B48" s="25" t="str">
        <f>B47</f>
        <v>Tech - support</v>
      </c>
      <c r="C48" s="42"/>
      <c r="D48" s="78">
        <v>1.97</v>
      </c>
      <c r="E48" s="20"/>
      <c r="F48" s="20"/>
      <c r="G48" s="38">
        <v>8.3000000000000001E-3</v>
      </c>
      <c r="H48" s="38">
        <v>8.0299999999999996E-2</v>
      </c>
      <c r="I48" s="21"/>
      <c r="J48" s="34"/>
      <c r="K48" s="33"/>
      <c r="L48" s="33"/>
      <c r="M48" s="33">
        <f>AVERAGE(MIN(MAX(J48,INDEX(Table1[Low],MATCH(B48,Table1[Sectors],0))), INDEX(Table1[Cap],MATCH(B48,Table1[Sectors],0))), MIN(MAX(K48,INDEX(Table1[Low],MATCH(B48,Table1[Sectors],0))), INDEX(Table1[Cap],MATCH(B48,Table1[Sectors],0))),MIN(MAX(L48,INDEX(Table1[Low],MATCH(B48,Table1[Sectors],0))), INDEX(Table1[Cap],MATCH(B48,Table1[Sectors],0))),MIN(MAX(H48,INDEX(Table1[Low],MATCH(B48,Table1[Sectors],0))), INDEX(Table1[Cap],MATCH(B48,Table1[Sectors],0))))</f>
        <v>5.7575000000000001E-2</v>
      </c>
      <c r="N48" s="71"/>
      <c r="O48" s="33"/>
      <c r="P48" s="31"/>
      <c r="Q48" s="19"/>
      <c r="R48" s="19"/>
      <c r="S48" s="19"/>
      <c r="T48" s="31"/>
      <c r="U48" s="19"/>
    </row>
    <row r="49" spans="1:21" x14ac:dyDescent="0.25">
      <c r="A49" s="20" t="s">
        <v>85</v>
      </c>
      <c r="B49" s="25"/>
      <c r="C49" s="42"/>
      <c r="D49" s="78"/>
      <c r="E49" s="20"/>
      <c r="F49" s="20"/>
      <c r="G49" s="38"/>
      <c r="H49" s="38"/>
      <c r="I49" s="21"/>
      <c r="J49" s="34"/>
      <c r="K49" s="33"/>
      <c r="L49" s="33"/>
      <c r="M49" s="33"/>
      <c r="N49" s="71"/>
      <c r="O49" s="33"/>
      <c r="P49" s="31"/>
      <c r="Q49" s="19"/>
      <c r="R49" s="19"/>
      <c r="S49" s="19"/>
      <c r="T49" s="31"/>
      <c r="U49" s="19"/>
    </row>
    <row r="50" spans="1:21" x14ac:dyDescent="0.25">
      <c r="A50" s="20"/>
      <c r="B50" s="25"/>
      <c r="C50" s="42"/>
      <c r="D50" s="78"/>
      <c r="E50" s="20"/>
      <c r="F50" s="20"/>
      <c r="G50" s="38"/>
      <c r="H50" s="38"/>
      <c r="I50" s="21"/>
      <c r="J50" s="34"/>
      <c r="K50" s="33"/>
      <c r="L50" s="33"/>
      <c r="M50" s="33"/>
      <c r="N50" s="71"/>
      <c r="O50" s="33"/>
      <c r="P50" s="31"/>
      <c r="Q50" s="19"/>
      <c r="R50" s="19"/>
      <c r="S50" s="19"/>
      <c r="T50" s="31"/>
      <c r="U50" s="19"/>
    </row>
    <row r="51" spans="1:21" x14ac:dyDescent="0.25">
      <c r="A51" s="20" t="s">
        <v>126</v>
      </c>
      <c r="B51" s="25" t="s">
        <v>128</v>
      </c>
      <c r="C51" s="42" t="s">
        <v>127</v>
      </c>
      <c r="D51" s="78">
        <f>26.54/(1+M51)^2</f>
        <v>20.420772547862253</v>
      </c>
      <c r="E51" s="20"/>
      <c r="F51" s="20"/>
      <c r="G51" s="38">
        <v>4.9799999999999997E-2</v>
      </c>
      <c r="H51" s="38">
        <v>0.1444</v>
      </c>
      <c r="I51" s="21">
        <v>8.5</v>
      </c>
      <c r="J51" s="34">
        <v>0.21199999999999999</v>
      </c>
      <c r="K51" s="33">
        <v>8.5699999999999998E-2</v>
      </c>
      <c r="L51" s="33">
        <f>C10</f>
        <v>0.13</v>
      </c>
      <c r="M51" s="33">
        <f>AVERAGE(MIN(MAX(J51,INDEX(Table1[Low],MATCH(B51,Table1[Sectors],0))), INDEX(Table1[Cap],MATCH(B51,Table1[Sectors],0))), MIN(MAX(K51,INDEX(Table1[Low],MATCH(B51,Table1[Sectors],0))), INDEX(Table1[Cap],MATCH(B51,Table1[Sectors],0))),MIN(MAX(L51,INDEX(Table1[Low],MATCH(B51,Table1[Sectors],0))), INDEX(Table1[Cap],MATCH(B51,Table1[Sectors],0))),MIN(MAX(H51,INDEX(Table1[Low],MATCH(B51,Table1[Sectors],0))), INDEX(Table1[Cap],MATCH(B51,Table1[Sectors],0))))</f>
        <v>0.14002500000000001</v>
      </c>
      <c r="N51" s="71">
        <v>2.7000000000000001E-3</v>
      </c>
      <c r="O51" s="35">
        <f>M51</f>
        <v>0.14002500000000001</v>
      </c>
      <c r="P51" s="31">
        <f>Q51*1.2</f>
        <v>335.28419278240176</v>
      </c>
      <c r="Q51" s="19">
        <f>D51*(M51+1)^10*I51/(1+$Q$6-N51*$Q$8)^10*(1+O51*IF(O51&gt;0,$Q$10/12,1))</f>
        <v>279.40349398533482</v>
      </c>
      <c r="R51" s="19">
        <f>Q51*0.8</f>
        <v>223.52279518826788</v>
      </c>
      <c r="S51" s="19">
        <f>Q51/D51</f>
        <v>13.68231751910797</v>
      </c>
      <c r="T51" s="31">
        <f t="shared" ref="T51:U51" si="22">$M51*$D51*100*T$16</f>
        <v>285.94186760144123</v>
      </c>
      <c r="U51" s="19">
        <f t="shared" si="22"/>
        <v>357.42733450180151</v>
      </c>
    </row>
    <row r="52" spans="1:21" x14ac:dyDescent="0.25">
      <c r="A52" s="20" t="s">
        <v>91</v>
      </c>
      <c r="B52" s="25" t="s">
        <v>128</v>
      </c>
      <c r="C52" s="42" t="s">
        <v>123</v>
      </c>
      <c r="D52" s="81">
        <f>99225/46520</f>
        <v>2.1329535683576957</v>
      </c>
      <c r="E52" s="44"/>
      <c r="F52" s="44"/>
      <c r="G52" s="39">
        <v>9.1600000000000001E-2</v>
      </c>
      <c r="H52" s="39">
        <v>0.19589999999999999</v>
      </c>
      <c r="I52" s="21">
        <f>(G52+20%)/3*100</f>
        <v>9.7200000000000006</v>
      </c>
      <c r="J52" s="36">
        <v>0.3589</v>
      </c>
      <c r="K52" s="37">
        <f>L52</f>
        <v>0.13</v>
      </c>
      <c r="L52" s="33">
        <f>L67-5%</f>
        <v>0.13</v>
      </c>
      <c r="M52" s="33">
        <f>AVERAGE(MIN(MAX(J52,INDEX(Table1[Low],MATCH(B52,Table1[Sectors],0))), INDEX(Table1[Cap],MATCH(B52,Table1[Sectors],0))), MIN(MAX(K52,INDEX(Table1[Low],MATCH(B52,Table1[Sectors],0))), INDEX(Table1[Cap],MATCH(B52,Table1[Sectors],0))),MIN(MAX(L52,INDEX(Table1[Low],MATCH(B52,Table1[Sectors],0))), INDEX(Table1[Cap],MATCH(B52,Table1[Sectors],0))),MIN(MAX(H52,INDEX(Table1[Low],MATCH(B52,Table1[Sectors],0))), INDEX(Table1[Cap],MATCH(B52,Table1[Sectors],0))))</f>
        <v>0.16397500000000001</v>
      </c>
      <c r="N52" s="71"/>
      <c r="O52" s="33">
        <v>0.184</v>
      </c>
      <c r="P52" s="31">
        <f t="shared" ref="P52" si="23">Q52*1.2</f>
        <v>49.828848233035039</v>
      </c>
      <c r="Q52" s="19">
        <f>D52*(M52+1)^10*(20+G52*100)/3/1.1^10*(1+O52*IF(O52&gt;0,$Q$10/12,1))</f>
        <v>41.524040194195869</v>
      </c>
      <c r="R52" s="19">
        <f>Q52*0.8</f>
        <v>33.2192321553567</v>
      </c>
      <c r="S52" s="19">
        <f>Q52/D52</f>
        <v>19.467859408757789</v>
      </c>
      <c r="T52" s="31">
        <f>$M52*$D52*100*T$16</f>
        <v>34.975106137145318</v>
      </c>
      <c r="U52" s="19">
        <f>$M52*$D52*100*U$16</f>
        <v>43.718882671431643</v>
      </c>
    </row>
    <row r="53" spans="1:21" x14ac:dyDescent="0.25">
      <c r="A53" s="20"/>
      <c r="B53" s="25"/>
      <c r="C53" s="42"/>
      <c r="D53" s="78"/>
      <c r="E53" s="20"/>
      <c r="F53" s="20"/>
      <c r="G53" s="38"/>
      <c r="H53" s="38"/>
      <c r="I53" s="21"/>
      <c r="J53" s="34"/>
      <c r="K53" s="33"/>
      <c r="L53" s="33"/>
      <c r="M53" s="33"/>
      <c r="N53" s="71"/>
      <c r="O53" s="33"/>
      <c r="P53" s="31"/>
      <c r="Q53" s="19"/>
      <c r="R53" s="19"/>
      <c r="S53" s="19"/>
      <c r="T53" s="31"/>
      <c r="U53" s="19"/>
    </row>
    <row r="54" spans="1:21" x14ac:dyDescent="0.25">
      <c r="A54" s="20" t="s">
        <v>93</v>
      </c>
      <c r="B54" s="25" t="s">
        <v>114</v>
      </c>
      <c r="C54" s="42" t="s">
        <v>115</v>
      </c>
      <c r="D54" s="78">
        <f>Value!B6</f>
        <v>2.54</v>
      </c>
      <c r="E54" s="20"/>
      <c r="F54" s="20"/>
      <c r="G54" s="38">
        <f>Value!E6</f>
        <v>5.96E-2</v>
      </c>
      <c r="H54" s="38">
        <f>Value!F6</f>
        <v>0.20899999999999999</v>
      </c>
      <c r="I54" s="21">
        <v>8.5</v>
      </c>
      <c r="J54" s="34">
        <f>Value!H6</f>
        <v>3.5000000000000003E-2</v>
      </c>
      <c r="K54" s="33">
        <f>Value!G6</f>
        <v>4.566929133858269E-2</v>
      </c>
      <c r="L54" s="33">
        <f>INDEX($C$1:$C$14,MATCH($B54,$A$1:$A$14,0))</f>
        <v>0.03</v>
      </c>
      <c r="M54" s="33">
        <f>AVERAGE(MIN(MAX(J54,INDEX(Table1[Low],MATCH(B54,Table1[Sectors],0))), INDEX(Table1[Cap],MATCH(B54,Table1[Sectors],0))), MIN(MAX(K54,INDEX(Table1[Low],MATCH(B54,Table1[Sectors],0))), INDEX(Table1[Cap],MATCH(B54,Table1[Sectors],0))),MIN(MAX(L54,INDEX(Table1[Low],MATCH(B54,Table1[Sectors],0))), INDEX(Table1[Cap],MATCH(B54,Table1[Sectors],0))),MIN(MAX(H54,INDEX(Table1[Low],MATCH(B54,Table1[Sectors],0))), INDEX(Table1[Cap],MATCH(B54,Table1[Sectors],0))))</f>
        <v>6.5167322834645672E-2</v>
      </c>
      <c r="N54" s="71">
        <f>Value!C6/25</f>
        <v>7.8399999999999997E-2</v>
      </c>
      <c r="O54" s="33">
        <v>0</v>
      </c>
      <c r="P54" s="31">
        <f>Q54*1.2</f>
        <v>32.879329305136082</v>
      </c>
      <c r="Q54" s="19">
        <f>D54*(M54+1)^10*I54/(1+$Q$6-N54*$Q$8)^10*(1+O54*IF(O54&gt;0,$Q$10/12,1))</f>
        <v>27.399441087613404</v>
      </c>
      <c r="R54" s="19">
        <f>Q54*0.8</f>
        <v>21.919552870090726</v>
      </c>
      <c r="S54" s="19">
        <f>Q54/D54</f>
        <v>10.787181530556458</v>
      </c>
      <c r="T54" s="31">
        <f t="shared" ref="T54:U56" si="24">$M54*$D54*100*T$16</f>
        <v>16.552500000000002</v>
      </c>
      <c r="U54" s="19">
        <f t="shared" si="24"/>
        <v>20.690625000000004</v>
      </c>
    </row>
    <row r="55" spans="1:21" x14ac:dyDescent="0.25">
      <c r="A55" s="20" t="s">
        <v>124</v>
      </c>
      <c r="B55" s="25" t="str">
        <f>B54</f>
        <v>Oil &amp; Gas</v>
      </c>
      <c r="C55" s="42" t="s">
        <v>137</v>
      </c>
      <c r="D55" s="79">
        <f>5.53/(1+M55)^2</f>
        <v>4.1920390445758562</v>
      </c>
      <c r="E55" s="20"/>
      <c r="F55" s="20"/>
      <c r="G55" s="38">
        <v>0.1071</v>
      </c>
      <c r="H55" s="38">
        <v>0.3513</v>
      </c>
      <c r="I55" s="21">
        <v>8.5</v>
      </c>
      <c r="J55" s="34">
        <v>0.14710000000000001</v>
      </c>
      <c r="K55" s="33">
        <f>J55</f>
        <v>0.14710000000000001</v>
      </c>
      <c r="L55" s="33">
        <f>D13</f>
        <v>0.15</v>
      </c>
      <c r="M55" s="33">
        <f>AVERAGE(MIN(MAX(J55,INDEX(Table1[Low],MATCH(B55,Table1[Sectors],0))), INDEX(Table1[Cap],MATCH(B55,Table1[Sectors],0))), MIN(MAX(K55,INDEX(Table1[Low],MATCH(B55,Table1[Sectors],0))), INDEX(Table1[Cap],MATCH(B55,Table1[Sectors],0))),MIN(MAX(L55,INDEX(Table1[Low],MATCH(B55,Table1[Sectors],0))), INDEX(Table1[Cap],MATCH(B55,Table1[Sectors],0))),MIN(MAX(H55,INDEX(Table1[Low],MATCH(B55,Table1[Sectors],0))), INDEX(Table1[Cap],MATCH(B55,Table1[Sectors],0))))</f>
        <v>0.14855000000000002</v>
      </c>
      <c r="N55" s="71">
        <v>1.2200000000000001E-2</v>
      </c>
      <c r="O55" s="35">
        <f>M55</f>
        <v>0.14855000000000002</v>
      </c>
      <c r="P55" s="31">
        <f>Q55*1.2</f>
        <v>79.696667140037107</v>
      </c>
      <c r="Q55" s="19">
        <f>D55*(M55+1)^10*I55/(1+$Q$6-N55*$Q$8)^10*(1+O55*IF(O55&gt;0,$Q$10/12,1))</f>
        <v>66.413889283364256</v>
      </c>
      <c r="R55" s="19">
        <f>Q55*0.8</f>
        <v>53.131111426691405</v>
      </c>
      <c r="S55" s="19">
        <f>Q55/D55</f>
        <v>15.84286037824438</v>
      </c>
      <c r="T55" s="31">
        <f t="shared" si="24"/>
        <v>62.272740007174356</v>
      </c>
      <c r="U55" s="19">
        <f t="shared" si="24"/>
        <v>77.840925008967943</v>
      </c>
    </row>
    <row r="56" spans="1:21" x14ac:dyDescent="0.25">
      <c r="A56" s="20" t="s">
        <v>136</v>
      </c>
      <c r="B56" s="25" t="str">
        <f>B55</f>
        <v>Oil &amp; Gas</v>
      </c>
      <c r="C56" s="42" t="s">
        <v>137</v>
      </c>
      <c r="D56" s="79">
        <f>6.71/(1+M56)^2</f>
        <v>5.5707473497958189</v>
      </c>
      <c r="E56" s="20"/>
      <c r="F56" s="20"/>
      <c r="G56" s="38">
        <v>0.221</v>
      </c>
      <c r="H56" s="38">
        <v>0.5887</v>
      </c>
      <c r="I56" s="21">
        <v>8.5</v>
      </c>
      <c r="J56" s="34">
        <v>0.65169999999999995</v>
      </c>
      <c r="K56" s="33">
        <v>-0.03</v>
      </c>
      <c r="L56" s="33">
        <f>AVERAGE(L54:L55)</f>
        <v>0.09</v>
      </c>
      <c r="M56" s="33">
        <f>AVERAGE(MIN(MAX(J56,INDEX(Table1[Low],MATCH(B56,Table1[Sectors],0))), INDEX(Table1[Cap],MATCH(B56,Table1[Sectors],0))), MIN(MAX(K56,INDEX(Table1[Low],MATCH(B56,Table1[Sectors],0))), INDEX(Table1[Cap],MATCH(B56,Table1[Sectors],0))),MIN(MAX(L56,INDEX(Table1[Low],MATCH(B56,Table1[Sectors],0))), INDEX(Table1[Cap],MATCH(B56,Table1[Sectors],0))),MIN(MAX(H56,INDEX(Table1[Low],MATCH(B56,Table1[Sectors],0))), INDEX(Table1[Cap],MATCH(B56,Table1[Sectors],0))))</f>
        <v>9.7500000000000003E-2</v>
      </c>
      <c r="N56" s="71">
        <f>9.21%/4</f>
        <v>2.3025000000000004E-2</v>
      </c>
      <c r="O56" s="35">
        <f>M56</f>
        <v>9.7500000000000003E-2</v>
      </c>
      <c r="P56" s="31">
        <f>Q56*1.2</f>
        <v>70.035127605313534</v>
      </c>
      <c r="Q56" s="19">
        <f>D56*(M56+1)^10*I56/(1+$Q$6-N56*$Q$8)^10*(1+O56*IF(O56&gt;0,$Q$10/12,1))</f>
        <v>58.362606337761285</v>
      </c>
      <c r="R56" s="19">
        <f>Q56*0.8</f>
        <v>46.69008507020903</v>
      </c>
      <c r="S56" s="19">
        <f>Q56/D56</f>
        <v>10.476620581240399</v>
      </c>
      <c r="T56" s="31">
        <f t="shared" si="24"/>
        <v>54.314786660509242</v>
      </c>
      <c r="U56" s="19">
        <f t="shared" si="24"/>
        <v>67.893483325636552</v>
      </c>
    </row>
    <row r="57" spans="1:21" x14ac:dyDescent="0.25">
      <c r="A57" s="20"/>
      <c r="B57" s="25"/>
      <c r="C57" s="42"/>
      <c r="D57" s="79"/>
      <c r="E57" s="20"/>
      <c r="F57" s="20"/>
      <c r="G57" s="38"/>
      <c r="H57" s="38"/>
      <c r="I57" s="21"/>
      <c r="J57" s="34"/>
      <c r="K57" s="33"/>
      <c r="L57" s="33"/>
      <c r="M57" s="33"/>
      <c r="N57" s="71"/>
      <c r="O57" s="35"/>
      <c r="P57" s="31"/>
      <c r="Q57" s="19"/>
      <c r="R57" s="19"/>
      <c r="S57" s="19"/>
      <c r="T57" s="31"/>
      <c r="U57" s="19"/>
    </row>
    <row r="58" spans="1:21" x14ac:dyDescent="0.25">
      <c r="A58" s="20"/>
      <c r="B58" s="25"/>
      <c r="C58" s="42"/>
      <c r="D58" s="78"/>
      <c r="E58" s="20"/>
      <c r="F58" s="20"/>
      <c r="G58" s="20"/>
      <c r="H58" s="20"/>
      <c r="I58" s="21"/>
      <c r="J58" s="34"/>
      <c r="K58" s="33"/>
      <c r="L58" s="33"/>
      <c r="M58" s="33"/>
      <c r="N58" s="71"/>
      <c r="O58" s="33"/>
      <c r="P58" s="31"/>
      <c r="Q58" s="19"/>
      <c r="R58" s="19"/>
      <c r="S58" s="19"/>
      <c r="T58" s="31"/>
      <c r="U58" s="19"/>
    </row>
    <row r="59" spans="1:21" x14ac:dyDescent="0.25">
      <c r="A59" s="20" t="s">
        <v>27</v>
      </c>
      <c r="B59" s="25" t="s">
        <v>120</v>
      </c>
      <c r="C59" s="42" t="s">
        <v>28</v>
      </c>
      <c r="D59" s="78">
        <v>23.45</v>
      </c>
      <c r="E59" s="20"/>
      <c r="F59" s="20"/>
      <c r="G59" s="38">
        <v>0.12139999999999999</v>
      </c>
      <c r="H59" s="38">
        <v>0.40229999999999999</v>
      </c>
      <c r="I59" s="21">
        <v>8.5</v>
      </c>
      <c r="J59" s="34">
        <v>0.21329999999999999</v>
      </c>
      <c r="K59" s="33">
        <v>0.95179999999999998</v>
      </c>
      <c r="L59" s="33">
        <f>C8</f>
        <v>0.05</v>
      </c>
      <c r="M59" s="33">
        <f>AVERAGE(MIN(MAX(J59,INDEX(Table1[Low],MATCH(B59,Table1[Sectors],0))), INDEX(Table1[Cap],MATCH(B59,Table1[Sectors],0))), MIN(MAX(K59,INDEX(Table1[Low],MATCH(B59,Table1[Sectors],0))), INDEX(Table1[Cap],MATCH(B59,Table1[Sectors],0))),MIN(MAX(L59,INDEX(Table1[Low],MATCH(B59,Table1[Sectors],0))), INDEX(Table1[Cap],MATCH(B59,Table1[Sectors],0))),MIN(MAX(H59,INDEX(Table1[Low],MATCH(B59,Table1[Sectors],0))), INDEX(Table1[Cap],MATCH(B59,Table1[Sectors],0))))</f>
        <v>8.7499999999999994E-2</v>
      </c>
      <c r="N59" s="71">
        <v>7.9000000000000008E-3</v>
      </c>
      <c r="O59" s="33">
        <v>0.30399999999999999</v>
      </c>
      <c r="P59" s="31">
        <f>Q59*1.2</f>
        <v>276.82736418968523</v>
      </c>
      <c r="Q59" s="19">
        <f t="shared" ref="Q59:Q67" si="25">D59*(M59+1)^10*I59/(1+$Q$6-N59*$Q$8)^10*(1+O59*IF(O59&gt;0,$Q$10/12,1))</f>
        <v>230.68947015807103</v>
      </c>
      <c r="R59" s="19">
        <f>Q59*0.8</f>
        <v>184.55157612645684</v>
      </c>
      <c r="S59" s="19">
        <f>Q59/D59</f>
        <v>9.8375040579134776</v>
      </c>
      <c r="T59" s="31">
        <f>$M59*$D59*100*T$16</f>
        <v>205.1875</v>
      </c>
      <c r="U59" s="19">
        <f>$M59*$D59*100*U$16</f>
        <v>256.484375</v>
      </c>
    </row>
    <row r="60" spans="1:21" x14ac:dyDescent="0.25">
      <c r="A60" s="20" t="s">
        <v>29</v>
      </c>
      <c r="B60" s="25" t="s">
        <v>120</v>
      </c>
      <c r="C60" s="42" t="s">
        <v>28</v>
      </c>
      <c r="D60" s="78">
        <v>-2.04</v>
      </c>
      <c r="E60" s="20"/>
      <c r="F60" s="20"/>
      <c r="G60" s="20"/>
      <c r="H60" s="20"/>
      <c r="I60" s="21"/>
      <c r="J60" s="34"/>
      <c r="K60" s="33"/>
      <c r="L60" s="33"/>
      <c r="M60" s="33">
        <f>AVERAGE(MIN(MAX(J60,INDEX(Table1[Low],MATCH(B60,Table1[Sectors],0))), INDEX(Table1[Cap],MATCH(B60,Table1[Sectors],0))), MIN(MAX(K60,INDEX(Table1[Low],MATCH(B60,Table1[Sectors],0))), INDEX(Table1[Cap],MATCH(B60,Table1[Sectors],0))),MIN(MAX(L60,INDEX(Table1[Low],MATCH(B60,Table1[Sectors],0))), INDEX(Table1[Cap],MATCH(B60,Table1[Sectors],0))),MIN(MAX(H60,INDEX(Table1[Low],MATCH(B60,Table1[Sectors],0))), INDEX(Table1[Cap],MATCH(B60,Table1[Sectors],0))))</f>
        <v>0.05</v>
      </c>
      <c r="N60" s="71"/>
      <c r="O60" s="33"/>
      <c r="P60" s="31"/>
      <c r="Q60" s="19"/>
      <c r="R60" s="19"/>
      <c r="S60" s="19"/>
      <c r="T60" s="31"/>
      <c r="U60" s="19"/>
    </row>
    <row r="61" spans="1:21" x14ac:dyDescent="0.25">
      <c r="A61" s="20"/>
      <c r="B61" s="25"/>
      <c r="C61" s="42"/>
      <c r="D61" s="78"/>
      <c r="E61" s="20"/>
      <c r="F61" s="20"/>
      <c r="G61" s="20"/>
      <c r="H61" s="20"/>
      <c r="I61" s="21"/>
      <c r="J61" s="34"/>
      <c r="K61" s="33"/>
      <c r="L61" s="33"/>
      <c r="M61" s="33"/>
      <c r="N61" s="71"/>
      <c r="O61" s="33"/>
      <c r="P61" s="31"/>
      <c r="Q61" s="19"/>
      <c r="R61" s="19"/>
      <c r="S61" s="19"/>
      <c r="T61" s="31"/>
      <c r="U61" s="19"/>
    </row>
    <row r="62" spans="1:21" x14ac:dyDescent="0.25">
      <c r="A62" s="20" t="s">
        <v>134</v>
      </c>
      <c r="B62" s="25" t="s">
        <v>128</v>
      </c>
      <c r="C62" s="42" t="s">
        <v>135</v>
      </c>
      <c r="D62" s="78">
        <v>2.63</v>
      </c>
      <c r="E62" s="20"/>
      <c r="F62" s="20"/>
      <c r="G62" s="38">
        <v>3.8300000000000001E-2</v>
      </c>
      <c r="H62" s="94">
        <f>1/7.87</f>
        <v>0.12706480304955528</v>
      </c>
      <c r="I62" s="21">
        <f t="shared" ref="I62" si="26">(G62+20%)/3*100</f>
        <v>7.9433333333333342</v>
      </c>
      <c r="J62" s="34">
        <v>2.1899999999999999E-2</v>
      </c>
      <c r="K62" s="33">
        <v>1.6000000000000001E-3</v>
      </c>
      <c r="L62" s="33">
        <f>C10</f>
        <v>0.13</v>
      </c>
      <c r="M62" s="33">
        <f>AVERAGE(MIN(MAX(J62,INDEX(Table1[Low],MATCH(B62,Table1[Sectors],0))), INDEX(Table1[Cap],MATCH(B62,Table1[Sectors],0))), MIN(MAX(K62,INDEX(Table1[Low],MATCH(B62,Table1[Sectors],0))), INDEX(Table1[Cap],MATCH(B62,Table1[Sectors],0))),MIN(MAX(L62,INDEX(Table1[Low],MATCH(B62,Table1[Sectors],0))), INDEX(Table1[Cap],MATCH(B62,Table1[Sectors],0))),MIN(MAX(H62,INDEX(Table1[Low],MATCH(B62,Table1[Sectors],0))), INDEX(Table1[Cap],MATCH(B62,Table1[Sectors],0))))</f>
        <v>8.9266200762388823E-2</v>
      </c>
      <c r="N62" s="71">
        <v>0.03</v>
      </c>
      <c r="O62" s="35">
        <v>0.4</v>
      </c>
      <c r="P62" s="31">
        <f>Q62*1.2</f>
        <v>36.47289961563127</v>
      </c>
      <c r="Q62" s="19">
        <f t="shared" ref="Q62" si="27">D62*(M62+1)^10*I62/(1+$Q$6-N62*$Q$8)^10*(1+O62*IF(O62&gt;0,$Q$10/12,1))</f>
        <v>30.394083013026059</v>
      </c>
      <c r="R62" s="19">
        <f>Q62*0.8</f>
        <v>24.315266410420847</v>
      </c>
      <c r="S62" s="19">
        <f>Q62/D62</f>
        <v>11.556685556283673</v>
      </c>
      <c r="T62" s="31">
        <f>$M62*$D62*100*T$16</f>
        <v>23.477010800508261</v>
      </c>
      <c r="U62" s="19">
        <f>$M62*$D62*100*U$16</f>
        <v>29.346263500635324</v>
      </c>
    </row>
    <row r="63" spans="1:21" x14ac:dyDescent="0.25">
      <c r="A63" s="20" t="s">
        <v>133</v>
      </c>
      <c r="B63" s="25" t="s">
        <v>128</v>
      </c>
      <c r="C63" s="42" t="s">
        <v>135</v>
      </c>
      <c r="D63" s="78">
        <f>3.56/(1+M63)^2</f>
        <v>2.887164547322056</v>
      </c>
      <c r="E63" s="20"/>
      <c r="F63" s="20"/>
      <c r="G63" s="38">
        <v>7.1900000000000006E-2</v>
      </c>
      <c r="H63" s="94">
        <v>0.1</v>
      </c>
      <c r="I63" s="21">
        <f>(G63+20%)/3*100</f>
        <v>9.0633333333333344</v>
      </c>
      <c r="J63" s="34">
        <v>0.16170000000000001</v>
      </c>
      <c r="K63" s="33">
        <v>1.61E-2</v>
      </c>
      <c r="L63" s="33">
        <f>L62</f>
        <v>0.13</v>
      </c>
      <c r="M63" s="33">
        <f>AVERAGE(MIN(MAX(J63,INDEX(Table1[Low],MATCH(B63,Table1[Sectors],0))), INDEX(Table1[Cap],MATCH(B63,Table1[Sectors],0))), MIN(MAX(K63,INDEX(Table1[Low],MATCH(B63,Table1[Sectors],0))), INDEX(Table1[Cap],MATCH(B63,Table1[Sectors],0))),MIN(MAX(L63,INDEX(Table1[Low],MATCH(B63,Table1[Sectors],0))), INDEX(Table1[Cap],MATCH(B63,Table1[Sectors],0))),MIN(MAX(H63,INDEX(Table1[Low],MATCH(B63,Table1[Sectors],0))), INDEX(Table1[Cap],MATCH(B63,Table1[Sectors],0))))</f>
        <v>0.110425</v>
      </c>
      <c r="N63" s="71">
        <v>3.32E-2</v>
      </c>
      <c r="O63" s="35">
        <f>M63</f>
        <v>0.110425</v>
      </c>
      <c r="P63" s="31">
        <f>Q63*1.2</f>
        <v>47.185393256023218</v>
      </c>
      <c r="Q63" s="19">
        <f t="shared" ref="Q63" si="28">D63*(M63+1)^10*I63/(1+$Q$6-N63*$Q$8)^10*(1+O63*IF(O63&gt;0,$Q$10/12,1))</f>
        <v>39.321161046686015</v>
      </c>
      <c r="R63" s="19">
        <f>Q63*0.8</f>
        <v>31.456928837348812</v>
      </c>
      <c r="S63" s="19">
        <f>Q63/D63</f>
        <v>13.619300321194974</v>
      </c>
      <c r="T63" s="31">
        <f>$M63*$D63*100*T$16</f>
        <v>31.881514513803801</v>
      </c>
      <c r="U63" s="19">
        <f>$M63*$D63*100*U$16</f>
        <v>39.851893142254752</v>
      </c>
    </row>
    <row r="64" spans="1:21" x14ac:dyDescent="0.25">
      <c r="A64" s="20"/>
      <c r="B64" s="25"/>
      <c r="C64" s="42"/>
      <c r="D64" s="78"/>
      <c r="E64" s="20"/>
      <c r="F64" s="20"/>
      <c r="G64" s="20"/>
      <c r="H64" s="20"/>
      <c r="I64" s="20"/>
      <c r="J64" s="34"/>
      <c r="K64" s="33"/>
      <c r="L64" s="33"/>
      <c r="M64" s="33"/>
      <c r="N64" s="71"/>
      <c r="O64" s="33"/>
      <c r="P64" s="31"/>
      <c r="Q64" s="19"/>
      <c r="R64" s="19"/>
      <c r="S64" s="19"/>
      <c r="T64" s="31"/>
      <c r="U64" s="19"/>
    </row>
    <row r="65" spans="1:21" x14ac:dyDescent="0.25">
      <c r="A65" s="20" t="s">
        <v>45</v>
      </c>
      <c r="B65" s="25" t="s">
        <v>121</v>
      </c>
      <c r="C65" s="42" t="s">
        <v>121</v>
      </c>
      <c r="D65" s="81">
        <v>4.57</v>
      </c>
      <c r="E65" s="44"/>
      <c r="F65" s="44"/>
      <c r="G65" s="39">
        <v>0.12909999999999999</v>
      </c>
      <c r="H65" s="39">
        <v>0.23619999999999999</v>
      </c>
      <c r="I65" s="21">
        <f t="shared" ref="I65:I73" si="29">(G65+20%)/3*100</f>
        <v>10.97</v>
      </c>
      <c r="J65" s="36">
        <v>0.23350000000000001</v>
      </c>
      <c r="K65" s="37">
        <v>0.15509999999999999</v>
      </c>
      <c r="L65" s="33">
        <f>C$9</f>
        <v>0.18</v>
      </c>
      <c r="M65" s="33">
        <f>AVERAGE(MIN(MAX(J65,INDEX(Table1[Low],MATCH(B65,Table1[Sectors],0))), INDEX(Table1[Cap],MATCH(B65,Table1[Sectors],0))), MIN(MAX(K65,INDEX(Table1[Low],MATCH(B65,Table1[Sectors],0))), INDEX(Table1[Cap],MATCH(B65,Table1[Sectors],0))),MIN(MAX(L65,INDEX(Table1[Low],MATCH(B65,Table1[Sectors],0))), INDEX(Table1[Cap],MATCH(B65,Table1[Sectors],0))),MIN(MAX(H65,INDEX(Table1[Low],MATCH(B65,Table1[Sectors],0))), INDEX(Table1[Cap],MATCH(B65,Table1[Sectors],0))))</f>
        <v>0.20119999999999999</v>
      </c>
      <c r="N65" s="71"/>
      <c r="O65" s="33">
        <v>0.105</v>
      </c>
      <c r="P65" s="31">
        <f>Q65*1.2</f>
        <v>156.47727200518429</v>
      </c>
      <c r="Q65" s="19">
        <f t="shared" si="25"/>
        <v>130.39772667098691</v>
      </c>
      <c r="R65" s="19">
        <f>Q65*0.8</f>
        <v>104.31818133678954</v>
      </c>
      <c r="S65" s="19">
        <f>Q65/D65</f>
        <v>28.533419402841773</v>
      </c>
      <c r="T65" s="31">
        <f t="shared" ref="T65:U73" si="30">$M65*$D65*100*T$16</f>
        <v>91.948399999999992</v>
      </c>
      <c r="U65" s="19">
        <f t="shared" si="30"/>
        <v>114.93549999999999</v>
      </c>
    </row>
    <row r="66" spans="1:21" x14ac:dyDescent="0.25">
      <c r="A66" s="20" t="s">
        <v>44</v>
      </c>
      <c r="B66" s="25" t="s">
        <v>121</v>
      </c>
      <c r="C66" s="42" t="s">
        <v>121</v>
      </c>
      <c r="D66" s="81">
        <v>9.2100000000000009</v>
      </c>
      <c r="E66" s="44"/>
      <c r="F66" s="44"/>
      <c r="G66" s="39">
        <v>0.14829999999999999</v>
      </c>
      <c r="H66" s="39">
        <v>0.40970000000000001</v>
      </c>
      <c r="I66" s="21">
        <f t="shared" si="29"/>
        <v>11.61</v>
      </c>
      <c r="J66" s="36">
        <v>0.22539999999999999</v>
      </c>
      <c r="K66" s="37">
        <f>K65+5%</f>
        <v>0.2051</v>
      </c>
      <c r="L66" s="33">
        <f>C$9</f>
        <v>0.18</v>
      </c>
      <c r="M66" s="33">
        <f>AVERAGE(MIN(MAX(J66,INDEX(Table1[Low],MATCH(B66,Table1[Sectors],0))), INDEX(Table1[Cap],MATCH(B66,Table1[Sectors],0))), MIN(MAX(K66,INDEX(Table1[Low],MATCH(B66,Table1[Sectors],0))), INDEX(Table1[Cap],MATCH(B66,Table1[Sectors],0))),MIN(MAX(L66,INDEX(Table1[Low],MATCH(B66,Table1[Sectors],0))), INDEX(Table1[Cap],MATCH(B66,Table1[Sectors],0))),MIN(MAX(H66,INDEX(Table1[Low],MATCH(B66,Table1[Sectors],0))), INDEX(Table1[Cap],MATCH(B66,Table1[Sectors],0))))</f>
        <v>0.21512500000000001</v>
      </c>
      <c r="N66" s="71">
        <v>8.2000000000000007E-3</v>
      </c>
      <c r="O66" s="33">
        <v>0.14899999999999999</v>
      </c>
      <c r="P66" s="31">
        <f t="shared" ref="P66:P67" si="31">Q66*1.2</f>
        <v>408.6721411592826</v>
      </c>
      <c r="Q66" s="19">
        <f t="shared" si="25"/>
        <v>340.56011763273551</v>
      </c>
      <c r="R66" s="19">
        <f t="shared" ref="R66" si="32">Q66*0.8</f>
        <v>272.44809410618842</v>
      </c>
      <c r="S66" s="19">
        <f>Q66/D66</f>
        <v>36.977211469352383</v>
      </c>
      <c r="T66" s="31">
        <f t="shared" si="30"/>
        <v>198.13012500000002</v>
      </c>
      <c r="U66" s="19">
        <f t="shared" si="30"/>
        <v>247.66265625000003</v>
      </c>
    </row>
    <row r="67" spans="1:21" x14ac:dyDescent="0.25">
      <c r="A67" s="20" t="s">
        <v>43</v>
      </c>
      <c r="B67" s="25" t="s">
        <v>121</v>
      </c>
      <c r="C67" s="42" t="s">
        <v>121</v>
      </c>
      <c r="D67" s="81">
        <v>5.9</v>
      </c>
      <c r="E67" s="44"/>
      <c r="F67" s="44"/>
      <c r="G67" s="39">
        <v>0.19570000000000001</v>
      </c>
      <c r="H67" s="39">
        <v>1.4794</v>
      </c>
      <c r="I67" s="21">
        <f t="shared" si="29"/>
        <v>13.190000000000001</v>
      </c>
      <c r="J67" s="36">
        <v>0.21909999999999999</v>
      </c>
      <c r="K67" s="37">
        <v>8.1299999999999997E-2</v>
      </c>
      <c r="L67" s="33">
        <f>C$9</f>
        <v>0.18</v>
      </c>
      <c r="M67" s="33">
        <f>AVERAGE(MIN(MAX(J67,INDEX(Table1[Low],MATCH(B67,Table1[Sectors],0))), INDEX(Table1[Cap],MATCH(B67,Table1[Sectors],0))), MIN(MAX(K67,INDEX(Table1[Low],MATCH(B67,Table1[Sectors],0))), INDEX(Table1[Cap],MATCH(B67,Table1[Sectors],0))),MIN(MAX(L67,INDEX(Table1[Low],MATCH(B67,Table1[Sectors],0))), INDEX(Table1[Cap],MATCH(B67,Table1[Sectors],0))),MIN(MAX(H67,INDEX(Table1[Low],MATCH(B67,Table1[Sectors],0))), INDEX(Table1[Cap],MATCH(B67,Table1[Sectors],0))))</f>
        <v>0.19977499999999998</v>
      </c>
      <c r="N67" s="71">
        <v>5.4999999999999997E-3</v>
      </c>
      <c r="O67" s="33">
        <v>-2.3E-2</v>
      </c>
      <c r="P67" s="31">
        <f t="shared" si="31"/>
        <v>225.87618226300745</v>
      </c>
      <c r="Q67" s="19">
        <f t="shared" si="25"/>
        <v>188.23015188583955</v>
      </c>
      <c r="R67" s="19">
        <f>Q67*0.8</f>
        <v>150.58412150867164</v>
      </c>
      <c r="S67" s="19">
        <f>Q67/D67</f>
        <v>31.903415573871108</v>
      </c>
      <c r="T67" s="31">
        <f t="shared" si="30"/>
        <v>117.86725</v>
      </c>
      <c r="U67" s="19">
        <f t="shared" si="30"/>
        <v>147.33406249999999</v>
      </c>
    </row>
    <row r="68" spans="1:21" x14ac:dyDescent="0.25">
      <c r="A68" s="20"/>
      <c r="B68" s="25"/>
      <c r="C68" s="42"/>
      <c r="D68" s="81"/>
      <c r="E68" s="44"/>
      <c r="F68" s="44"/>
      <c r="G68" s="39"/>
      <c r="H68" s="39"/>
      <c r="I68" s="21"/>
      <c r="J68" s="36"/>
      <c r="K68" s="37"/>
      <c r="L68" s="33"/>
      <c r="M68" s="33"/>
      <c r="N68" s="71"/>
      <c r="O68" s="33"/>
      <c r="P68" s="31"/>
      <c r="Q68" s="19"/>
      <c r="R68" s="19"/>
      <c r="S68" s="19"/>
      <c r="T68" s="31"/>
      <c r="U68" s="19"/>
    </row>
    <row r="69" spans="1:21" x14ac:dyDescent="0.25">
      <c r="A69" s="20" t="s">
        <v>142</v>
      </c>
      <c r="B69" s="25" t="s">
        <v>122</v>
      </c>
      <c r="C69" s="42" t="s">
        <v>145</v>
      </c>
      <c r="D69" s="81">
        <v>8.27</v>
      </c>
      <c r="E69" s="44"/>
      <c r="F69" s="44"/>
      <c r="G69" s="39">
        <v>3.7400000000000003E-2</v>
      </c>
      <c r="H69" s="39">
        <v>5.9499999999999997E-2</v>
      </c>
      <c r="I69" s="21">
        <f t="shared" si="29"/>
        <v>7.9133333333333331</v>
      </c>
      <c r="J69" s="36">
        <v>9.1999999999999998E-2</v>
      </c>
      <c r="K69" s="98">
        <v>0.1</v>
      </c>
      <c r="L69" s="33">
        <f>L63</f>
        <v>0.13</v>
      </c>
      <c r="M69" s="33">
        <f>AVERAGE(MIN(MAX(J69,INDEX(Table1[Low],MATCH(B69,Table1[Sectors],0))), INDEX(Table1[Cap],MATCH(B69,Table1[Sectors],0))), MIN(MAX(K69,INDEX(Table1[Low],MATCH(B69,Table1[Sectors],0))), INDEX(Table1[Cap],MATCH(B69,Table1[Sectors],0))),MIN(MAX(L69,INDEX(Table1[Low],MATCH(B69,Table1[Sectors],0))), INDEX(Table1[Cap],MATCH(B69,Table1[Sectors],0))),MIN(MAX(H69,INDEX(Table1[Low],MATCH(B69,Table1[Sectors],0))), INDEX(Table1[Cap],MATCH(B69,Table1[Sectors],0))))</f>
        <v>0.10750000000000001</v>
      </c>
      <c r="N69" s="71"/>
      <c r="O69" s="33"/>
      <c r="P69" s="31">
        <f t="shared" ref="P69" si="33">Q69*1.2</f>
        <v>84.053676243882478</v>
      </c>
      <c r="Q69" s="19">
        <f t="shared" ref="Q69" si="34">D69*(M69+1)^10*I69/(1+$Q$6-N69*$Q$8)^10*(1+O69*IF(O69&gt;0,$Q$10/12,1))</f>
        <v>70.044730203235403</v>
      </c>
      <c r="R69" s="19">
        <f>Q69*0.8</f>
        <v>56.035784162588328</v>
      </c>
      <c r="S69" s="19">
        <f>Q69/D69</f>
        <v>8.4697376303791305</v>
      </c>
      <c r="T69" s="31">
        <f t="shared" si="30"/>
        <v>88.902500000000003</v>
      </c>
      <c r="U69" s="19">
        <f t="shared" si="30"/>
        <v>111.12812500000001</v>
      </c>
    </row>
    <row r="70" spans="1:21" x14ac:dyDescent="0.25">
      <c r="A70" s="20" t="s">
        <v>143</v>
      </c>
      <c r="B70" s="25" t="s">
        <v>122</v>
      </c>
      <c r="C70" s="42" t="s">
        <v>145</v>
      </c>
      <c r="D70" s="81">
        <f>2.91/(1+M70)</f>
        <v>2.5695364238410594</v>
      </c>
      <c r="E70" s="44"/>
      <c r="F70" s="44"/>
      <c r="G70" s="39">
        <v>2.5700000000000001E-2</v>
      </c>
      <c r="H70" s="39">
        <v>7.3300000000000004E-2</v>
      </c>
      <c r="I70" s="21">
        <f t="shared" si="29"/>
        <v>7.5233333333333334</v>
      </c>
      <c r="J70" s="36">
        <v>0.57369999999999999</v>
      </c>
      <c r="K70" s="98">
        <f>K69</f>
        <v>0.1</v>
      </c>
      <c r="L70" s="33">
        <f>L69</f>
        <v>0.13</v>
      </c>
      <c r="M70" s="33">
        <f>AVERAGE(MIN(MAX(J70,INDEX(Table1[Low],MATCH(B70,Table1[Sectors],0))), INDEX(Table1[Cap],MATCH(B70,Table1[Sectors],0))), MIN(MAX(K70,INDEX(Table1[Low],MATCH(B70,Table1[Sectors],0))), INDEX(Table1[Cap],MATCH(B70,Table1[Sectors],0))),MIN(MAX(L70,INDEX(Table1[Low],MATCH(B70,Table1[Sectors],0))), INDEX(Table1[Cap],MATCH(B70,Table1[Sectors],0))),MIN(MAX(H70,INDEX(Table1[Low],MATCH(B70,Table1[Sectors],0))), INDEX(Table1[Cap],MATCH(B70,Table1[Sectors],0))))</f>
        <v>0.13250000000000001</v>
      </c>
      <c r="N70" s="71">
        <v>1.78E-2</v>
      </c>
      <c r="O70" s="33">
        <f>M70</f>
        <v>0.13250000000000001</v>
      </c>
      <c r="P70" s="31">
        <f t="shared" ref="P70" si="35">Q70*1.2</f>
        <v>38.644626110417228</v>
      </c>
      <c r="Q70" s="19">
        <f t="shared" ref="Q70" si="36">D70*(M70+1)^10*I70/(1+$Q$6-N70*$Q$8)^10*(1+O70*IF(O70&gt;0,$Q$10/12,1))</f>
        <v>32.203855092014358</v>
      </c>
      <c r="R70" s="19">
        <f>Q70*0.8</f>
        <v>25.763084073611488</v>
      </c>
      <c r="S70" s="19">
        <f>Q70/D70</f>
        <v>12.532943605397341</v>
      </c>
      <c r="T70" s="31">
        <f t="shared" si="30"/>
        <v>34.046357615894038</v>
      </c>
      <c r="U70" s="19">
        <f t="shared" si="30"/>
        <v>42.557947019867548</v>
      </c>
    </row>
    <row r="71" spans="1:21" x14ac:dyDescent="0.25">
      <c r="A71" s="20"/>
      <c r="B71" s="25"/>
      <c r="C71" s="42"/>
      <c r="D71" s="81"/>
      <c r="E71" s="44"/>
      <c r="F71" s="44"/>
      <c r="G71" s="39"/>
      <c r="H71" s="39"/>
      <c r="I71" s="21"/>
      <c r="J71" s="36"/>
      <c r="K71" s="37"/>
      <c r="L71" s="33"/>
      <c r="M71" s="33"/>
      <c r="N71" s="71"/>
      <c r="O71" s="33"/>
      <c r="P71" s="31"/>
      <c r="Q71" s="19"/>
      <c r="R71" s="19"/>
      <c r="S71" s="19"/>
      <c r="T71" s="31"/>
      <c r="U71" s="19"/>
    </row>
    <row r="72" spans="1:21" x14ac:dyDescent="0.25">
      <c r="A72" s="20" t="s">
        <v>144</v>
      </c>
      <c r="B72" s="25" t="s">
        <v>122</v>
      </c>
      <c r="C72" s="42" t="s">
        <v>145</v>
      </c>
      <c r="D72" s="81">
        <v>5.98</v>
      </c>
      <c r="E72" s="44"/>
      <c r="F72" s="44"/>
      <c r="G72" s="39">
        <v>4.8000000000000001E-2</v>
      </c>
      <c r="H72" s="39">
        <v>0.2432</v>
      </c>
      <c r="I72" s="21">
        <f t="shared" si="29"/>
        <v>8.2666666666666657</v>
      </c>
      <c r="J72" s="36">
        <v>0.14000000000000001</v>
      </c>
      <c r="K72" s="37">
        <v>0.3</v>
      </c>
      <c r="L72" s="33">
        <f>L81</f>
        <v>0.15</v>
      </c>
      <c r="M72" s="33">
        <f>AVERAGE(MIN(MAX(J72,INDEX(Table1[Low],MATCH(B72,Table1[Sectors],0))), INDEX(Table1[Cap],MATCH(B72,Table1[Sectors],0))), MIN(MAX(K72,INDEX(Table1[Low],MATCH(B72,Table1[Sectors],0))), INDEX(Table1[Cap],MATCH(B72,Table1[Sectors],0))),MIN(MAX(L72,INDEX(Table1[Low],MATCH(B72,Table1[Sectors],0))), INDEX(Table1[Cap],MATCH(B72,Table1[Sectors],0))),MIN(MAX(H72,INDEX(Table1[Low],MATCH(B72,Table1[Sectors],0))), INDEX(Table1[Cap],MATCH(B72,Table1[Sectors],0))))</f>
        <v>0.17249999999999999</v>
      </c>
      <c r="N72" s="71">
        <v>3.2800000000000003E-2</v>
      </c>
      <c r="O72" s="33">
        <v>0.3</v>
      </c>
      <c r="P72" s="31">
        <f t="shared" ref="P72" si="37">Q72*1.2</f>
        <v>173.24512079024188</v>
      </c>
      <c r="Q72" s="19">
        <f t="shared" ref="Q72" si="38">D72*(M72+1)^10*I72/(1+$Q$6-N72*$Q$8)^10*(1+O72*IF(O72&gt;0,$Q$10/12,1))</f>
        <v>144.37093399186824</v>
      </c>
      <c r="R72" s="19">
        <f>Q72*0.8</f>
        <v>115.4967471934946</v>
      </c>
      <c r="S72" s="19">
        <f>Q72/D72</f>
        <v>24.142296654158567</v>
      </c>
      <c r="T72" s="31">
        <f t="shared" si="30"/>
        <v>103.155</v>
      </c>
      <c r="U72" s="19">
        <f t="shared" si="30"/>
        <v>128.94374999999999</v>
      </c>
    </row>
    <row r="73" spans="1:21" x14ac:dyDescent="0.25">
      <c r="A73" s="20" t="s">
        <v>146</v>
      </c>
      <c r="B73" s="25" t="s">
        <v>122</v>
      </c>
      <c r="C73" s="42" t="s">
        <v>145</v>
      </c>
      <c r="D73" s="81">
        <v>13.14</v>
      </c>
      <c r="E73" s="44"/>
      <c r="F73" s="44"/>
      <c r="G73" s="39">
        <v>7.8700000000000006E-2</v>
      </c>
      <c r="H73" s="39">
        <v>0.2727</v>
      </c>
      <c r="I73" s="21">
        <f t="shared" si="29"/>
        <v>9.2899999999999991</v>
      </c>
      <c r="J73" s="36">
        <v>0.15</v>
      </c>
      <c r="K73" s="37">
        <v>0.1</v>
      </c>
      <c r="L73" s="33">
        <f>L72</f>
        <v>0.15</v>
      </c>
      <c r="M73" s="33">
        <f>AVERAGE(MIN(MAX(J73,INDEX(Table1[Low],MATCH(B73,Table1[Sectors],0))), INDEX(Table1[Cap],MATCH(B73,Table1[Sectors],0))), MIN(MAX(K73,INDEX(Table1[Low],MATCH(B73,Table1[Sectors],0))), INDEX(Table1[Cap],MATCH(B73,Table1[Sectors],0))),MIN(MAX(L73,INDEX(Table1[Low],MATCH(B73,Table1[Sectors],0))), INDEX(Table1[Cap],MATCH(B73,Table1[Sectors],0))),MIN(MAX(H73,INDEX(Table1[Low],MATCH(B73,Table1[Sectors],0))), INDEX(Table1[Cap],MATCH(B73,Table1[Sectors],0))))</f>
        <v>0.15000000000000002</v>
      </c>
      <c r="N73" s="71"/>
      <c r="O73" s="33"/>
      <c r="P73" s="31">
        <f t="shared" ref="P73" si="39">Q73*1.2</f>
        <v>228.47773102968691</v>
      </c>
      <c r="Q73" s="19">
        <f t="shared" ref="Q73" si="40">D73*(M73+1)^10*I73/(1+$Q$6-N73*$Q$8)^10*(1+O73*IF(O73&gt;0,$Q$10/12,1))</f>
        <v>190.39810919140575</v>
      </c>
      <c r="R73" s="19">
        <f>Q73*0.8</f>
        <v>152.3184873531246</v>
      </c>
      <c r="S73" s="19">
        <f>Q73/D73</f>
        <v>14.489962647747774</v>
      </c>
      <c r="T73" s="31">
        <f t="shared" si="30"/>
        <v>197.10000000000002</v>
      </c>
      <c r="U73" s="19">
        <f t="shared" si="30"/>
        <v>246.37500000000003</v>
      </c>
    </row>
    <row r="74" spans="1:21" x14ac:dyDescent="0.25">
      <c r="A74" s="20"/>
      <c r="B74" s="25"/>
      <c r="C74" s="42"/>
      <c r="D74" s="81"/>
      <c r="E74" s="44"/>
      <c r="F74" s="44"/>
      <c r="G74" s="39"/>
      <c r="H74" s="39"/>
      <c r="I74" s="21"/>
      <c r="J74" s="36"/>
      <c r="K74" s="37"/>
      <c r="L74" s="33"/>
      <c r="M74" s="33"/>
      <c r="N74" s="71"/>
      <c r="O74" s="33"/>
      <c r="P74" s="31"/>
      <c r="Q74" s="19"/>
      <c r="R74" s="19"/>
      <c r="S74" s="19"/>
      <c r="T74" s="31"/>
      <c r="U74" s="19"/>
    </row>
    <row r="75" spans="1:21" x14ac:dyDescent="0.25">
      <c r="A75" s="20" t="s">
        <v>152</v>
      </c>
      <c r="B75" s="25" t="s">
        <v>147</v>
      </c>
      <c r="C75" s="42" t="s">
        <v>148</v>
      </c>
      <c r="D75" s="81">
        <f>10.2/(M75+1)^2</f>
        <v>7.9827969746911478</v>
      </c>
      <c r="E75" s="44"/>
      <c r="F75" s="44"/>
      <c r="G75" s="39">
        <v>9.4399999999999998E-2</v>
      </c>
      <c r="H75" s="39">
        <v>0.51280000000000003</v>
      </c>
      <c r="I75" s="21">
        <f t="shared" ref="I75:I83" si="41">(G75+20%)/3*100</f>
        <v>9.8133333333333344</v>
      </c>
      <c r="J75" s="36">
        <v>0.13150000000000001</v>
      </c>
      <c r="K75" s="37">
        <f>L76</f>
        <v>0.12</v>
      </c>
      <c r="L75" s="33">
        <f>L76</f>
        <v>0.12</v>
      </c>
      <c r="M75" s="33">
        <f>AVERAGE(MIN(MAX(J75,INDEX(Table1[Low],MATCH(B75,Table1[Sectors],0))), INDEX(Table1[Cap],MATCH(B75,Table1[Sectors],0))), MIN(MAX(K75,INDEX(Table1[Low],MATCH(B75,Table1[Sectors],0))), INDEX(Table1[Cap],MATCH(B75,Table1[Sectors],0))),MIN(MAX(L75,INDEX(Table1[Low],MATCH(B75,Table1[Sectors],0))), INDEX(Table1[Cap],MATCH(B75,Table1[Sectors],0))),MIN(MAX(H75,INDEX(Table1[Low],MATCH(B75,Table1[Sectors],0))), INDEX(Table1[Cap],MATCH(B75,Table1[Sectors],0))))</f>
        <v>0.13037499999999999</v>
      </c>
      <c r="N75" s="71">
        <v>4.4400000000000002E-2</v>
      </c>
      <c r="O75" s="33">
        <f>M75</f>
        <v>0.13037499999999999</v>
      </c>
      <c r="P75" s="31">
        <f>Q75*1.2</f>
        <v>185.37121774177561</v>
      </c>
      <c r="Q75" s="19">
        <f>D75*(M75+1)^10*I75/(1+$Q$6-N75*$Q$8)^10*(1+O75*IF(O75&gt;0,$Q$10/12,1))</f>
        <v>154.476014784813</v>
      </c>
      <c r="R75" s="19">
        <f>Q75*0.8</f>
        <v>123.58081182785041</v>
      </c>
      <c r="S75" s="19">
        <f>Q75/D75</f>
        <v>19.351114061220333</v>
      </c>
      <c r="T75" s="31">
        <f t="shared" ref="T75:U78" si="42">$M75*$D75*100*T$16</f>
        <v>104.07571555753583</v>
      </c>
      <c r="U75" s="19">
        <f t="shared" si="42"/>
        <v>130.0946444469198</v>
      </c>
    </row>
    <row r="76" spans="1:21" x14ac:dyDescent="0.25">
      <c r="A76" s="20" t="s">
        <v>151</v>
      </c>
      <c r="B76" s="25" t="s">
        <v>147</v>
      </c>
      <c r="C76" s="42" t="s">
        <v>148</v>
      </c>
      <c r="D76" s="81">
        <f>3.49/(M76+1)^2</f>
        <v>2.7091540685827402</v>
      </c>
      <c r="E76" s="44"/>
      <c r="F76" s="44"/>
      <c r="G76" s="39">
        <f>11.63%/2</f>
        <v>5.8150000000000007E-2</v>
      </c>
      <c r="H76" s="39">
        <f>31.62%/2</f>
        <v>0.15810000000000002</v>
      </c>
      <c r="I76" s="21">
        <f t="shared" si="41"/>
        <v>8.6050000000000004</v>
      </c>
      <c r="J76" s="36">
        <v>0.1779</v>
      </c>
      <c r="K76" s="37">
        <f>L76</f>
        <v>0.12</v>
      </c>
      <c r="L76" s="33">
        <f>C12</f>
        <v>0.12</v>
      </c>
      <c r="M76" s="33">
        <f>AVERAGE(MIN(MAX(J76,INDEX(Table1[Low],MATCH(B76,Table1[Sectors],0))), INDEX(Table1[Cap],MATCH(B76,Table1[Sectors],0))), MIN(MAX(K76,INDEX(Table1[Low],MATCH(B76,Table1[Sectors],0))), INDEX(Table1[Cap],MATCH(B76,Table1[Sectors],0))),MIN(MAX(L76,INDEX(Table1[Low],MATCH(B76,Table1[Sectors],0))), INDEX(Table1[Cap],MATCH(B76,Table1[Sectors],0))),MIN(MAX(H76,INDEX(Table1[Low],MATCH(B76,Table1[Sectors],0))), INDEX(Table1[Cap],MATCH(B76,Table1[Sectors],0))))</f>
        <v>0.13500000000000001</v>
      </c>
      <c r="N76" s="71">
        <v>4.5400000000000003E-2</v>
      </c>
      <c r="O76" s="33">
        <f>M76</f>
        <v>0.13500000000000001</v>
      </c>
      <c r="P76" s="31">
        <f>Q76*1.2</f>
        <v>58.059450830843033</v>
      </c>
      <c r="Q76" s="19">
        <f>D76*(M76+1)^10*I76/(1+$Q$6-N76*$Q$8)^10*(1+O76*IF(O76&gt;0,$Q$10/12,1))</f>
        <v>48.382875692369197</v>
      </c>
      <c r="R76" s="19">
        <f>Q76*0.8</f>
        <v>38.70630055389536</v>
      </c>
      <c r="S76" s="19">
        <f>Q76/D76</f>
        <v>17.859034395072293</v>
      </c>
      <c r="T76" s="31">
        <f t="shared" si="42"/>
        <v>36.573579925866994</v>
      </c>
      <c r="U76" s="19">
        <f t="shared" si="42"/>
        <v>45.716974907333743</v>
      </c>
    </row>
    <row r="77" spans="1:21" x14ac:dyDescent="0.25">
      <c r="A77" s="20" t="s">
        <v>149</v>
      </c>
      <c r="B77" s="25" t="s">
        <v>147</v>
      </c>
      <c r="C77" s="42" t="s">
        <v>148</v>
      </c>
      <c r="D77" s="81">
        <f>11/(M77+1)^2</f>
        <v>8.7691326530612237</v>
      </c>
      <c r="E77" s="44"/>
      <c r="F77" s="44"/>
      <c r="G77" s="39">
        <v>8.7599999999999997E-2</v>
      </c>
      <c r="H77" s="39">
        <v>0.17480000000000001</v>
      </c>
      <c r="I77" s="21">
        <f t="shared" si="41"/>
        <v>9.5866666666666678</v>
      </c>
      <c r="J77" s="36">
        <v>5.7799999999999997E-2</v>
      </c>
      <c r="K77" s="37">
        <f>L77</f>
        <v>0.12</v>
      </c>
      <c r="L77" s="33">
        <f>L76</f>
        <v>0.12</v>
      </c>
      <c r="M77" s="33">
        <f>AVERAGE(MIN(MAX(J77,INDEX(Table1[Low],MATCH(B77,Table1[Sectors],0))), INDEX(Table1[Cap],MATCH(B77,Table1[Sectors],0))), MIN(MAX(K77,INDEX(Table1[Low],MATCH(B77,Table1[Sectors],0))), INDEX(Table1[Cap],MATCH(B77,Table1[Sectors],0))),MIN(MAX(L77,INDEX(Table1[Low],MATCH(B77,Table1[Sectors],0))), INDEX(Table1[Cap],MATCH(B77,Table1[Sectors],0))),MIN(MAX(H77,INDEX(Table1[Low],MATCH(B77,Table1[Sectors],0))), INDEX(Table1[Cap],MATCH(B77,Table1[Sectors],0))))</f>
        <v>0.12</v>
      </c>
      <c r="N77" s="71">
        <v>2.9000000000000001E-2</v>
      </c>
      <c r="O77" s="33">
        <f>M77</f>
        <v>0.12</v>
      </c>
      <c r="P77" s="31">
        <f>Q77*1.2</f>
        <v>161.39078918803281</v>
      </c>
      <c r="Q77" s="19">
        <f>D77*(M77+1)^10*I77/(1+$Q$6-N77*$Q$8)^10*(1+O77*IF(O77&gt;0,$Q$10/12,1))</f>
        <v>134.49232432336069</v>
      </c>
      <c r="R77" s="19">
        <f>Q77*0.8</f>
        <v>107.59385945868856</v>
      </c>
      <c r="S77" s="19">
        <f>Q77/D77</f>
        <v>15.337015602838514</v>
      </c>
      <c r="T77" s="31">
        <f t="shared" si="42"/>
        <v>105.22959183673468</v>
      </c>
      <c r="U77" s="19">
        <f t="shared" si="42"/>
        <v>131.53698979591834</v>
      </c>
    </row>
    <row r="78" spans="1:21" x14ac:dyDescent="0.25">
      <c r="A78" s="20" t="s">
        <v>150</v>
      </c>
      <c r="B78" s="25" t="s">
        <v>147</v>
      </c>
      <c r="C78" s="42" t="s">
        <v>148</v>
      </c>
      <c r="D78" s="81">
        <f>12.25/(M78+1)^2</f>
        <v>9.6361374821166077</v>
      </c>
      <c r="E78" s="44"/>
      <c r="F78" s="44"/>
      <c r="G78" s="39">
        <v>9.6199999999999994E-2</v>
      </c>
      <c r="H78" s="39">
        <v>0.54790000000000005</v>
      </c>
      <c r="I78" s="21">
        <f t="shared" si="41"/>
        <v>9.8733333333333348</v>
      </c>
      <c r="J78" s="36">
        <v>8.6900000000000005E-2</v>
      </c>
      <c r="K78" s="37">
        <v>0.246</v>
      </c>
      <c r="L78" s="33">
        <f>L77</f>
        <v>0.12</v>
      </c>
      <c r="M78" s="33">
        <f>AVERAGE(MIN(MAX(J78,INDEX(Table1[Low],MATCH(B78,Table1[Sectors],0))), INDEX(Table1[Cap],MATCH(B78,Table1[Sectors],0))), MIN(MAX(K78,INDEX(Table1[Low],MATCH(B78,Table1[Sectors],0))), INDEX(Table1[Cap],MATCH(B78,Table1[Sectors],0))),MIN(MAX(L78,INDEX(Table1[Low],MATCH(B78,Table1[Sectors],0))), INDEX(Table1[Cap],MATCH(B78,Table1[Sectors],0))),MIN(MAX(H78,INDEX(Table1[Low],MATCH(B78,Table1[Sectors],0))), INDEX(Table1[Cap],MATCH(B78,Table1[Sectors],0))))</f>
        <v>0.1275</v>
      </c>
      <c r="N78" s="71">
        <v>9.7000000000000003E-3</v>
      </c>
      <c r="O78" s="33">
        <f>M78</f>
        <v>0.1275</v>
      </c>
      <c r="P78" s="31">
        <f>Q78*1.2</f>
        <v>171.3226896327057</v>
      </c>
      <c r="Q78" s="19">
        <f>D78*(M78+1)^10*I78/(1+$Q$6-N78*$Q$8)^10*(1+O78*IF(O78&gt;0,$Q$10/12,1))</f>
        <v>142.76890802725475</v>
      </c>
      <c r="R78" s="19">
        <f>Q78*0.8</f>
        <v>114.2151264218038</v>
      </c>
      <c r="S78" s="19">
        <f>Q78/D78</f>
        <v>14.815989113087573</v>
      </c>
      <c r="T78" s="31">
        <f t="shared" si="42"/>
        <v>122.86075289698675</v>
      </c>
      <c r="U78" s="19">
        <f t="shared" si="42"/>
        <v>153.57594112123343</v>
      </c>
    </row>
    <row r="79" spans="1:21" x14ac:dyDescent="0.25">
      <c r="A79" s="20"/>
      <c r="B79" s="25"/>
      <c r="C79" s="42"/>
      <c r="D79" s="81"/>
      <c r="E79" s="44"/>
      <c r="F79" s="44"/>
      <c r="G79" s="39"/>
      <c r="H79" s="39"/>
      <c r="I79" s="21"/>
      <c r="J79" s="36"/>
      <c r="K79" s="37"/>
      <c r="L79" s="33"/>
      <c r="M79" s="33"/>
      <c r="N79" s="71"/>
      <c r="O79" s="33"/>
      <c r="P79" s="31"/>
      <c r="Q79" s="19"/>
      <c r="R79" s="19"/>
      <c r="S79" s="19"/>
      <c r="T79" s="31"/>
      <c r="U79" s="19"/>
    </row>
    <row r="80" spans="1:21" x14ac:dyDescent="0.25">
      <c r="A80" s="20" t="s">
        <v>164</v>
      </c>
      <c r="B80" s="25" t="s">
        <v>122</v>
      </c>
      <c r="C80" s="42" t="s">
        <v>165</v>
      </c>
      <c r="D80" s="81">
        <v>4.33</v>
      </c>
      <c r="E80" s="44"/>
      <c r="F80" s="44"/>
      <c r="G80" s="39">
        <v>8.6599999999999996E-2</v>
      </c>
      <c r="H80" s="39">
        <v>0.28449999999999998</v>
      </c>
      <c r="I80" s="21">
        <f t="shared" ref="I80" si="43">(G80+20%)/3*100</f>
        <v>9.5533333333333346</v>
      </c>
      <c r="J80" s="36">
        <v>0.221</v>
      </c>
      <c r="K80" s="37">
        <v>0.17699999999999999</v>
      </c>
      <c r="L80" s="33">
        <f>L81</f>
        <v>0.15</v>
      </c>
      <c r="M80" s="33">
        <f>AVERAGE(MIN(MAX(J80,INDEX(Table1[Low],MATCH(B80,Table1[Sectors],0))), INDEX(Table1[Cap],MATCH(B80,Table1[Sectors],0))), MIN(MAX(K80,INDEX(Table1[Low],MATCH(B80,Table1[Sectors],0))), INDEX(Table1[Cap],MATCH(B80,Table1[Sectors],0))),MIN(MAX(L80,INDEX(Table1[Low],MATCH(B80,Table1[Sectors],0))), INDEX(Table1[Cap],MATCH(B80,Table1[Sectors],0))),MIN(MAX(H80,INDEX(Table1[Low],MATCH(B80,Table1[Sectors],0))), INDEX(Table1[Cap],MATCH(B80,Table1[Sectors],0))))</f>
        <v>0.18175000000000002</v>
      </c>
      <c r="N80" s="71">
        <v>2.1600000000000001E-2</v>
      </c>
      <c r="O80" s="35">
        <f>M80</f>
        <v>0.18175000000000002</v>
      </c>
      <c r="P80" s="31">
        <f>Q80*1.2</f>
        <v>134.37466469915549</v>
      </c>
      <c r="Q80" s="19">
        <f>D80*(M80+1)^10*I80/(1+$Q$6-N80*$Q$8)^10*(1+O80*IF(O80&gt;0,$Q$10/12,1))</f>
        <v>111.97888724929625</v>
      </c>
      <c r="R80" s="19">
        <f>Q80*0.8</f>
        <v>89.583109799437011</v>
      </c>
      <c r="S80" s="19">
        <f>Q80/D80</f>
        <v>25.861174884364029</v>
      </c>
      <c r="T80" s="31">
        <f t="shared" ref="T80:U83" si="44">$M80*$D80*100*T$16</f>
        <v>78.697750000000013</v>
      </c>
      <c r="U80" s="19">
        <f t="shared" si="44"/>
        <v>98.372187500000024</v>
      </c>
    </row>
    <row r="81" spans="1:21" x14ac:dyDescent="0.25">
      <c r="A81" s="20" t="s">
        <v>131</v>
      </c>
      <c r="B81" s="25" t="s">
        <v>122</v>
      </c>
      <c r="C81" s="42" t="s">
        <v>132</v>
      </c>
      <c r="D81" s="97">
        <f>26.66/(1+M81)^2</f>
        <v>19.399146156696251</v>
      </c>
      <c r="E81" s="44"/>
      <c r="F81" s="44"/>
      <c r="G81" s="39">
        <v>0.19769999999999999</v>
      </c>
      <c r="H81" s="39">
        <v>0.66849999999999998</v>
      </c>
      <c r="I81" s="21">
        <f>(G81+20%)/3*100</f>
        <v>13.256666666666666</v>
      </c>
      <c r="J81" s="36">
        <v>0.2152</v>
      </c>
      <c r="K81" s="37">
        <v>0.13919999999999999</v>
      </c>
      <c r="L81" s="33">
        <f>L82</f>
        <v>0.15</v>
      </c>
      <c r="M81" s="33">
        <f>AVERAGE(MIN(MAX(J81,INDEX(Table1[Low],MATCH(B81,Table1[Sectors],0))), INDEX(Table1[Cap],MATCH(B81,Table1[Sectors],0))), MIN(MAX(K81,INDEX(Table1[Low],MATCH(B81,Table1[Sectors],0))), INDEX(Table1[Cap],MATCH(B81,Table1[Sectors],0))),MIN(MAX(L81,INDEX(Table1[Low],MATCH(B81,Table1[Sectors],0))), INDEX(Table1[Cap],MATCH(B81,Table1[Sectors],0))),MIN(MAX(H81,INDEX(Table1[Low],MATCH(B81,Table1[Sectors],0))), INDEX(Table1[Cap],MATCH(B81,Table1[Sectors],0))))</f>
        <v>0.17230000000000001</v>
      </c>
      <c r="N81" s="71">
        <v>0</v>
      </c>
      <c r="O81" s="35">
        <f>M81</f>
        <v>0.17230000000000001</v>
      </c>
      <c r="P81" s="31">
        <f>Q81*1.2</f>
        <v>658.62692385198534</v>
      </c>
      <c r="Q81" s="19">
        <f>D81*(M81+1)^10*I81/(1+$Q$6-N81*$Q$8)^10*(1+O81*IF(O81&gt;0,$Q$10/12,1))</f>
        <v>548.85576987665445</v>
      </c>
      <c r="R81" s="19">
        <f>Q81*0.8</f>
        <v>439.08461590132356</v>
      </c>
      <c r="S81" s="19">
        <f>Q81/D81</f>
        <v>28.292779766866126</v>
      </c>
      <c r="T81" s="31">
        <f t="shared" si="44"/>
        <v>334.24728827987644</v>
      </c>
      <c r="U81" s="19">
        <f t="shared" si="44"/>
        <v>417.80911034984558</v>
      </c>
    </row>
    <row r="82" spans="1:21" x14ac:dyDescent="0.25">
      <c r="A82" s="20" t="s">
        <v>129</v>
      </c>
      <c r="B82" s="25" t="s">
        <v>122</v>
      </c>
      <c r="C82" s="42" t="s">
        <v>130</v>
      </c>
      <c r="D82" s="81">
        <v>3.08</v>
      </c>
      <c r="E82" s="20"/>
      <c r="F82" s="20"/>
      <c r="G82" s="38">
        <v>0.1042</v>
      </c>
      <c r="H82" s="94">
        <v>1</v>
      </c>
      <c r="I82" s="21">
        <f t="shared" si="41"/>
        <v>10.14</v>
      </c>
      <c r="J82" s="34">
        <v>0.17</v>
      </c>
      <c r="K82" s="33">
        <v>0.16300000000000001</v>
      </c>
      <c r="L82" s="33">
        <f>C11</f>
        <v>0.15</v>
      </c>
      <c r="M82" s="33">
        <f>AVERAGE(MIN(MAX(J82,INDEX(Table1[Low],MATCH(B82,Table1[Sectors],0))), INDEX(Table1[Cap],MATCH(B82,Table1[Sectors],0))), MIN(MAX(K82,INDEX(Table1[Low],MATCH(B82,Table1[Sectors],0))), INDEX(Table1[Cap],MATCH(B82,Table1[Sectors],0))),MIN(MAX(L82,INDEX(Table1[Low],MATCH(B82,Table1[Sectors],0))), INDEX(Table1[Cap],MATCH(B82,Table1[Sectors],0))),MIN(MAX(H82,INDEX(Table1[Low],MATCH(B82,Table1[Sectors],0))), INDEX(Table1[Cap],MATCH(B82,Table1[Sectors],0))))</f>
        <v>0.17075000000000001</v>
      </c>
      <c r="N82" s="71">
        <v>2.1700000000000001E-2</v>
      </c>
      <c r="O82" s="33">
        <v>0.15</v>
      </c>
      <c r="P82" s="31">
        <f>Q82*1.2</f>
        <v>90.522670801890129</v>
      </c>
      <c r="Q82" s="19">
        <f>D82*(M82+1)^10*I82/(1+$Q$6-N82*$Q$8)^10*(1+O82*IF(O82&gt;0,$Q$10/12,1))</f>
        <v>75.435559001575115</v>
      </c>
      <c r="R82" s="19">
        <f>Q82*0.8</f>
        <v>60.348447201260093</v>
      </c>
      <c r="S82" s="19">
        <f>Q82/D82</f>
        <v>24.492064610901011</v>
      </c>
      <c r="T82" s="31">
        <f t="shared" si="44"/>
        <v>52.591000000000008</v>
      </c>
      <c r="U82" s="19">
        <f t="shared" si="44"/>
        <v>65.73875000000001</v>
      </c>
    </row>
    <row r="83" spans="1:21" x14ac:dyDescent="0.25">
      <c r="A83" s="20" t="s">
        <v>89</v>
      </c>
      <c r="B83" s="25" t="s">
        <v>122</v>
      </c>
      <c r="C83" s="42" t="str">
        <f>B83</f>
        <v>Entertainment</v>
      </c>
      <c r="D83" s="81">
        <v>3.53</v>
      </c>
      <c r="E83" s="44"/>
      <c r="F83" s="44"/>
      <c r="G83" s="39">
        <v>0.19570000000000001</v>
      </c>
      <c r="H83" s="39">
        <v>1.4794</v>
      </c>
      <c r="I83" s="21">
        <f t="shared" si="41"/>
        <v>13.190000000000001</v>
      </c>
      <c r="J83" s="36">
        <v>0.21909999999999999</v>
      </c>
      <c r="K83" s="37">
        <v>8.1299999999999997E-2</v>
      </c>
      <c r="L83" s="33">
        <f>C11</f>
        <v>0.15</v>
      </c>
      <c r="M83" s="33">
        <f>AVERAGE(MIN(MAX(J83,INDEX(Table1[Low],MATCH(B83,Table1[Sectors],0))), INDEX(Table1[Cap],MATCH(B83,Table1[Sectors],0))), MIN(MAX(K83,INDEX(Table1[Low],MATCH(B83,Table1[Sectors],0))), INDEX(Table1[Cap],MATCH(B83,Table1[Sectors],0))),MIN(MAX(L83,INDEX(Table1[Low],MATCH(B83,Table1[Sectors],0))), INDEX(Table1[Cap],MATCH(B83,Table1[Sectors],0))),MIN(MAX(H83,INDEX(Table1[Low],MATCH(B83,Table1[Sectors],0))), INDEX(Table1[Cap],MATCH(B83,Table1[Sectors],0))))</f>
        <v>0.16250000000000003</v>
      </c>
      <c r="N83" s="71"/>
      <c r="O83" s="33">
        <v>-2.3E-2</v>
      </c>
      <c r="P83" s="31">
        <f t="shared" ref="P83" si="45">Q83*1.2</f>
        <v>94.863266449359969</v>
      </c>
      <c r="Q83" s="19">
        <f>D83*(M83+1)^10*(20+G83*100)/3/1.1^10*(1+O83*IF(O83&gt;0,$Q$10/12,1))</f>
        <v>79.052722041133308</v>
      </c>
      <c r="R83" s="19">
        <f>Q83*0.8</f>
        <v>63.242177632906646</v>
      </c>
      <c r="S83" s="19">
        <f>Q83/D83</f>
        <v>22.394538821850798</v>
      </c>
      <c r="T83" s="31">
        <f t="shared" si="44"/>
        <v>57.362500000000004</v>
      </c>
      <c r="U83" s="19">
        <f t="shared" si="44"/>
        <v>71.703125</v>
      </c>
    </row>
    <row r="84" spans="1:21" s="82" customFormat="1" x14ac:dyDescent="0.25">
      <c r="B84" s="83"/>
      <c r="C84" s="84"/>
      <c r="D84" s="85"/>
      <c r="J84" s="86"/>
      <c r="K84" s="87"/>
      <c r="L84" s="87"/>
      <c r="M84" s="87"/>
      <c r="N84" s="88"/>
      <c r="O84" s="87"/>
      <c r="P84" s="89"/>
      <c r="Q84" s="90"/>
      <c r="R84" s="90"/>
      <c r="S84" s="90"/>
      <c r="T84" s="89"/>
      <c r="U84" s="90"/>
    </row>
    <row r="85" spans="1:21" s="82" customFormat="1" x14ac:dyDescent="0.25">
      <c r="B85" s="83"/>
      <c r="C85" s="84"/>
      <c r="D85" s="85"/>
      <c r="J85" s="83"/>
      <c r="M85" s="87"/>
      <c r="N85" s="88"/>
      <c r="P85" s="89"/>
      <c r="Q85" s="90"/>
      <c r="R85" s="90"/>
      <c r="S85" s="90"/>
      <c r="T85" s="89"/>
      <c r="U85" s="90"/>
    </row>
    <row r="86" spans="1:21" x14ac:dyDescent="0.25">
      <c r="A86" s="20" t="s">
        <v>58</v>
      </c>
      <c r="B86" s="25"/>
      <c r="C86" s="42"/>
      <c r="D86" s="78"/>
      <c r="E86" s="20"/>
      <c r="F86" s="20"/>
      <c r="G86" s="20"/>
      <c r="H86" s="20"/>
      <c r="I86" s="20"/>
      <c r="J86" s="25"/>
      <c r="K86" s="20"/>
      <c r="L86" s="20"/>
      <c r="M86" s="33"/>
      <c r="N86" s="71"/>
      <c r="O86" s="20"/>
      <c r="P86" s="31"/>
      <c r="Q86" s="19"/>
      <c r="R86" s="19"/>
      <c r="S86" s="19"/>
      <c r="T86" s="31"/>
      <c r="U86" s="19"/>
    </row>
    <row r="87" spans="1:21" x14ac:dyDescent="0.25">
      <c r="A87" s="20" t="s">
        <v>59</v>
      </c>
      <c r="B87" s="25" t="str">
        <f>A5</f>
        <v>Renewable</v>
      </c>
      <c r="C87" s="42"/>
      <c r="D87" s="78">
        <v>0.18</v>
      </c>
      <c r="E87" s="20"/>
      <c r="F87" s="20"/>
      <c r="G87" s="38">
        <v>4.2000000000000003E-2</v>
      </c>
      <c r="H87" s="38">
        <v>9.1300000000000006E-2</v>
      </c>
      <c r="I87" s="21">
        <f t="shared" ref="I87:I88" si="46">(G87+20%)/3*100</f>
        <v>8.0666666666666682</v>
      </c>
      <c r="J87" s="45">
        <v>0.1236</v>
      </c>
      <c r="K87" s="38">
        <f>J87</f>
        <v>0.1236</v>
      </c>
      <c r="L87" s="47">
        <f>C5</f>
        <v>8.7192103484308212E-2</v>
      </c>
      <c r="M87" s="33">
        <f>AVERAGE(MIN(MAX(J87,INDEX(Table1[Low],MATCH(B87,Table1[Sectors],0))), INDEX(Table1[Cap],MATCH(B87,Table1[Sectors],0))), MIN(MAX(K87,INDEX(Table1[Low],MATCH(B87,Table1[Sectors],0))), INDEX(Table1[Cap],MATCH(B87,Table1[Sectors],0))),MIN(MAX(L87,INDEX(Table1[Low],MATCH(B87,Table1[Sectors],0))), INDEX(Table1[Cap],MATCH(B87,Table1[Sectors],0))),MIN(MAX(H87,INDEX(Table1[Low],MATCH(B87,Table1[Sectors],0))), INDEX(Table1[Cap],MATCH(B87,Table1[Sectors],0))))</f>
        <v>0.10642302587107705</v>
      </c>
      <c r="N87" s="71">
        <v>0.03</v>
      </c>
      <c r="O87" s="38">
        <v>0.2</v>
      </c>
      <c r="P87" s="31">
        <f>Q87*1.2</f>
        <v>2.6218306331871006</v>
      </c>
      <c r="Q87" s="19">
        <f>D87*(M87+1)^10*I87/(1+$Q$6-N87*$Q$8)^10*(1+O87*IF(O87&gt;0,$Q$10/12,1))</f>
        <v>2.1848588609892508</v>
      </c>
      <c r="R87" s="19">
        <f>Q87*0.8</f>
        <v>1.7478870887914006</v>
      </c>
      <c r="S87" s="19">
        <f>Q87/D87</f>
        <v>12.138104783273615</v>
      </c>
      <c r="T87" s="31">
        <f>$M87*$D87*100*T$16</f>
        <v>1.915614465679387</v>
      </c>
      <c r="U87" s="19">
        <f>$M87*$D87*100*U$16</f>
        <v>2.3945180820992338</v>
      </c>
    </row>
    <row r="88" spans="1:21" x14ac:dyDescent="0.25">
      <c r="A88" s="20" t="s">
        <v>61</v>
      </c>
      <c r="B88" s="25" t="str">
        <f>B87</f>
        <v>Renewable</v>
      </c>
      <c r="C88" s="42"/>
      <c r="D88" s="78">
        <f>0.169/0.5</f>
        <v>0.33800000000000002</v>
      </c>
      <c r="E88" s="20"/>
      <c r="F88" s="20"/>
      <c r="G88" s="38">
        <v>3.27E-2</v>
      </c>
      <c r="H88" s="38">
        <v>5.7799999999999997E-2</v>
      </c>
      <c r="I88" s="21">
        <f t="shared" si="46"/>
        <v>7.7566666666666677</v>
      </c>
      <c r="J88" s="45">
        <v>9.35E-2</v>
      </c>
      <c r="K88" s="33">
        <f>J88</f>
        <v>9.35E-2</v>
      </c>
      <c r="L88" s="47">
        <f>L87</f>
        <v>8.7192103484308212E-2</v>
      </c>
      <c r="M88" s="33">
        <f>AVERAGE(MIN(MAX(J88,INDEX(Table1[Low],MATCH(B88,Table1[Sectors],0))), INDEX(Table1[Cap],MATCH(B88,Table1[Sectors],0))), MIN(MAX(K88,INDEX(Table1[Low],MATCH(B88,Table1[Sectors],0))), INDEX(Table1[Cap],MATCH(B88,Table1[Sectors],0))),MIN(MAX(L88,INDEX(Table1[Low],MATCH(B88,Table1[Sectors],0))), INDEX(Table1[Cap],MATCH(B88,Table1[Sectors],0))),MIN(MAX(H88,INDEX(Table1[Low],MATCH(B88,Table1[Sectors],0))), INDEX(Table1[Cap],MATCH(B88,Table1[Sectors],0))))</f>
        <v>8.2998025871077061E-2</v>
      </c>
      <c r="N88" s="71">
        <v>3.0800000000000001E-2</v>
      </c>
      <c r="O88" s="38">
        <v>5.3999999999999999E-2</v>
      </c>
      <c r="P88" s="31">
        <f>Q88*1.2</f>
        <v>3.4777996236576345</v>
      </c>
      <c r="Q88" s="19">
        <f>D88*(M88+1)^10*I88/(1+$Q$6-N88*$Q$8)^10*(1+O88*IF(O88&gt;0,$Q$10/12,1))</f>
        <v>2.8981663530480288</v>
      </c>
      <c r="R88" s="19">
        <f>Q88*0.8</f>
        <v>2.3185330824384232</v>
      </c>
      <c r="S88" s="19">
        <f>Q88/D88</f>
        <v>8.57445666582257</v>
      </c>
      <c r="T88" s="31">
        <f>$M88*$D88*100*T$16</f>
        <v>2.8053332744424049</v>
      </c>
      <c r="U88" s="19">
        <f>$M88*$D88*100*U$16</f>
        <v>3.5066665930530059</v>
      </c>
    </row>
    <row r="89" spans="1:21" x14ac:dyDescent="0.25">
      <c r="N89" s="72"/>
      <c r="P89" s="2"/>
    </row>
    <row r="90" spans="1:21" x14ac:dyDescent="0.25">
      <c r="N90" s="72"/>
      <c r="P90" s="2"/>
    </row>
    <row r="91" spans="1:21" x14ac:dyDescent="0.25">
      <c r="N91" s="72"/>
      <c r="P91" s="2"/>
    </row>
    <row r="92" spans="1:21" x14ac:dyDescent="0.25">
      <c r="N92" s="72"/>
      <c r="P92" s="2"/>
    </row>
    <row r="93" spans="1:21" x14ac:dyDescent="0.25">
      <c r="N93" s="72"/>
      <c r="P93" s="2"/>
    </row>
    <row r="94" spans="1:21" x14ac:dyDescent="0.25">
      <c r="N94" s="72"/>
      <c r="P94" s="2"/>
    </row>
    <row r="95" spans="1:21" x14ac:dyDescent="0.25">
      <c r="N95" s="72"/>
      <c r="P95" s="2"/>
    </row>
    <row r="96" spans="1:21" x14ac:dyDescent="0.25">
      <c r="N96" s="72"/>
      <c r="P96" s="2"/>
    </row>
    <row r="97" spans="14:16" x14ac:dyDescent="0.25">
      <c r="N97" s="72"/>
      <c r="P97" s="2"/>
    </row>
    <row r="98" spans="14:16" x14ac:dyDescent="0.25">
      <c r="N98" s="72"/>
      <c r="P98" s="2"/>
    </row>
    <row r="99" spans="14:16" x14ac:dyDescent="0.25">
      <c r="N99" s="72"/>
      <c r="P99" s="2"/>
    </row>
    <row r="100" spans="14:16" x14ac:dyDescent="0.25">
      <c r="N100" s="72"/>
      <c r="P100" s="2"/>
    </row>
    <row r="101" spans="14:16" x14ac:dyDescent="0.25">
      <c r="N101" s="72"/>
      <c r="P101" s="2"/>
    </row>
    <row r="102" spans="14:16" x14ac:dyDescent="0.25">
      <c r="N102" s="72"/>
      <c r="P102" s="2"/>
    </row>
    <row r="103" spans="14:16" x14ac:dyDescent="0.25">
      <c r="N103" s="72"/>
      <c r="P103" s="2"/>
    </row>
    <row r="104" spans="14:16" x14ac:dyDescent="0.25">
      <c r="N104" s="72"/>
      <c r="P104" s="2"/>
    </row>
    <row r="105" spans="14:16" x14ac:dyDescent="0.25">
      <c r="N105" s="72"/>
      <c r="P105" s="2"/>
    </row>
    <row r="106" spans="14:16" x14ac:dyDescent="0.25">
      <c r="N106" s="72"/>
      <c r="P106" s="2"/>
    </row>
    <row r="107" spans="14:16" x14ac:dyDescent="0.25">
      <c r="N107" s="72"/>
      <c r="P107" s="2"/>
    </row>
    <row r="108" spans="14:16" x14ac:dyDescent="0.25">
      <c r="N108" s="72"/>
      <c r="P108" s="2"/>
    </row>
    <row r="109" spans="14:16" x14ac:dyDescent="0.25">
      <c r="N109" s="72"/>
      <c r="P109" s="2"/>
    </row>
    <row r="110" spans="14:16" x14ac:dyDescent="0.25">
      <c r="N110" s="72"/>
      <c r="P110" s="2"/>
    </row>
    <row r="111" spans="14:16" x14ac:dyDescent="0.25">
      <c r="N111" s="72"/>
      <c r="P111" s="2"/>
    </row>
    <row r="112" spans="14:16" x14ac:dyDescent="0.25">
      <c r="N112" s="72"/>
      <c r="P112" s="2"/>
    </row>
    <row r="113" spans="14:16" x14ac:dyDescent="0.25">
      <c r="N113" s="72"/>
      <c r="P113" s="2"/>
    </row>
    <row r="114" spans="14:16" x14ac:dyDescent="0.25">
      <c r="N114" s="72"/>
      <c r="P114" s="2"/>
    </row>
    <row r="115" spans="14:16" x14ac:dyDescent="0.25">
      <c r="N115" s="72"/>
      <c r="P115" s="2"/>
    </row>
    <row r="116" spans="14:16" x14ac:dyDescent="0.25">
      <c r="P116" s="2"/>
    </row>
    <row r="117" spans="14:16" x14ac:dyDescent="0.25">
      <c r="P117" s="2"/>
    </row>
    <row r="118" spans="14:16" x14ac:dyDescent="0.25">
      <c r="P118" s="2"/>
    </row>
    <row r="119" spans="14:16" x14ac:dyDescent="0.25">
      <c r="P119" s="2"/>
    </row>
    <row r="120" spans="14:16" x14ac:dyDescent="0.25">
      <c r="P120" s="2"/>
    </row>
    <row r="121" spans="14:16" x14ac:dyDescent="0.25">
      <c r="P121" s="2"/>
    </row>
    <row r="122" spans="14:16" x14ac:dyDescent="0.25">
      <c r="P122" s="2"/>
    </row>
    <row r="123" spans="14:16" x14ac:dyDescent="0.25">
      <c r="P123" s="2"/>
    </row>
    <row r="124" spans="14:16" x14ac:dyDescent="0.25">
      <c r="P124" s="2"/>
    </row>
    <row r="125" spans="14:16" x14ac:dyDescent="0.25">
      <c r="P125" s="2"/>
    </row>
    <row r="126" spans="14:16" x14ac:dyDescent="0.25">
      <c r="P126" s="2"/>
    </row>
    <row r="127" spans="14:16" x14ac:dyDescent="0.25">
      <c r="P127" s="2"/>
    </row>
    <row r="128" spans="14:16" x14ac:dyDescent="0.25">
      <c r="P128" s="2"/>
    </row>
    <row r="129" spans="16:16" x14ac:dyDescent="0.25">
      <c r="P129" s="2"/>
    </row>
    <row r="130" spans="16:16" x14ac:dyDescent="0.25">
      <c r="P130" s="2"/>
    </row>
    <row r="131" spans="16:16" x14ac:dyDescent="0.25">
      <c r="P131" s="2"/>
    </row>
    <row r="132" spans="16:16" x14ac:dyDescent="0.25">
      <c r="P132" s="2"/>
    </row>
    <row r="133" spans="16:16" x14ac:dyDescent="0.25">
      <c r="P133" s="2"/>
    </row>
    <row r="134" spans="16:16" x14ac:dyDescent="0.25">
      <c r="P134" s="2"/>
    </row>
    <row r="135" spans="16:16" x14ac:dyDescent="0.25">
      <c r="P135" s="2"/>
    </row>
    <row r="136" spans="16:16" x14ac:dyDescent="0.25">
      <c r="P136" s="2"/>
    </row>
    <row r="137" spans="16:16" x14ac:dyDescent="0.25">
      <c r="P137" s="2"/>
    </row>
    <row r="138" spans="16:16" x14ac:dyDescent="0.25">
      <c r="P138" s="2"/>
    </row>
    <row r="139" spans="16:16" x14ac:dyDescent="0.25">
      <c r="P139" s="2"/>
    </row>
    <row r="140" spans="16:16" x14ac:dyDescent="0.25">
      <c r="P140" s="2"/>
    </row>
    <row r="141" spans="16:16" x14ac:dyDescent="0.25">
      <c r="P141" s="2"/>
    </row>
    <row r="142" spans="16:16" x14ac:dyDescent="0.25">
      <c r="P142" s="2"/>
    </row>
    <row r="143" spans="16:16" x14ac:dyDescent="0.25">
      <c r="P143" s="2"/>
    </row>
  </sheetData>
  <mergeCells count="5">
    <mergeCell ref="B15:C15"/>
    <mergeCell ref="D15:H15"/>
    <mergeCell ref="J15:O15"/>
    <mergeCell ref="P15:S15"/>
    <mergeCell ref="T15:U1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"/>
  <sheetViews>
    <sheetView workbookViewId="0">
      <selection sqref="A1:XFD1048576"/>
    </sheetView>
  </sheetViews>
  <sheetFormatPr defaultRowHeight="15.75" x14ac:dyDescent="0.25"/>
  <cols>
    <col min="1" max="1" width="14.7109375" style="1" customWidth="1"/>
    <col min="2" max="2" width="12.42578125" style="1" customWidth="1"/>
    <col min="3" max="3" width="16.7109375" style="1" customWidth="1"/>
    <col min="4" max="9" width="12.7109375" style="1" customWidth="1"/>
    <col min="10" max="10" width="12.7109375" style="23" customWidth="1"/>
    <col min="11" max="13" width="12.7109375" style="1" customWidth="1"/>
    <col min="14" max="14" width="12.7109375" style="69" customWidth="1"/>
    <col min="15" max="15" width="12.7109375" style="1" customWidth="1"/>
    <col min="16" max="16" width="12.7109375" style="28" customWidth="1"/>
    <col min="17" max="19" width="12.7109375" style="2" customWidth="1"/>
    <col min="20" max="20" width="12.7109375" style="28" customWidth="1"/>
    <col min="21" max="21" width="12.7109375" style="2" customWidth="1"/>
    <col min="22" max="16384" width="9.140625" style="1"/>
  </cols>
  <sheetData>
    <row r="1" spans="1:24" s="5" customFormat="1" x14ac:dyDescent="0.25">
      <c r="A1" s="7" t="s">
        <v>38</v>
      </c>
      <c r="B1" s="7" t="s">
        <v>30</v>
      </c>
      <c r="C1" s="7" t="s">
        <v>0</v>
      </c>
      <c r="D1" s="7" t="s">
        <v>39</v>
      </c>
      <c r="E1" s="5" t="s">
        <v>10</v>
      </c>
      <c r="N1" s="68"/>
      <c r="P1" s="26"/>
      <c r="Q1" s="13" t="s">
        <v>40</v>
      </c>
      <c r="R1" s="6"/>
      <c r="S1" s="6"/>
      <c r="T1" s="50"/>
      <c r="U1" s="6"/>
    </row>
    <row r="2" spans="1:24" x14ac:dyDescent="0.25">
      <c r="A2" s="8" t="s">
        <v>1</v>
      </c>
      <c r="B2" s="10">
        <v>0.2</v>
      </c>
      <c r="C2" s="9">
        <f>Assumptions!I8</f>
        <v>0.27614441334491635</v>
      </c>
      <c r="D2" s="10">
        <v>0.3</v>
      </c>
      <c r="E2" s="57">
        <f>Assumptions!I15</f>
        <v>11</v>
      </c>
      <c r="P2" s="27" t="s">
        <v>2</v>
      </c>
      <c r="Q2" s="11">
        <v>3.5000000000000003E-2</v>
      </c>
    </row>
    <row r="3" spans="1:24" x14ac:dyDescent="0.25">
      <c r="A3" s="8" t="s">
        <v>3</v>
      </c>
      <c r="B3" s="10">
        <v>0.14000000000000001</v>
      </c>
      <c r="C3" s="9">
        <f>Assumptions!M8</f>
        <v>0.17219210348430822</v>
      </c>
      <c r="D3" s="10">
        <v>0.25</v>
      </c>
      <c r="E3" s="57">
        <v>8.5</v>
      </c>
      <c r="P3" s="27" t="s">
        <v>4</v>
      </c>
      <c r="Q3" s="12">
        <v>0.01</v>
      </c>
    </row>
    <row r="4" spans="1:24" x14ac:dyDescent="0.25">
      <c r="A4" s="8" t="s">
        <v>65</v>
      </c>
      <c r="B4" s="10">
        <v>0.1</v>
      </c>
      <c r="C4" s="9">
        <f>(Assumptions!S4/Assumptions!S3)^0.1-1+3.5%</f>
        <v>2.0241667916391121E-2</v>
      </c>
      <c r="D4" s="10">
        <v>0.15</v>
      </c>
      <c r="P4" s="73"/>
      <c r="Q4" s="74"/>
    </row>
    <row r="5" spans="1:24" x14ac:dyDescent="0.25">
      <c r="A5" s="8" t="s">
        <v>60</v>
      </c>
      <c r="B5" s="10">
        <v>0.12</v>
      </c>
      <c r="C5" s="10">
        <f t="shared" ref="C5:D5" si="0">C3-5%</f>
        <v>0.12219210348430821</v>
      </c>
      <c r="D5" s="10">
        <f t="shared" si="0"/>
        <v>0.2</v>
      </c>
      <c r="L5" s="3"/>
      <c r="P5" s="75"/>
      <c r="Q5" s="76" t="str">
        <f>Q1</f>
        <v>Estimation</v>
      </c>
    </row>
    <row r="6" spans="1:24" x14ac:dyDescent="0.25">
      <c r="A6" s="8" t="s">
        <v>51</v>
      </c>
      <c r="B6" s="32">
        <f>B3-5%</f>
        <v>9.0000000000000011E-2</v>
      </c>
      <c r="C6" s="32">
        <f t="shared" ref="C6" si="1">C3-5%</f>
        <v>0.12219210348430821</v>
      </c>
      <c r="D6" s="32">
        <f>D3-5%</f>
        <v>0.2</v>
      </c>
      <c r="E6" s="46"/>
      <c r="F6" s="46"/>
      <c r="L6" s="3"/>
      <c r="P6" s="75" t="s">
        <v>108</v>
      </c>
      <c r="Q6" s="77">
        <v>0.1</v>
      </c>
    </row>
    <row r="7" spans="1:24" x14ac:dyDescent="0.25">
      <c r="A7" s="8" t="s">
        <v>52</v>
      </c>
      <c r="B7" s="32">
        <f>B9-5%</f>
        <v>9.9999999999999992E-2</v>
      </c>
      <c r="C7" s="32">
        <f t="shared" ref="C7:D7" si="2">C9-5%</f>
        <v>0.13</v>
      </c>
      <c r="D7" s="32">
        <f t="shared" si="2"/>
        <v>0.2</v>
      </c>
      <c r="E7" s="46"/>
      <c r="F7" s="46"/>
      <c r="P7" s="75" t="s">
        <v>110</v>
      </c>
      <c r="Q7" s="77">
        <v>0.45</v>
      </c>
    </row>
    <row r="8" spans="1:24" x14ac:dyDescent="0.25">
      <c r="A8" s="8" t="s">
        <v>6</v>
      </c>
      <c r="B8" s="32">
        <v>8.5000000000000006E-2</v>
      </c>
      <c r="C8" s="10">
        <v>0.1</v>
      </c>
      <c r="D8" s="10">
        <v>0.12</v>
      </c>
      <c r="E8" s="3"/>
      <c r="F8" s="3"/>
      <c r="P8" s="75" t="s">
        <v>109</v>
      </c>
      <c r="Q8" s="77">
        <f>(1+10%*(1-Q7))^10/((1+10%)^10*(1-Q7/2)+Q7/2)</f>
        <v>0.76421902227561123</v>
      </c>
    </row>
    <row r="9" spans="1:24" x14ac:dyDescent="0.25">
      <c r="A9" s="8" t="s">
        <v>46</v>
      </c>
      <c r="B9" s="10">
        <v>0.15</v>
      </c>
      <c r="C9" s="10">
        <v>0.18</v>
      </c>
      <c r="D9" s="10">
        <v>0.25</v>
      </c>
      <c r="E9" s="3"/>
      <c r="F9" s="3"/>
    </row>
    <row r="10" spans="1:24" x14ac:dyDescent="0.25">
      <c r="A10" s="8" t="s">
        <v>90</v>
      </c>
      <c r="B10" s="10">
        <v>0.15</v>
      </c>
      <c r="C10" s="10">
        <v>0.18</v>
      </c>
      <c r="D10" s="10">
        <v>0.2</v>
      </c>
      <c r="E10" s="3"/>
      <c r="F10" s="3"/>
      <c r="P10" s="29" t="s">
        <v>41</v>
      </c>
      <c r="Q10" s="40">
        <v>6</v>
      </c>
    </row>
    <row r="11" spans="1:24" x14ac:dyDescent="0.25">
      <c r="B11" s="3"/>
      <c r="C11" s="3"/>
      <c r="D11" s="3"/>
      <c r="E11" s="3"/>
      <c r="F11" s="3"/>
    </row>
    <row r="12" spans="1:24" s="15" customFormat="1" x14ac:dyDescent="0.25">
      <c r="B12" s="100" t="s">
        <v>49</v>
      </c>
      <c r="C12" s="101"/>
      <c r="D12" s="100" t="s">
        <v>37</v>
      </c>
      <c r="E12" s="102"/>
      <c r="F12" s="102"/>
      <c r="G12" s="102"/>
      <c r="H12" s="102"/>
      <c r="I12" s="16"/>
      <c r="J12" s="102" t="s">
        <v>33</v>
      </c>
      <c r="K12" s="102"/>
      <c r="L12" s="102"/>
      <c r="M12" s="102"/>
      <c r="N12" s="102"/>
      <c r="O12" s="102"/>
      <c r="P12" s="103" t="s">
        <v>40</v>
      </c>
      <c r="Q12" s="104"/>
      <c r="R12" s="104"/>
      <c r="S12" s="104"/>
      <c r="T12" s="48" t="s">
        <v>63</v>
      </c>
      <c r="U12" s="49"/>
      <c r="V12" s="17"/>
      <c r="W12" s="17"/>
      <c r="X12" s="17"/>
    </row>
    <row r="13" spans="1:24" x14ac:dyDescent="0.25">
      <c r="A13" s="14"/>
      <c r="B13" s="24" t="s">
        <v>49</v>
      </c>
      <c r="C13" s="41" t="s">
        <v>50</v>
      </c>
      <c r="D13" s="24" t="s">
        <v>7</v>
      </c>
      <c r="E13" s="14" t="s">
        <v>56</v>
      </c>
      <c r="F13" s="14" t="s">
        <v>55</v>
      </c>
      <c r="G13" s="14" t="s">
        <v>8</v>
      </c>
      <c r="H13" s="14" t="s">
        <v>9</v>
      </c>
      <c r="I13" s="14" t="s">
        <v>42</v>
      </c>
      <c r="J13" s="24" t="s">
        <v>34</v>
      </c>
      <c r="K13" s="14" t="s">
        <v>35</v>
      </c>
      <c r="L13" s="14" t="s">
        <v>47</v>
      </c>
      <c r="M13" s="14" t="s">
        <v>48</v>
      </c>
      <c r="N13" s="70" t="s">
        <v>94</v>
      </c>
      <c r="O13" s="14" t="s">
        <v>36</v>
      </c>
      <c r="P13" s="30" t="s">
        <v>32</v>
      </c>
      <c r="Q13" s="18" t="s">
        <v>31</v>
      </c>
      <c r="R13" s="18" t="s">
        <v>30</v>
      </c>
      <c r="S13" s="18" t="s">
        <v>10</v>
      </c>
      <c r="T13" s="30">
        <v>1</v>
      </c>
      <c r="U13" s="18">
        <v>1.25</v>
      </c>
    </row>
    <row r="14" spans="1:24" x14ac:dyDescent="0.25">
      <c r="A14" s="20" t="s">
        <v>11</v>
      </c>
      <c r="B14" s="25" t="s">
        <v>1</v>
      </c>
      <c r="C14" s="42" t="s">
        <v>1</v>
      </c>
      <c r="D14" s="78">
        <v>3.62</v>
      </c>
      <c r="E14" s="20"/>
      <c r="F14" s="20"/>
      <c r="G14" s="38">
        <v>0.11849999999999999</v>
      </c>
      <c r="H14" s="38">
        <v>0.32490000000000002</v>
      </c>
      <c r="I14" s="21">
        <f>Growth!E2</f>
        <v>11</v>
      </c>
      <c r="J14" s="34">
        <v>0.86160000000000003</v>
      </c>
      <c r="K14" s="35">
        <f>L14</f>
        <v>0.27614441334491635</v>
      </c>
      <c r="L14" s="33">
        <f>C2</f>
        <v>0.27614441334491635</v>
      </c>
      <c r="M14" s="33">
        <f>AVERAGE(MIN(MAX(J14,INDEX($B$1:$B$9,MATCH(B14,$A$1:$A$9,0))), INDEX($D$1:$D$9,MATCH(B14,$A$1:$A$9,0))), MIN(MAX(K14,INDEX($B$1:$B$9,MATCH(B14,$A$1:$A$9,0))), INDEX($D$1:$D$9,MATCH(B14,$A$1:$A$9,0))),MIN(MAX(L14,INDEX($B$1:$B$9,MATCH(B14,$A$1:$A$9,0))), INDEX($D$1:$D$9,MATCH(B14,$A$1:$A$9,0))),MIN(MAX(H14,INDEX($B$1:$B$9,MATCH(B14,$A$1:$A$9,0))), INDEX($D$1:$D$9,MATCH(B14,$A$1:$A$9,0))))</f>
        <v>0.28807220667245814</v>
      </c>
      <c r="N14" s="71"/>
      <c r="O14" s="33">
        <v>-0.05</v>
      </c>
      <c r="P14" s="31">
        <f>Q14*1.2</f>
        <v>212.36201907632685</v>
      </c>
      <c r="Q14" s="19">
        <f>D14*(M14+1)^10*(20+G14*100)/3/1.1^10*(1+O14*IF(O14&gt;0,$Q$10/12,1))</f>
        <v>176.96834923027237</v>
      </c>
      <c r="R14" s="19">
        <f>Q14*0.8</f>
        <v>141.57467938421789</v>
      </c>
      <c r="S14" s="19">
        <f>Q14/D14</f>
        <v>48.886284317754793</v>
      </c>
      <c r="T14" s="31">
        <f>$M14*$D14*100*T$13</f>
        <v>104.28213881542985</v>
      </c>
      <c r="U14" s="31">
        <f>$M14*$D14*100*U$13</f>
        <v>130.35267351928729</v>
      </c>
    </row>
    <row r="15" spans="1:24" x14ac:dyDescent="0.25">
      <c r="A15" s="20" t="s">
        <v>12</v>
      </c>
      <c r="B15" s="25" t="s">
        <v>1</v>
      </c>
      <c r="C15" s="42" t="s">
        <v>1</v>
      </c>
      <c r="D15" s="78">
        <v>-1.48</v>
      </c>
      <c r="E15" s="20"/>
      <c r="F15" s="20"/>
      <c r="G15" s="20"/>
      <c r="H15" s="20"/>
      <c r="I15" s="21"/>
      <c r="J15" s="34"/>
      <c r="K15" s="33"/>
      <c r="L15" s="33"/>
      <c r="M15" s="33"/>
      <c r="N15" s="71"/>
      <c r="O15" s="33"/>
      <c r="P15" s="31"/>
      <c r="Q15" s="19"/>
      <c r="R15" s="19"/>
      <c r="S15" s="19"/>
      <c r="T15" s="31"/>
      <c r="U15" s="19"/>
    </row>
    <row r="16" spans="1:24" x14ac:dyDescent="0.25">
      <c r="A16" s="20" t="s">
        <v>13</v>
      </c>
      <c r="B16" s="25" t="s">
        <v>1</v>
      </c>
      <c r="C16" s="42" t="s">
        <v>1</v>
      </c>
      <c r="D16" s="78">
        <v>-14.53</v>
      </c>
      <c r="E16" s="20"/>
      <c r="F16" s="20"/>
      <c r="G16" s="20"/>
      <c r="H16" s="20"/>
      <c r="I16" s="21"/>
      <c r="J16" s="34"/>
      <c r="K16" s="33"/>
      <c r="L16" s="33"/>
      <c r="M16" s="33"/>
      <c r="N16" s="71"/>
      <c r="O16" s="33"/>
      <c r="P16" s="31"/>
      <c r="Q16" s="19"/>
      <c r="R16" s="19"/>
      <c r="S16" s="19"/>
      <c r="T16" s="31"/>
      <c r="U16" s="19"/>
    </row>
    <row r="17" spans="1:22" x14ac:dyDescent="0.25">
      <c r="A17" s="20" t="s">
        <v>14</v>
      </c>
      <c r="B17" s="25" t="s">
        <v>1</v>
      </c>
      <c r="C17" s="42" t="s">
        <v>1</v>
      </c>
      <c r="D17" s="78"/>
      <c r="E17" s="20"/>
      <c r="F17" s="20"/>
      <c r="G17" s="20"/>
      <c r="H17" s="20"/>
      <c r="I17" s="21"/>
      <c r="J17" s="34"/>
      <c r="K17" s="33"/>
      <c r="L17" s="33"/>
      <c r="M17" s="33"/>
      <c r="N17" s="71"/>
      <c r="O17" s="33"/>
      <c r="P17" s="31"/>
      <c r="Q17" s="19"/>
      <c r="R17" s="19"/>
      <c r="S17" s="19"/>
      <c r="T17" s="31"/>
      <c r="U17" s="19"/>
    </row>
    <row r="18" spans="1:22" x14ac:dyDescent="0.25">
      <c r="A18" s="20" t="s">
        <v>15</v>
      </c>
      <c r="B18" s="25" t="s">
        <v>1</v>
      </c>
      <c r="C18" s="42" t="s">
        <v>16</v>
      </c>
      <c r="D18" s="78"/>
      <c r="E18" s="20"/>
      <c r="F18" s="20"/>
      <c r="G18" s="20"/>
      <c r="H18" s="20"/>
      <c r="I18" s="21"/>
      <c r="J18" s="34"/>
      <c r="K18" s="33"/>
      <c r="L18" s="33"/>
      <c r="M18" s="33"/>
      <c r="N18" s="71"/>
      <c r="O18" s="33"/>
      <c r="P18" s="31"/>
      <c r="Q18" s="19"/>
      <c r="R18" s="19"/>
      <c r="S18" s="19"/>
      <c r="T18" s="31"/>
      <c r="U18" s="19"/>
    </row>
    <row r="19" spans="1:22" x14ac:dyDescent="0.25">
      <c r="A19" s="20"/>
      <c r="B19" s="25"/>
      <c r="C19" s="42"/>
      <c r="D19" s="78"/>
      <c r="E19" s="20"/>
      <c r="F19" s="20"/>
      <c r="G19" s="20"/>
      <c r="H19" s="20"/>
      <c r="I19" s="21"/>
      <c r="J19" s="34"/>
      <c r="K19" s="33"/>
      <c r="L19" s="33"/>
      <c r="M19" s="33"/>
      <c r="N19" s="71"/>
      <c r="O19" s="33"/>
      <c r="P19" s="31"/>
      <c r="Q19" s="19"/>
      <c r="R19" s="19"/>
      <c r="S19" s="19"/>
      <c r="T19" s="31"/>
      <c r="U19" s="19"/>
    </row>
    <row r="20" spans="1:22" x14ac:dyDescent="0.25">
      <c r="A20" s="58" t="s">
        <v>84</v>
      </c>
      <c r="B20" s="25"/>
      <c r="C20" s="42"/>
      <c r="D20" s="78">
        <v>1</v>
      </c>
      <c r="E20" s="20"/>
      <c r="F20" s="20"/>
      <c r="G20" s="20"/>
      <c r="H20" s="20"/>
      <c r="I20" s="21">
        <f>I25</f>
        <v>8.5</v>
      </c>
      <c r="J20" s="34"/>
      <c r="K20" s="33"/>
      <c r="L20" s="33">
        <f>L25</f>
        <v>0.17219210348430822</v>
      </c>
      <c r="M20" s="33">
        <f>(L20+0.6)/4</f>
        <v>0.19304802587107706</v>
      </c>
      <c r="N20" s="71"/>
      <c r="O20" s="33">
        <v>0.03</v>
      </c>
      <c r="P20" s="31">
        <f>Q20*1.2</f>
        <v>23.319467381833984</v>
      </c>
      <c r="Q20" s="19">
        <f>D20*(M20+1)^10*I20/(1+$Q$6-N20*$Q$8)^10*(1+O20*IF(O20&gt;0,$Q$10/12,1))</f>
        <v>19.432889484861654</v>
      </c>
      <c r="R20" s="19">
        <f>Q20*0.8</f>
        <v>15.546311587889324</v>
      </c>
      <c r="S20" s="19">
        <f>Q20/D20</f>
        <v>19.432889484861654</v>
      </c>
      <c r="T20" s="31"/>
      <c r="U20" s="19"/>
    </row>
    <row r="21" spans="1:22" x14ac:dyDescent="0.25">
      <c r="A21" s="20" t="s">
        <v>17</v>
      </c>
      <c r="B21" s="25" t="str">
        <f>A3</f>
        <v>solar</v>
      </c>
      <c r="C21" s="42" t="s">
        <v>18</v>
      </c>
      <c r="D21" s="78">
        <v>4.62</v>
      </c>
      <c r="E21" s="20"/>
      <c r="F21" s="20"/>
      <c r="G21" s="38">
        <v>0.10970000000000001</v>
      </c>
      <c r="H21" s="38">
        <v>0.63290000000000002</v>
      </c>
      <c r="I21" s="21">
        <f>(G21+20%)/3*100</f>
        <v>10.323333333333334</v>
      </c>
      <c r="J21" s="34">
        <v>1.4193</v>
      </c>
      <c r="K21" s="33">
        <v>0.20050000000000001</v>
      </c>
      <c r="L21" s="33">
        <f>C3</f>
        <v>0.17219210348430822</v>
      </c>
      <c r="M21" s="33">
        <f>AVERAGE(MIN(MAX(J21,INDEX($B$1:$B$9,MATCH(B21,$A$1:$A$9,0))), INDEX($D$1:$D$9,MATCH(B21,$A$1:$A$9,0))), MIN(MAX(K21,INDEX($B$1:$B$9,MATCH(B21,$A$1:$A$9,0))), INDEX($D$1:$D$9,MATCH(B21,$A$1:$A$9,0))),MIN(MAX(L21,INDEX($B$1:$B$9,MATCH(B21,$A$1:$A$9,0))), INDEX($D$1:$D$9,MATCH(B21,$A$1:$A$9,0))),MIN(MAX(H21,INDEX($B$1:$B$9,MATCH(B21,$A$1:$A$9,0))), INDEX($D$1:$D$9,MATCH(B21,$A$1:$A$9,0))))</f>
        <v>0.21817302587107706</v>
      </c>
      <c r="N21" s="71"/>
      <c r="O21" s="33">
        <v>0.35</v>
      </c>
      <c r="P21" s="31">
        <f>Q21*1.2</f>
        <v>186.57092886211436</v>
      </c>
      <c r="Q21" s="19">
        <f t="shared" ref="Q21:Q27" si="3">D21*(M21+1)^10*I21/(1+$Q$6-N21*$Q$8)^10*(1+O21*IF(O21&gt;0,$Q$10/12,1))</f>
        <v>155.47577405176196</v>
      </c>
      <c r="R21" s="19">
        <f>Q21*0.8</f>
        <v>124.38061924140958</v>
      </c>
      <c r="S21" s="19">
        <f>Q21/D21</f>
        <v>33.652764946268825</v>
      </c>
      <c r="T21" s="31">
        <f>$M21*$D21*100*T$13</f>
        <v>100.7959379524376</v>
      </c>
      <c r="U21" s="31">
        <f>$M21*$D21*100*U$13</f>
        <v>125.994922440547</v>
      </c>
    </row>
    <row r="22" spans="1:22" x14ac:dyDescent="0.25">
      <c r="A22" s="20" t="s">
        <v>19</v>
      </c>
      <c r="B22" s="25" t="s">
        <v>3</v>
      </c>
      <c r="C22" s="42" t="s">
        <v>3</v>
      </c>
      <c r="D22" s="78">
        <v>1.7</v>
      </c>
      <c r="E22" s="20"/>
      <c r="F22" s="20"/>
      <c r="G22" s="38">
        <v>4.9299999999999997E-2</v>
      </c>
      <c r="H22" s="38">
        <v>5.3800000000000001E-2</v>
      </c>
      <c r="I22" s="21">
        <f t="shared" ref="I22:I24" si="4">(G22+20%)/3*100</f>
        <v>8.31</v>
      </c>
      <c r="J22" s="34">
        <v>0.13539999999999999</v>
      </c>
      <c r="K22" s="33">
        <v>0.42020000000000002</v>
      </c>
      <c r="L22" s="33">
        <f>C3</f>
        <v>0.17219210348430822</v>
      </c>
      <c r="M22" s="33">
        <f>AVERAGE(MIN(MAX(J22,INDEX($B$1:$B$9,MATCH(B22,$A$1:$A$9,0))), INDEX($D$1:$D$9,MATCH(B22,$A$1:$A$9,0))), MIN(MAX(K22,INDEX($B$1:$B$9,MATCH(B22,$A$1:$A$9,0))), INDEX($D$1:$D$9,MATCH(B22,$A$1:$A$9,0))),MIN(MAX(L22,INDEX($B$1:$B$9,MATCH(B22,$A$1:$A$9,0))), INDEX($D$1:$D$9,MATCH(B22,$A$1:$A$9,0))),MIN(MAX(H22,INDEX($B$1:$B$9,MATCH(B22,$A$1:$A$9,0))), INDEX($D$1:$D$9,MATCH(B22,$A$1:$A$9,0))))</f>
        <v>0.17554802587107707</v>
      </c>
      <c r="N22" s="71"/>
      <c r="O22" s="33">
        <v>0.27400000000000002</v>
      </c>
      <c r="P22" s="31">
        <f>Q22*1.2</f>
        <v>37.451444177861369</v>
      </c>
      <c r="Q22" s="19">
        <f t="shared" si="3"/>
        <v>31.209536814884476</v>
      </c>
      <c r="R22" s="19">
        <f>Q22*0.8</f>
        <v>24.967629451907584</v>
      </c>
      <c r="S22" s="19"/>
      <c r="T22" s="31"/>
      <c r="U22" s="19"/>
    </row>
    <row r="23" spans="1:22" x14ac:dyDescent="0.25">
      <c r="A23" s="20" t="s">
        <v>20</v>
      </c>
      <c r="B23" s="25" t="s">
        <v>3</v>
      </c>
      <c r="C23" s="42" t="s">
        <v>3</v>
      </c>
      <c r="D23" s="78">
        <v>7.17</v>
      </c>
      <c r="E23" s="20"/>
      <c r="F23" s="20"/>
      <c r="G23" s="38"/>
      <c r="H23" s="38"/>
      <c r="I23" s="21">
        <f t="shared" si="4"/>
        <v>6.666666666666667</v>
      </c>
      <c r="J23" s="34"/>
      <c r="K23" s="33"/>
      <c r="L23" s="33"/>
      <c r="M23" s="33"/>
      <c r="N23" s="71"/>
      <c r="O23" s="33"/>
      <c r="P23" s="31"/>
      <c r="Q23" s="19"/>
      <c r="R23" s="19"/>
      <c r="S23" s="19"/>
      <c r="T23" s="31"/>
      <c r="U23" s="19"/>
    </row>
    <row r="24" spans="1:22" x14ac:dyDescent="0.25">
      <c r="A24" s="20" t="s">
        <v>53</v>
      </c>
      <c r="B24" s="25" t="s">
        <v>65</v>
      </c>
      <c r="C24" s="42" t="s">
        <v>54</v>
      </c>
      <c r="D24" s="79">
        <f>E24/F24</f>
        <v>0.58765644735331268</v>
      </c>
      <c r="E24" s="43">
        <v>102.358</v>
      </c>
      <c r="F24" s="43">
        <v>174.18</v>
      </c>
      <c r="G24" s="38">
        <f>E24/1780</f>
        <v>5.7504494382022472E-2</v>
      </c>
      <c r="H24" s="38">
        <v>0.22170000000000001</v>
      </c>
      <c r="I24" s="21">
        <f t="shared" si="4"/>
        <v>8.583483146067417</v>
      </c>
      <c r="J24" s="45">
        <f>(E24/22.159)^0.2-1</f>
        <v>0.35804551875785862</v>
      </c>
      <c r="K24" s="33">
        <v>0.52380000000000004</v>
      </c>
      <c r="L24" s="33">
        <f>INDEX($C$1:$C$11,MATCH($B24,$A$1:$A$11,0))</f>
        <v>2.0241667916391121E-2</v>
      </c>
      <c r="M24" s="33">
        <f>AVERAGE(MIN(MAX(J24,INDEX($B$1:$B$9,MATCH(B24,$A$1:$A$9,0))), INDEX($D$1:$D$9,MATCH(B24,$A$1:$A$9,0))), MIN(MAX(K24,INDEX($B$1:$B$9,MATCH(B24,$A$1:$A$9,0))), INDEX($D$1:$D$9,MATCH(B24,$A$1:$A$9,0))),MIN(MAX(L24,INDEX($B$1:$B$9,MATCH(B24,$A$1:$A$9,0))), INDEX($D$1:$D$9,MATCH(B24,$A$1:$A$9,0))),MIN(MAX(H24,INDEX($B$1:$B$9,MATCH(B24,$A$1:$A$9,0))), INDEX($D$1:$D$9,MATCH(B24,$A$1:$A$9,0))))</f>
        <v>0.13750000000000001</v>
      </c>
      <c r="N24" s="71"/>
      <c r="O24" s="33">
        <v>0.30299999999999999</v>
      </c>
      <c r="P24" s="31">
        <f>Q24*1.2</f>
        <v>9.7458439696553167</v>
      </c>
      <c r="Q24" s="19">
        <f t="shared" si="3"/>
        <v>8.1215366413794303</v>
      </c>
      <c r="R24" s="19">
        <f>Q24*0.8</f>
        <v>6.4972293131035448</v>
      </c>
      <c r="S24" s="19">
        <f>Q24/D24</f>
        <v>13.820211924768646</v>
      </c>
      <c r="T24" s="31">
        <f>$M24*$D24*100*T$13</f>
        <v>8.0802761511080501</v>
      </c>
      <c r="U24" s="31">
        <f>$M24*$D24*100*U$13</f>
        <v>10.100345188885063</v>
      </c>
      <c r="V24" s="1" t="s">
        <v>62</v>
      </c>
    </row>
    <row r="25" spans="1:22" x14ac:dyDescent="0.25">
      <c r="A25" s="20" t="s">
        <v>57</v>
      </c>
      <c r="B25" s="25" t="s">
        <v>3</v>
      </c>
      <c r="C25" s="42" t="s">
        <v>54</v>
      </c>
      <c r="D25" s="79">
        <v>3.44</v>
      </c>
      <c r="E25" s="43"/>
      <c r="F25" s="43"/>
      <c r="G25" s="38">
        <v>2.3400000000000001E-2</v>
      </c>
      <c r="H25" s="38">
        <v>0.1153</v>
      </c>
      <c r="I25" s="21">
        <f>E3</f>
        <v>8.5</v>
      </c>
      <c r="J25" s="45">
        <v>-0.14849999999999999</v>
      </c>
      <c r="K25" s="33">
        <v>0.12</v>
      </c>
      <c r="L25" s="33">
        <f>INDEX($C$1:$C$11,MATCH($B25,$A$1:$A$11,0))</f>
        <v>0.17219210348430822</v>
      </c>
      <c r="M25" s="33">
        <f>AVERAGE(MIN(MAX(J25,INDEX($B$1:$B$9,MATCH(B25,$A$1:$A$9,0))), INDEX($D$1:$D$9,MATCH(B25,$A$1:$A$9,0))), MIN(MAX(K25,INDEX($B$1:$B$9,MATCH(B25,$A$1:$A$9,0))), INDEX($D$1:$D$9,MATCH(B25,$A$1:$A$9,0))),MIN(MAX(L25,INDEX($B$1:$B$9,MATCH(B25,$A$1:$A$9,0))), INDEX($D$1:$D$9,MATCH(B25,$A$1:$A$9,0))),MIN(MAX(H25,INDEX($B$1:$B$9,MATCH(B25,$A$1:$A$9,0))), INDEX($D$1:$D$9,MATCH(B25,$A$1:$A$9,0))))</f>
        <v>0.14804802587107707</v>
      </c>
      <c r="N25" s="71"/>
      <c r="O25" s="35">
        <v>0.2</v>
      </c>
      <c r="P25" s="31">
        <f>Q25*1.2</f>
        <v>59.186820326521236</v>
      </c>
      <c r="Q25" s="19">
        <f t="shared" si="3"/>
        <v>49.322350272101033</v>
      </c>
      <c r="R25" s="19">
        <f>Q25*0.8</f>
        <v>39.457880217680831</v>
      </c>
      <c r="S25" s="19">
        <f>Q25/D25</f>
        <v>14.337892520959603</v>
      </c>
      <c r="T25" s="31">
        <f>$M25*$D25*100*T$13</f>
        <v>50.928520899650508</v>
      </c>
      <c r="U25" s="31">
        <f>$M25*$D25*100*U$13</f>
        <v>63.660651124563131</v>
      </c>
    </row>
    <row r="26" spans="1:22" x14ac:dyDescent="0.25">
      <c r="A26" s="20" t="s">
        <v>86</v>
      </c>
      <c r="B26" s="25" t="s">
        <v>87</v>
      </c>
      <c r="C26" s="42" t="s">
        <v>88</v>
      </c>
      <c r="D26" s="79">
        <v>6.07</v>
      </c>
      <c r="E26" s="43"/>
      <c r="F26" s="43"/>
      <c r="G26" s="38">
        <v>0.01</v>
      </c>
      <c r="H26" s="38">
        <v>0.28910000000000002</v>
      </c>
      <c r="I26" s="21">
        <f t="shared" ref="I26" si="5">(G26+20%)/3*100</f>
        <v>7.0000000000000009</v>
      </c>
      <c r="J26" s="21"/>
      <c r="K26" s="33"/>
      <c r="L26" s="33"/>
      <c r="M26" s="33">
        <f>C5</f>
        <v>0.12219210348430821</v>
      </c>
      <c r="N26" s="71"/>
      <c r="O26" s="33">
        <v>0.15</v>
      </c>
      <c r="P26" s="31">
        <f>Q26*1.2</f>
        <v>66.930130785334669</v>
      </c>
      <c r="Q26" s="19">
        <f t="shared" si="3"/>
        <v>55.775108987778893</v>
      </c>
      <c r="R26" s="19">
        <f>Q26*0.8</f>
        <v>44.620087190223117</v>
      </c>
      <c r="S26" s="19">
        <f>Q26/D26</f>
        <v>9.1886505745928986</v>
      </c>
      <c r="T26" s="31"/>
      <c r="U26" s="19"/>
    </row>
    <row r="27" spans="1:22" x14ac:dyDescent="0.25">
      <c r="A27" s="20" t="s">
        <v>103</v>
      </c>
      <c r="B27" s="25" t="s">
        <v>3</v>
      </c>
      <c r="C27" s="42" t="s">
        <v>54</v>
      </c>
      <c r="D27" s="80">
        <v>3.58</v>
      </c>
      <c r="E27" s="43"/>
      <c r="F27" s="43"/>
      <c r="G27" s="38">
        <v>1.2E-2</v>
      </c>
      <c r="H27" s="38">
        <v>0.1071</v>
      </c>
      <c r="I27" s="21">
        <f>I25</f>
        <v>8.5</v>
      </c>
      <c r="J27" s="45">
        <f>L27</f>
        <v>0.17219210348430822</v>
      </c>
      <c r="K27" s="33">
        <f>L27</f>
        <v>0.17219210348430822</v>
      </c>
      <c r="L27" s="33">
        <f>INDEX($C$1:$C$11,MATCH($B27,$A$1:$A$11,0))</f>
        <v>0.17219210348430822</v>
      </c>
      <c r="M27" s="33">
        <f>AVERAGE(MIN(MAX(J27,INDEX($B$1:$B$9,MATCH(B27,$A$1:$A$9,0))), INDEX($D$1:$D$9,MATCH(B27,$A$1:$A$9,0))), MIN(MAX(K27,INDEX($B$1:$B$9,MATCH(B27,$A$1:$A$9,0))), INDEX($D$1:$D$9,MATCH(B27,$A$1:$A$9,0))),MIN(MAX(L27,INDEX($B$1:$B$9,MATCH(B27,$A$1:$A$9,0))), INDEX($D$1:$D$9,MATCH(B27,$A$1:$A$9,0))),MIN(MAX(H27,INDEX($B$1:$B$9,MATCH(B27,$A$1:$A$9,0))), INDEX($D$1:$D$9,MATCH(B27,$A$1:$A$9,0))))</f>
        <v>0.16414407761323116</v>
      </c>
      <c r="N27" s="71">
        <v>0</v>
      </c>
      <c r="O27" s="35">
        <v>0.2</v>
      </c>
      <c r="P27" s="31">
        <f>Q27*1.2</f>
        <v>70.797245823153546</v>
      </c>
      <c r="Q27" s="19">
        <f t="shared" si="3"/>
        <v>58.997704852627955</v>
      </c>
      <c r="R27" s="19">
        <f>Q27*0.8</f>
        <v>47.198163882102364</v>
      </c>
      <c r="S27" s="19">
        <f>Q27/D27</f>
        <v>16.479805824756411</v>
      </c>
      <c r="T27" s="31">
        <f>$M27*$D27*100*T$13</f>
        <v>58.763579785536756</v>
      </c>
      <c r="U27" s="31">
        <f>$M27*$D27*100*U$13</f>
        <v>73.454474731920939</v>
      </c>
    </row>
    <row r="28" spans="1:22" x14ac:dyDescent="0.25">
      <c r="A28" s="20"/>
      <c r="B28" s="25"/>
      <c r="C28" s="42"/>
      <c r="D28" s="78"/>
      <c r="E28" s="20"/>
      <c r="F28" s="20"/>
      <c r="G28" s="38"/>
      <c r="H28" s="38"/>
      <c r="I28" s="21"/>
      <c r="J28" s="34"/>
      <c r="K28" s="33"/>
      <c r="L28" s="33"/>
      <c r="M28" s="33"/>
      <c r="N28" s="71"/>
      <c r="O28" s="33"/>
      <c r="P28" s="31"/>
      <c r="Q28" s="19"/>
      <c r="R28" s="19"/>
      <c r="S28" s="19"/>
      <c r="T28" s="31"/>
      <c r="U28" s="19"/>
    </row>
    <row r="29" spans="1:22" x14ac:dyDescent="0.25">
      <c r="A29" s="20" t="s">
        <v>21</v>
      </c>
      <c r="B29" s="25" t="s">
        <v>22</v>
      </c>
      <c r="C29" s="42" t="s">
        <v>22</v>
      </c>
      <c r="D29" s="78">
        <v>-0.21</v>
      </c>
      <c r="E29" s="20"/>
      <c r="F29" s="20"/>
      <c r="G29" s="38"/>
      <c r="H29" s="38"/>
      <c r="I29" s="21"/>
      <c r="J29" s="34"/>
      <c r="K29" s="33"/>
      <c r="L29" s="33"/>
      <c r="M29" s="33"/>
      <c r="N29" s="71"/>
      <c r="O29" s="33"/>
      <c r="P29" s="31"/>
      <c r="Q29" s="19"/>
      <c r="R29" s="19"/>
      <c r="S29" s="19"/>
      <c r="T29" s="31"/>
      <c r="U29" s="19"/>
    </row>
    <row r="30" spans="1:22" x14ac:dyDescent="0.25">
      <c r="A30" s="20"/>
      <c r="B30" s="25"/>
      <c r="C30" s="42"/>
      <c r="D30" s="78"/>
      <c r="E30" s="20"/>
      <c r="F30" s="20"/>
      <c r="G30" s="38"/>
      <c r="H30" s="38"/>
      <c r="I30" s="21"/>
      <c r="J30" s="34"/>
      <c r="K30" s="33"/>
      <c r="L30" s="33"/>
      <c r="M30" s="33"/>
      <c r="N30" s="71"/>
      <c r="O30" s="33"/>
      <c r="P30" s="31"/>
      <c r="Q30" s="19"/>
      <c r="R30" s="19"/>
      <c r="S30" s="19"/>
      <c r="T30" s="31"/>
      <c r="U30" s="19"/>
    </row>
    <row r="31" spans="1:22" x14ac:dyDescent="0.25">
      <c r="A31" s="20" t="s">
        <v>111</v>
      </c>
      <c r="B31" s="25" t="s">
        <v>51</v>
      </c>
      <c r="C31" s="42" t="s">
        <v>112</v>
      </c>
      <c r="D31" s="79">
        <f>6.31/(1+M31)</f>
        <v>5.4504714174080222</v>
      </c>
      <c r="E31" s="20"/>
      <c r="F31" s="20"/>
      <c r="G31" s="38">
        <v>0.11940000000000001</v>
      </c>
      <c r="H31" s="38">
        <v>0.36070000000000002</v>
      </c>
      <c r="I31" s="21">
        <f>(G31+20%)/3*100</f>
        <v>10.646666666666667</v>
      </c>
      <c r="J31" s="34">
        <v>0.1706</v>
      </c>
      <c r="K31" s="33">
        <v>0.13800000000000001</v>
      </c>
      <c r="L31" s="33">
        <f>L32</f>
        <v>0.12219210348430821</v>
      </c>
      <c r="M31" s="33">
        <f>AVERAGE(MIN(MAX(J31,INDEX($B$1:$B$9,MATCH(B31,$A$1:$A$9,0))), INDEX($D$1:$D$9,MATCH(B31,$A$1:$A$9,0))), MIN(MAX(K31,INDEX($B$1:$B$9,MATCH(B31,$A$1:$A$9,0))), INDEX($D$1:$D$9,MATCH(B31,$A$1:$A$9,0))),MIN(MAX(L31,INDEX($B$1:$B$9,MATCH(B31,$A$1:$A$9,0))), INDEX($D$1:$D$9,MATCH(B31,$A$1:$A$9,0))),MIN(MAX(H31,INDEX($B$1:$B$9,MATCH(B31,$A$1:$A$9,0))), INDEX($D$1:$D$9,MATCH(B31,$A$1:$A$9,0))))</f>
        <v>0.15769802587107706</v>
      </c>
      <c r="N31" s="71">
        <v>1.9599999999999999E-2</v>
      </c>
      <c r="O31" s="35">
        <f>M31</f>
        <v>0.15769802587107706</v>
      </c>
      <c r="P31" s="31">
        <f>Q31*1.2</f>
        <v>143.66795102857293</v>
      </c>
      <c r="Q31" s="19">
        <f>D31*(M31+1)^10*I31/(1+$Q$6-N31*$Q$8)^10*(1+O31*IF(O31&gt;0,$Q$10/12,1))</f>
        <v>119.72329252381078</v>
      </c>
      <c r="R31" s="19">
        <f>Q31*0.8</f>
        <v>95.778634019048638</v>
      </c>
      <c r="S31" s="19">
        <f>Q31/D31</f>
        <v>21.965676609445524</v>
      </c>
      <c r="T31" s="31">
        <f t="shared" ref="T31:U35" si="6">$M31*$D31*100*T$13</f>
        <v>85.95285825919764</v>
      </c>
      <c r="U31" s="31">
        <f t="shared" si="6"/>
        <v>107.44107282399705</v>
      </c>
    </row>
    <row r="32" spans="1:22" x14ac:dyDescent="0.25">
      <c r="A32" s="20" t="s">
        <v>107</v>
      </c>
      <c r="B32" s="25" t="s">
        <v>51</v>
      </c>
      <c r="C32" s="42" t="s">
        <v>113</v>
      </c>
      <c r="D32" s="79">
        <f>7.45/(1+M32)</f>
        <v>6.5245109955124265</v>
      </c>
      <c r="E32" s="20"/>
      <c r="F32" s="20"/>
      <c r="G32" s="38">
        <v>0.21560000000000001</v>
      </c>
      <c r="H32" s="38">
        <v>0.56430000000000002</v>
      </c>
      <c r="I32" s="21">
        <f>(G32+20%)/3*100</f>
        <v>13.853333333333333</v>
      </c>
      <c r="J32" s="34">
        <v>0.1452</v>
      </c>
      <c r="K32" s="33">
        <v>0.1</v>
      </c>
      <c r="L32" s="33">
        <f>C3-5%</f>
        <v>0.12219210348430821</v>
      </c>
      <c r="M32" s="33">
        <f>AVERAGE(MIN(MAX(J32,INDEX($B$1:$B$9,MATCH(B32,$A$1:$A$9,0))), INDEX($D$1:$D$9,MATCH(B32,$A$1:$A$9,0))), MIN(MAX(K32,INDEX($B$1:$B$9,MATCH(B32,$A$1:$A$9,0))), INDEX($D$1:$D$9,MATCH(B32,$A$1:$A$9,0))),MIN(MAX(L32,INDEX($B$1:$B$9,MATCH(B32,$A$1:$A$9,0))), INDEX($D$1:$D$9,MATCH(B32,$A$1:$A$9,0))),MIN(MAX(H32,INDEX($B$1:$B$9,MATCH(B32,$A$1:$A$9,0))), INDEX($D$1:$D$9,MATCH(B32,$A$1:$A$9,0))))</f>
        <v>0.14184802587107706</v>
      </c>
      <c r="N32" s="71">
        <v>2.81E-2</v>
      </c>
      <c r="O32" s="35">
        <f>M32</f>
        <v>0.14184802587107706</v>
      </c>
      <c r="P32" s="31">
        <f>Q32*1.2</f>
        <v>205.50445926974172</v>
      </c>
      <c r="Q32" s="19">
        <f>D32*(M32+1)^10*I32/(1+$Q$6-N32*$Q$8)^10*(1+O32*IF(O32&gt;0,$Q$10/12,1))</f>
        <v>171.2537160581181</v>
      </c>
      <c r="R32" s="19">
        <f>Q32*0.8</f>
        <v>137.00297284649449</v>
      </c>
      <c r="S32" s="19">
        <f>Q32/D32</f>
        <v>26.247747329402433</v>
      </c>
      <c r="T32" s="31">
        <f t="shared" si="6"/>
        <v>92.548900448757337</v>
      </c>
      <c r="U32" s="31">
        <f t="shared" si="6"/>
        <v>115.68612556094666</v>
      </c>
    </row>
    <row r="33" spans="1:22" x14ac:dyDescent="0.25">
      <c r="A33" s="20" t="s">
        <v>23</v>
      </c>
      <c r="B33" s="25" t="s">
        <v>51</v>
      </c>
      <c r="C33" s="42" t="s">
        <v>106</v>
      </c>
      <c r="D33" s="79">
        <f>4.65/(1+M33)</f>
        <v>3.9600654198979601</v>
      </c>
      <c r="E33" s="20"/>
      <c r="F33" s="20"/>
      <c r="G33" s="38">
        <v>0.16109999999999999</v>
      </c>
      <c r="H33" s="38">
        <v>0.35220000000000001</v>
      </c>
      <c r="I33" s="21">
        <f>(G33+20%)/3*100</f>
        <v>12.036666666666667</v>
      </c>
      <c r="J33" s="34">
        <v>0.2873</v>
      </c>
      <c r="K33" s="33">
        <v>0.17469999999999999</v>
      </c>
      <c r="L33" s="33">
        <f>C3-5%</f>
        <v>0.12219210348430821</v>
      </c>
      <c r="M33" s="33">
        <f>AVERAGE(MIN(MAX(J33,INDEX($B$1:$B$9,MATCH(B33,$A$1:$A$9,0))), INDEX($D$1:$D$9,MATCH(B33,$A$1:$A$9,0))), MIN(MAX(K33,INDEX($B$1:$B$9,MATCH(B33,$A$1:$A$9,0))), INDEX($D$1:$D$9,MATCH(B33,$A$1:$A$9,0))),MIN(MAX(L33,INDEX($B$1:$B$9,MATCH(B33,$A$1:$A$9,0))), INDEX($D$1:$D$9,MATCH(B33,$A$1:$A$9,0))),MIN(MAX(H33,INDEX($B$1:$B$9,MATCH(B33,$A$1:$A$9,0))), INDEX($D$1:$D$9,MATCH(B33,$A$1:$A$9,0))))</f>
        <v>0.17422302587107708</v>
      </c>
      <c r="N33" s="71">
        <v>0</v>
      </c>
      <c r="O33" s="35">
        <f>M33</f>
        <v>0.17422302587107708</v>
      </c>
      <c r="P33" s="31">
        <f>Q33*1.2</f>
        <v>119.46563828419796</v>
      </c>
      <c r="Q33" s="19">
        <f t="shared" ref="Q33:Q34" si="7">D33*(M33+1)^10*I33/(1+$Q$6-N33*$Q$8)^10*(1+O33*IF(O33&gt;0,$Q$10/12,1))</f>
        <v>99.554698570164973</v>
      </c>
      <c r="R33" s="19">
        <f>Q33*0.8</f>
        <v>79.643758856131981</v>
      </c>
      <c r="S33" s="19">
        <f>Q33/D33</f>
        <v>25.139660084890775</v>
      </c>
      <c r="T33" s="31">
        <f t="shared" si="6"/>
        <v>68.993458010203994</v>
      </c>
      <c r="U33" s="31">
        <f t="shared" si="6"/>
        <v>86.241822512754993</v>
      </c>
    </row>
    <row r="34" spans="1:22" x14ac:dyDescent="0.25">
      <c r="A34" s="20" t="s">
        <v>24</v>
      </c>
      <c r="B34" s="25" t="s">
        <v>51</v>
      </c>
      <c r="C34" s="42" t="s">
        <v>5</v>
      </c>
      <c r="D34" s="78">
        <v>0.5</v>
      </c>
      <c r="E34" s="20"/>
      <c r="F34" s="20"/>
      <c r="G34" s="20"/>
      <c r="H34" s="38">
        <v>0.32719999999999999</v>
      </c>
      <c r="I34" s="21">
        <f>(G34+20%)/3*100</f>
        <v>6.666666666666667</v>
      </c>
      <c r="J34" s="34"/>
      <c r="K34" s="33">
        <v>0.2</v>
      </c>
      <c r="L34" s="33">
        <f>C7</f>
        <v>0.13</v>
      </c>
      <c r="M34" s="33">
        <f>AVERAGE(MIN(MAX(J34,INDEX($B$1:$B$9,MATCH(B34,$A$1:$A$9,0))), INDEX($D$1:$D$9,MATCH(B34,$A$1:$A$9,0))), MIN(MAX(K34,INDEX($B$1:$B$9,MATCH(B34,$A$1:$A$9,0))), INDEX($D$1:$D$9,MATCH(B34,$A$1:$A$9,0))),MIN(MAX(L34,INDEX($B$1:$B$9,MATCH(B34,$A$1:$A$9,0))), INDEX($D$1:$D$9,MATCH(B34,$A$1:$A$9,0))),MIN(MAX(H34,INDEX($B$1:$B$9,MATCH(B34,$A$1:$A$9,0))), INDEX($D$1:$D$9,MATCH(B34,$A$1:$A$9,0))))</f>
        <v>0.15500000000000003</v>
      </c>
      <c r="N34" s="71">
        <v>4.0000000000000002E-4</v>
      </c>
      <c r="O34" s="33">
        <v>0.19</v>
      </c>
      <c r="P34" s="31">
        <f>Q34*1.2</f>
        <v>7.1544155859004288</v>
      </c>
      <c r="Q34" s="19">
        <f t="shared" si="7"/>
        <v>5.9620129882503576</v>
      </c>
      <c r="R34" s="19">
        <f>Q34*0.8</f>
        <v>4.7696103906002865</v>
      </c>
      <c r="S34" s="19">
        <f>Q34/D34</f>
        <v>11.924025976500715</v>
      </c>
      <c r="T34" s="31">
        <f t="shared" si="6"/>
        <v>7.7500000000000018</v>
      </c>
      <c r="U34" s="31">
        <f t="shared" si="6"/>
        <v>9.6875000000000018</v>
      </c>
    </row>
    <row r="35" spans="1:22" x14ac:dyDescent="0.25">
      <c r="A35" s="20" t="s">
        <v>25</v>
      </c>
      <c r="B35" s="25" t="str">
        <f>A7</f>
        <v>semiconductor T</v>
      </c>
      <c r="C35" s="42" t="s">
        <v>105</v>
      </c>
      <c r="D35" s="78">
        <f>5.11/(1+M35)</f>
        <v>4.3213530655391121</v>
      </c>
      <c r="E35" s="20"/>
      <c r="F35" s="20"/>
      <c r="G35" s="38">
        <v>0.16139999999999999</v>
      </c>
      <c r="H35" s="38">
        <v>0.39639999999999997</v>
      </c>
      <c r="I35" s="21">
        <f t="shared" ref="I35" si="8">(G35+20%)/3*100</f>
        <v>12.046666666666667</v>
      </c>
      <c r="J35" s="34">
        <v>0.28079999999999999</v>
      </c>
      <c r="K35" s="33">
        <v>0.215</v>
      </c>
      <c r="L35" s="33">
        <f>C9-5%</f>
        <v>0.13</v>
      </c>
      <c r="M35" s="33">
        <f>AVERAGE(MIN(MAX(J35,INDEX($B$1:$B$9,MATCH(B35,$A$1:$A$9,0))), INDEX($D$1:$D$9,MATCH(B35,$A$1:$A$9,0))), MIN(MAX(K35,INDEX($B$1:$B$9,MATCH(B35,$A$1:$A$9,0))), INDEX($D$1:$D$9,MATCH(B35,$A$1:$A$9,0))),MIN(MAX(L35,INDEX($B$1:$B$9,MATCH(B35,$A$1:$A$9,0))), INDEX($D$1:$D$9,MATCH(B35,$A$1:$A$9,0))),MIN(MAX(H35,INDEX($B$1:$B$9,MATCH(B35,$A$1:$A$9,0))), INDEX($D$1:$D$9,MATCH(B35,$A$1:$A$9,0))))</f>
        <v>0.1825</v>
      </c>
      <c r="N35" s="71">
        <v>1.7299999999999999E-2</v>
      </c>
      <c r="O35" s="33">
        <f>M35</f>
        <v>0.1825</v>
      </c>
      <c r="P35" s="31">
        <f>Q35*1.2</f>
        <v>158.55911699945136</v>
      </c>
      <c r="Q35" s="19">
        <f>D35*(M35+1)^10*I35/(1+$Q$6-N35*$Q$8)^10*(1+O35*IF(O35&gt;0,$Q$10/12,1))</f>
        <v>132.13259749954281</v>
      </c>
      <c r="R35" s="19">
        <f>Q35*0.8</f>
        <v>105.70607799963426</v>
      </c>
      <c r="S35" s="19">
        <f>Q35/D35</f>
        <v>30.576672513348214</v>
      </c>
      <c r="T35" s="31">
        <f t="shared" si="6"/>
        <v>78.864693446088793</v>
      </c>
      <c r="U35" s="31">
        <f t="shared" si="6"/>
        <v>98.580866807610988</v>
      </c>
      <c r="V35" s="1" t="s">
        <v>26</v>
      </c>
    </row>
    <row r="36" spans="1:22" x14ac:dyDescent="0.25">
      <c r="A36" s="20" t="s">
        <v>64</v>
      </c>
      <c r="B36" s="25" t="str">
        <f>B35</f>
        <v>semiconductor T</v>
      </c>
      <c r="C36" s="42"/>
      <c r="D36" s="78">
        <v>1.97</v>
      </c>
      <c r="E36" s="20"/>
      <c r="F36" s="20"/>
      <c r="G36" s="38">
        <v>8.3000000000000001E-3</v>
      </c>
      <c r="H36" s="38">
        <v>8.0299999999999996E-2</v>
      </c>
      <c r="I36" s="21"/>
      <c r="J36" s="34"/>
      <c r="K36" s="33"/>
      <c r="L36" s="33"/>
      <c r="M36" s="33"/>
      <c r="N36" s="71"/>
      <c r="O36" s="33"/>
      <c r="P36" s="31"/>
      <c r="Q36" s="19"/>
      <c r="R36" s="19"/>
      <c r="S36" s="19"/>
      <c r="T36" s="31"/>
      <c r="U36" s="19"/>
    </row>
    <row r="37" spans="1:22" x14ac:dyDescent="0.25">
      <c r="A37" s="20" t="s">
        <v>85</v>
      </c>
      <c r="B37" s="25"/>
      <c r="C37" s="42"/>
      <c r="D37" s="78"/>
      <c r="E37" s="20"/>
      <c r="F37" s="20"/>
      <c r="G37" s="38"/>
      <c r="H37" s="38"/>
      <c r="I37" s="21"/>
      <c r="J37" s="34"/>
      <c r="K37" s="33"/>
      <c r="L37" s="33"/>
      <c r="M37" s="33"/>
      <c r="N37" s="71"/>
      <c r="O37" s="33"/>
      <c r="P37" s="31"/>
      <c r="Q37" s="19"/>
      <c r="R37" s="19"/>
      <c r="S37" s="19"/>
      <c r="T37" s="31"/>
      <c r="U37" s="19"/>
    </row>
    <row r="38" spans="1:22" x14ac:dyDescent="0.25">
      <c r="A38" s="20"/>
      <c r="B38" s="25"/>
      <c r="C38" s="42"/>
      <c r="D38" s="78"/>
      <c r="E38" s="20"/>
      <c r="F38" s="20"/>
      <c r="G38" s="20"/>
      <c r="H38" s="20"/>
      <c r="I38" s="21"/>
      <c r="J38" s="34"/>
      <c r="K38" s="33"/>
      <c r="L38" s="33"/>
      <c r="M38" s="33"/>
      <c r="N38" s="71"/>
      <c r="O38" s="33"/>
      <c r="P38" s="31"/>
      <c r="Q38" s="19"/>
      <c r="R38" s="19"/>
      <c r="S38" s="19"/>
      <c r="T38" s="31"/>
      <c r="U38" s="19"/>
    </row>
    <row r="39" spans="1:22" x14ac:dyDescent="0.25">
      <c r="A39" s="20" t="s">
        <v>27</v>
      </c>
      <c r="B39" s="25" t="s">
        <v>6</v>
      </c>
      <c r="C39" s="42" t="s">
        <v>28</v>
      </c>
      <c r="D39" s="78">
        <v>23.45</v>
      </c>
      <c r="E39" s="20"/>
      <c r="F39" s="20"/>
      <c r="G39" s="38">
        <v>0.12139999999999999</v>
      </c>
      <c r="H39" s="38">
        <v>0.40229999999999999</v>
      </c>
      <c r="I39" s="21">
        <v>8.5</v>
      </c>
      <c r="J39" s="34">
        <v>0.21329999999999999</v>
      </c>
      <c r="K39" s="33">
        <v>0.95179999999999998</v>
      </c>
      <c r="L39" s="33">
        <f>C8</f>
        <v>0.1</v>
      </c>
      <c r="M39" s="33">
        <f>AVERAGE(MIN(MAX(J39,INDEX($B$1:$B$9,MATCH(B39,$A$1:$A$9,0))), INDEX($D$1:$D$9,MATCH(B39,$A$1:$A$9,0))), MIN(MAX(K39,INDEX($B$1:$B$9,MATCH(B39,$A$1:$A$9,0))), INDEX($D$1:$D$9,MATCH(B39,$A$1:$A$9,0))),MIN(MAX(L39,INDEX($B$1:$B$9,MATCH(B39,$A$1:$A$9,0))), INDEX($D$1:$D$9,MATCH(B39,$A$1:$A$9,0))),MIN(MAX(H39,INDEX($B$1:$B$9,MATCH(B39,$A$1:$A$9,0))), INDEX($D$1:$D$9,MATCH(B39,$A$1:$A$9,0))))</f>
        <v>0.11499999999999999</v>
      </c>
      <c r="N39" s="71"/>
      <c r="O39" s="33">
        <v>0.30399999999999999</v>
      </c>
      <c r="P39" s="31">
        <f>Q39*1.2</f>
        <v>315.51304510700237</v>
      </c>
      <c r="Q39" s="19">
        <f t="shared" ref="Q39:Q44" si="9">D39*(M39+1)^10*I39/(1+$Q$6-N39*$Q$8)^10*(1+O39*IF(O39&gt;0,$Q$10/12,1))</f>
        <v>262.92753758916865</v>
      </c>
      <c r="R39" s="19">
        <f>Q39*0.8</f>
        <v>210.34203007133493</v>
      </c>
      <c r="S39" s="19">
        <f>Q39/D39</f>
        <v>11.212261730881393</v>
      </c>
      <c r="T39" s="31">
        <f>$M39*$D39*100*T$13</f>
        <v>269.67499999999995</v>
      </c>
      <c r="U39" s="31">
        <f>$M39*$D39*100*U$13</f>
        <v>337.09374999999994</v>
      </c>
    </row>
    <row r="40" spans="1:22" x14ac:dyDescent="0.25">
      <c r="A40" s="20" t="s">
        <v>29</v>
      </c>
      <c r="B40" s="25" t="s">
        <v>6</v>
      </c>
      <c r="C40" s="42" t="s">
        <v>28</v>
      </c>
      <c r="D40" s="78">
        <v>-2.04</v>
      </c>
      <c r="E40" s="20"/>
      <c r="F40" s="20"/>
      <c r="G40" s="20"/>
      <c r="H40" s="20"/>
      <c r="I40" s="21"/>
      <c r="J40" s="34"/>
      <c r="K40" s="33"/>
      <c r="L40" s="33"/>
      <c r="M40" s="33"/>
      <c r="N40" s="71"/>
      <c r="O40" s="33"/>
      <c r="P40" s="31"/>
      <c r="Q40" s="19"/>
      <c r="R40" s="19"/>
      <c r="S40" s="19"/>
      <c r="T40" s="31"/>
      <c r="U40" s="31"/>
    </row>
    <row r="41" spans="1:22" x14ac:dyDescent="0.25">
      <c r="A41" s="20"/>
      <c r="B41" s="25"/>
      <c r="C41" s="42"/>
      <c r="D41" s="78"/>
      <c r="E41" s="20"/>
      <c r="F41" s="20"/>
      <c r="G41" s="20"/>
      <c r="H41" s="20"/>
      <c r="I41" s="20"/>
      <c r="J41" s="34"/>
      <c r="K41" s="33"/>
      <c r="L41" s="33"/>
      <c r="M41" s="33"/>
      <c r="N41" s="71"/>
      <c r="O41" s="33"/>
      <c r="P41" s="31"/>
      <c r="Q41" s="19"/>
      <c r="R41" s="19"/>
      <c r="S41" s="19"/>
      <c r="T41" s="31"/>
      <c r="U41" s="31"/>
    </row>
    <row r="42" spans="1:22" x14ac:dyDescent="0.25">
      <c r="A42" s="20" t="s">
        <v>45</v>
      </c>
      <c r="B42" s="25" t="s">
        <v>46</v>
      </c>
      <c r="C42" s="42" t="s">
        <v>46</v>
      </c>
      <c r="D42" s="81">
        <v>4.57</v>
      </c>
      <c r="E42" s="44"/>
      <c r="F42" s="44"/>
      <c r="G42" s="39">
        <v>0.12909999999999999</v>
      </c>
      <c r="H42" s="39">
        <v>0.23619999999999999</v>
      </c>
      <c r="I42" s="21">
        <f t="shared" ref="I42:I44" si="10">(G42+20%)/3*100</f>
        <v>10.97</v>
      </c>
      <c r="J42" s="36">
        <v>0.23350000000000001</v>
      </c>
      <c r="K42" s="37">
        <v>0.15509999999999999</v>
      </c>
      <c r="L42" s="33">
        <f>C$9</f>
        <v>0.18</v>
      </c>
      <c r="M42" s="33">
        <f>AVERAGE(MIN(MAX(J42,INDEX($B$1:$B$9,MATCH(B42,$A$1:$A$9,0))), INDEX($D$1:$D$9,MATCH(B42,$A$1:$A$9,0))), MIN(MAX(K42,INDEX($B$1:$B$9,MATCH(B42,$A$1:$A$9,0))), INDEX($D$1:$D$9,MATCH(B42,$A$1:$A$9,0))),MIN(MAX(L42,INDEX($B$1:$B$9,MATCH(B42,$A$1:$A$9,0))), INDEX($D$1:$D$9,MATCH(B42,$A$1:$A$9,0))),MIN(MAX(H42,INDEX($B$1:$B$9,MATCH(B42,$A$1:$A$9,0))), INDEX($D$1:$D$9,MATCH(B42,$A$1:$A$9,0))))</f>
        <v>0.20119999999999999</v>
      </c>
      <c r="N42" s="71"/>
      <c r="O42" s="33">
        <v>0.105</v>
      </c>
      <c r="P42" s="31">
        <f>Q42*1.2</f>
        <v>152.66959794712068</v>
      </c>
      <c r="Q42" s="19">
        <f t="shared" si="9"/>
        <v>127.2246649559339</v>
      </c>
      <c r="R42" s="19">
        <f>Q42*0.8</f>
        <v>101.77973196474713</v>
      </c>
      <c r="S42" s="19">
        <f>Q42/D42</f>
        <v>27.839095176353151</v>
      </c>
      <c r="T42" s="31">
        <f t="shared" ref="T42:U44" si="11">$M42*$D42*100*T$13</f>
        <v>91.948399999999992</v>
      </c>
      <c r="U42" s="31">
        <f t="shared" si="11"/>
        <v>114.93549999999999</v>
      </c>
    </row>
    <row r="43" spans="1:22" x14ac:dyDescent="0.25">
      <c r="A43" s="20" t="s">
        <v>44</v>
      </c>
      <c r="B43" s="25" t="s">
        <v>46</v>
      </c>
      <c r="C43" s="42" t="s">
        <v>46</v>
      </c>
      <c r="D43" s="81">
        <v>9.2100000000000009</v>
      </c>
      <c r="E43" s="44"/>
      <c r="F43" s="44"/>
      <c r="G43" s="39">
        <v>0.14829999999999999</v>
      </c>
      <c r="H43" s="39">
        <v>0.40970000000000001</v>
      </c>
      <c r="I43" s="21">
        <f t="shared" si="10"/>
        <v>11.61</v>
      </c>
      <c r="J43" s="36">
        <v>0.22539999999999999</v>
      </c>
      <c r="K43" s="37">
        <f>K42+5%</f>
        <v>0.2051</v>
      </c>
      <c r="L43" s="33">
        <f>C$9</f>
        <v>0.18</v>
      </c>
      <c r="M43" s="33">
        <f>AVERAGE(MIN(MAX(J43,INDEX($B$1:$B$9,MATCH(B43,$A$1:$A$9,0))), INDEX($D$1:$D$9,MATCH(B43,$A$1:$A$9,0))), MIN(MAX(K43,INDEX($B$1:$B$9,MATCH(B43,$A$1:$A$9,0))), INDEX($D$1:$D$9,MATCH(B43,$A$1:$A$9,0))),MIN(MAX(L43,INDEX($B$1:$B$9,MATCH(B43,$A$1:$A$9,0))), INDEX($D$1:$D$9,MATCH(B43,$A$1:$A$9,0))),MIN(MAX(H43,INDEX($B$1:$B$9,MATCH(B43,$A$1:$A$9,0))), INDEX($D$1:$D$9,MATCH(B43,$A$1:$A$9,0))))</f>
        <v>0.21512500000000001</v>
      </c>
      <c r="N43" s="71">
        <v>8.2000000000000007E-3</v>
      </c>
      <c r="O43" s="33">
        <v>0.14899999999999999</v>
      </c>
      <c r="P43" s="31">
        <f t="shared" ref="P43:P44" si="12">Q43*1.2</f>
        <v>394.97928102149689</v>
      </c>
      <c r="Q43" s="19">
        <f t="shared" si="9"/>
        <v>329.14940085124744</v>
      </c>
      <c r="R43" s="19">
        <f t="shared" ref="R43" si="13">Q43*0.8</f>
        <v>263.31952068099798</v>
      </c>
      <c r="S43" s="19">
        <f>Q43/D43</f>
        <v>35.738262850298305</v>
      </c>
      <c r="T43" s="31">
        <f t="shared" si="11"/>
        <v>198.13012500000002</v>
      </c>
      <c r="U43" s="31">
        <f t="shared" si="11"/>
        <v>247.66265625000003</v>
      </c>
    </row>
    <row r="44" spans="1:22" x14ac:dyDescent="0.25">
      <c r="A44" s="20" t="s">
        <v>43</v>
      </c>
      <c r="B44" s="25" t="s">
        <v>46</v>
      </c>
      <c r="C44" s="42" t="s">
        <v>46</v>
      </c>
      <c r="D44" s="81">
        <v>5.9</v>
      </c>
      <c r="E44" s="44"/>
      <c r="F44" s="44"/>
      <c r="G44" s="39">
        <v>0.19570000000000001</v>
      </c>
      <c r="H44" s="39">
        <v>1.4794</v>
      </c>
      <c r="I44" s="21">
        <f t="shared" si="10"/>
        <v>13.190000000000001</v>
      </c>
      <c r="J44" s="36">
        <v>0.21909999999999999</v>
      </c>
      <c r="K44" s="37">
        <v>8.1299999999999997E-2</v>
      </c>
      <c r="L44" s="33">
        <f>C$9</f>
        <v>0.18</v>
      </c>
      <c r="M44" s="33">
        <f>AVERAGE(MIN(MAX(J44,INDEX($B$1:$B$9,MATCH(B44,$A$1:$A$9,0))), INDEX($D$1:$D$9,MATCH(B44,$A$1:$A$9,0))), MIN(MAX(K44,INDEX($B$1:$B$9,MATCH(B44,$A$1:$A$9,0))), INDEX($D$1:$D$9,MATCH(B44,$A$1:$A$9,0))),MIN(MAX(L44,INDEX($B$1:$B$9,MATCH(B44,$A$1:$A$9,0))), INDEX($D$1:$D$9,MATCH(B44,$A$1:$A$9,0))),MIN(MAX(H44,INDEX($B$1:$B$9,MATCH(B44,$A$1:$A$9,0))), INDEX($D$1:$D$9,MATCH(B44,$A$1:$A$9,0))))</f>
        <v>0.19977499999999998</v>
      </c>
      <c r="N44" s="71">
        <v>5.4999999999999997E-3</v>
      </c>
      <c r="O44" s="33">
        <v>-2.3E-2</v>
      </c>
      <c r="P44" s="31">
        <f t="shared" si="12"/>
        <v>225.87618226300745</v>
      </c>
      <c r="Q44" s="19">
        <f t="shared" si="9"/>
        <v>188.23015188583955</v>
      </c>
      <c r="R44" s="19">
        <f>Q44*0.8</f>
        <v>150.58412150867164</v>
      </c>
      <c r="S44" s="19">
        <f>Q44/D44</f>
        <v>31.903415573871108</v>
      </c>
      <c r="T44" s="31">
        <f t="shared" si="11"/>
        <v>117.86725</v>
      </c>
      <c r="U44" s="31">
        <f t="shared" si="11"/>
        <v>147.33406249999999</v>
      </c>
    </row>
    <row r="45" spans="1:22" x14ac:dyDescent="0.25">
      <c r="A45" s="20"/>
      <c r="B45" s="25"/>
      <c r="C45" s="42"/>
      <c r="D45" s="81"/>
      <c r="E45" s="44"/>
      <c r="F45" s="44"/>
      <c r="G45" s="39"/>
      <c r="H45" s="39"/>
      <c r="I45" s="21"/>
      <c r="J45" s="36"/>
      <c r="K45" s="37"/>
      <c r="L45" s="33"/>
      <c r="M45" s="33"/>
      <c r="N45" s="71"/>
      <c r="O45" s="33"/>
      <c r="P45" s="31"/>
      <c r="Q45" s="19"/>
      <c r="R45" s="19"/>
      <c r="S45" s="19"/>
      <c r="T45" s="31"/>
      <c r="U45" s="19"/>
    </row>
    <row r="46" spans="1:22" x14ac:dyDescent="0.25">
      <c r="A46" s="20" t="s">
        <v>91</v>
      </c>
      <c r="B46" s="25" t="s">
        <v>46</v>
      </c>
      <c r="C46" s="42" t="s">
        <v>92</v>
      </c>
      <c r="D46" s="81">
        <f>99225/46520</f>
        <v>2.1329535683576957</v>
      </c>
      <c r="E46" s="44"/>
      <c r="F46" s="44"/>
      <c r="G46" s="39">
        <v>9.1600000000000001E-2</v>
      </c>
      <c r="H46" s="39">
        <v>0.19589999999999999</v>
      </c>
      <c r="I46" s="21">
        <f>(G46+20%)/3*100</f>
        <v>9.7200000000000006</v>
      </c>
      <c r="J46" s="36">
        <v>0.3589</v>
      </c>
      <c r="K46" s="37">
        <v>0.15</v>
      </c>
      <c r="L46" s="33">
        <v>0.15</v>
      </c>
      <c r="M46" s="33">
        <f>AVERAGE(MIN(MAX(J46,INDEX($B$1:$B$9,MATCH(B46,$A$1:$A$9,0))), INDEX($D$1:$D$9,MATCH(B46,$A$1:$A$9,0))), MIN(MAX(K46,INDEX($B$1:$B$9,MATCH(B46,$A$1:$A$9,0))), INDEX($D$1:$D$9,MATCH(B46,$A$1:$A$9,0))),MIN(MAX(L46,INDEX($B$1:$B$9,MATCH(B46,$A$1:$A$9,0))), INDEX($D$1:$D$9,MATCH(B46,$A$1:$A$9,0))),MIN(MAX(H46,INDEX($B$1:$B$9,MATCH(B46,$A$1:$A$9,0))), INDEX($D$1:$D$9,MATCH(B46,$A$1:$A$9,0))))</f>
        <v>0.186475</v>
      </c>
      <c r="N46" s="71"/>
      <c r="O46" s="33">
        <v>0.184</v>
      </c>
      <c r="P46" s="31">
        <f t="shared" ref="P46" si="14">Q46*1.2</f>
        <v>57.90427340651209</v>
      </c>
      <c r="Q46" s="19">
        <f>D46*(M46+1)^10*(20+G46*100)/3/1.1^10*(1+O46*IF(O46&gt;0,$Q$10/12,1))</f>
        <v>48.253561172093413</v>
      </c>
      <c r="R46" s="19">
        <f>Q46*0.8</f>
        <v>38.602848937674736</v>
      </c>
      <c r="S46" s="19">
        <f>Q46/D46</f>
        <v>22.622884008322352</v>
      </c>
      <c r="T46" s="31">
        <f>$M46*$D46*100*T$13</f>
        <v>39.774251665950125</v>
      </c>
      <c r="U46" s="31">
        <f>$M46*$D46*100*U$13</f>
        <v>49.717814582437654</v>
      </c>
    </row>
    <row r="47" spans="1:22" x14ac:dyDescent="0.25">
      <c r="A47" s="20"/>
      <c r="B47" s="25"/>
      <c r="C47" s="42"/>
      <c r="D47" s="78"/>
      <c r="E47" s="20"/>
      <c r="F47" s="20"/>
      <c r="G47" s="20"/>
      <c r="H47" s="20"/>
      <c r="I47" s="20"/>
      <c r="J47" s="34"/>
      <c r="K47" s="33"/>
      <c r="L47" s="33"/>
      <c r="M47" s="33"/>
      <c r="N47" s="71"/>
      <c r="O47" s="33"/>
      <c r="P47" s="31"/>
      <c r="Q47" s="19"/>
      <c r="R47" s="19"/>
      <c r="S47" s="19"/>
      <c r="T47" s="31"/>
      <c r="U47" s="19"/>
    </row>
    <row r="48" spans="1:22" x14ac:dyDescent="0.25">
      <c r="A48" s="20" t="s">
        <v>89</v>
      </c>
      <c r="B48" s="25" t="s">
        <v>90</v>
      </c>
      <c r="C48" s="42" t="str">
        <f>B48</f>
        <v>entertainment</v>
      </c>
      <c r="D48" s="81">
        <v>3.53</v>
      </c>
      <c r="E48" s="44"/>
      <c r="F48" s="44"/>
      <c r="G48" s="39">
        <v>0.19570000000000001</v>
      </c>
      <c r="H48" s="39">
        <v>1.4794</v>
      </c>
      <c r="I48" s="21">
        <f t="shared" ref="I48" si="15">(G48+20%)/3*100</f>
        <v>13.190000000000001</v>
      </c>
      <c r="J48" s="36">
        <v>0.21909999999999999</v>
      </c>
      <c r="K48" s="37">
        <v>8.1299999999999997E-2</v>
      </c>
      <c r="L48" s="33">
        <f>C$9</f>
        <v>0.18</v>
      </c>
      <c r="M48" s="33">
        <f>AVERAGE(MIN(MAX(J48,INDEX($B$1:$B$10,MATCH(B48,$A$1:$A$10,0))), INDEX($D$1:$D$10,MATCH(B48,$A$1:$A$10,0))), MIN(MAX(K48,INDEX($B$1:$B$10,MATCH(B48,$A$1:$A$10,0))), INDEX($D$1:$D$10,MATCH(B48,$A$1:$A$10,0))),MIN(MAX(L48,INDEX($B$1:$B$10,MATCH(B48,$A$1:$A$10,0))), INDEX($D$1:$D$10,MATCH(B48,$A$1:$A$10,0))),MIN(MAX(H48,INDEX($B$1:$B$10,MATCH(B48,$A$1:$A$10,0))), INDEX($D$1:$D$10,MATCH(B48,$A$1:$A$10,0))))</f>
        <v>0.1825</v>
      </c>
      <c r="N48" s="71"/>
      <c r="O48" s="33">
        <v>-2.3E-2</v>
      </c>
      <c r="P48" s="31">
        <f t="shared" ref="P48" si="16">Q48*1.2</f>
        <v>112.50710591350011</v>
      </c>
      <c r="Q48" s="19">
        <f>D48*(M48+1)^10*(20+G48*100)/3/1.1^10*(1+O48*IF(O48&gt;0,$Q$10/12,1))</f>
        <v>93.755921594583427</v>
      </c>
      <c r="R48" s="19">
        <f>Q48*0.8</f>
        <v>75.004737275666741</v>
      </c>
      <c r="S48" s="19">
        <f>Q48/D48</f>
        <v>26.559751159938649</v>
      </c>
      <c r="T48" s="31">
        <f>$M48*$D48*100*T$13</f>
        <v>64.422499999999999</v>
      </c>
      <c r="U48" s="31">
        <f>$M48*$D48*100*U$13</f>
        <v>80.528125000000003</v>
      </c>
    </row>
    <row r="49" spans="1:21" x14ac:dyDescent="0.25">
      <c r="A49" s="20"/>
      <c r="B49" s="25"/>
      <c r="C49" s="42"/>
      <c r="D49" s="78"/>
      <c r="E49" s="20"/>
      <c r="F49" s="20"/>
      <c r="G49" s="20"/>
      <c r="H49" s="20"/>
      <c r="I49" s="20"/>
      <c r="J49" s="34"/>
      <c r="K49" s="33"/>
      <c r="L49" s="33"/>
      <c r="M49" s="33"/>
      <c r="N49" s="71"/>
      <c r="O49" s="33"/>
      <c r="P49" s="31"/>
      <c r="Q49" s="19"/>
      <c r="R49" s="19"/>
      <c r="S49" s="19"/>
      <c r="T49" s="31"/>
      <c r="U49" s="19"/>
    </row>
    <row r="50" spans="1:21" x14ac:dyDescent="0.25">
      <c r="A50" s="20"/>
      <c r="B50" s="25"/>
      <c r="C50" s="42"/>
      <c r="D50" s="78"/>
      <c r="E50" s="20"/>
      <c r="F50" s="20"/>
      <c r="G50" s="20"/>
      <c r="H50" s="20"/>
      <c r="I50" s="20"/>
      <c r="J50" s="25"/>
      <c r="K50" s="20"/>
      <c r="L50" s="20"/>
      <c r="M50" s="20"/>
      <c r="N50" s="71"/>
      <c r="O50" s="20"/>
      <c r="P50" s="31"/>
      <c r="Q50" s="19"/>
      <c r="R50" s="19"/>
      <c r="S50" s="19"/>
      <c r="T50" s="31"/>
      <c r="U50" s="19"/>
    </row>
    <row r="51" spans="1:21" x14ac:dyDescent="0.25">
      <c r="A51" s="20" t="s">
        <v>58</v>
      </c>
      <c r="B51" s="25"/>
      <c r="C51" s="42"/>
      <c r="D51" s="78"/>
      <c r="E51" s="20"/>
      <c r="F51" s="20"/>
      <c r="G51" s="20"/>
      <c r="H51" s="20"/>
      <c r="I51" s="20"/>
      <c r="J51" s="25"/>
      <c r="K51" s="20"/>
      <c r="L51" s="20"/>
      <c r="M51" s="20"/>
      <c r="N51" s="71"/>
      <c r="O51" s="20"/>
      <c r="P51" s="31"/>
      <c r="Q51" s="19"/>
      <c r="R51" s="19"/>
      <c r="S51" s="19"/>
      <c r="T51" s="31"/>
      <c r="U51" s="19"/>
    </row>
    <row r="52" spans="1:21" x14ac:dyDescent="0.25">
      <c r="A52" s="20" t="s">
        <v>59</v>
      </c>
      <c r="B52" s="25" t="str">
        <f>A5</f>
        <v>renewable</v>
      </c>
      <c r="C52" s="42"/>
      <c r="D52" s="78">
        <v>0.18</v>
      </c>
      <c r="E52" s="20"/>
      <c r="F52" s="20"/>
      <c r="G52" s="38">
        <v>4.2000000000000003E-2</v>
      </c>
      <c r="H52" s="38">
        <v>9.1300000000000006E-2</v>
      </c>
      <c r="I52" s="21">
        <f t="shared" ref="I52:I53" si="17">(G52+20%)/3*100</f>
        <v>8.0666666666666682</v>
      </c>
      <c r="J52" s="45">
        <v>0.1236</v>
      </c>
      <c r="K52" s="38">
        <f>J52</f>
        <v>0.1236</v>
      </c>
      <c r="L52" s="47">
        <f>C5</f>
        <v>0.12219210348430821</v>
      </c>
      <c r="M52" s="33">
        <f>AVERAGE(MIN(MAX(J52,INDEX($B$1:$B$9,MATCH(B52,$A$1:$A$9,0))), INDEX($D$1:$D$9,MATCH(B52,$A$1:$A$9,0))), MIN(MAX(K52,INDEX($B$1:$B$9,MATCH(B52,$A$1:$A$9,0))), INDEX($D$1:$D$9,MATCH(B52,$A$1:$A$9,0))),MIN(MAX(L52,INDEX($B$1:$B$9,MATCH(B52,$A$1:$A$9,0))), INDEX($D$1:$D$9,MATCH(B52,$A$1:$A$9,0))),MIN(MAX(H52,INDEX($B$1:$B$9,MATCH(B52,$A$1:$A$9,0))), INDEX($D$1:$D$9,MATCH(B52,$A$1:$A$9,0))))</f>
        <v>0.12234802587107706</v>
      </c>
      <c r="N52" s="71"/>
      <c r="O52" s="38">
        <v>5.3999999999999999E-2</v>
      </c>
      <c r="P52" s="31">
        <f t="shared" ref="P52" si="18">Q52*1.2</f>
        <v>2.1880987826265565</v>
      </c>
      <c r="Q52" s="19">
        <f>D52*(M52+1)^10*(20+G52*100)/3/1.1^10*(1+O52*IF(O52&gt;0,$Q$10/12,1))</f>
        <v>1.8234156521887972</v>
      </c>
      <c r="R52" s="19">
        <f>Q52*0.8</f>
        <v>1.4587325217510378</v>
      </c>
      <c r="S52" s="19">
        <f>Q52/D52</f>
        <v>10.13008695660443</v>
      </c>
      <c r="T52" s="31">
        <f>$M52*$D52*100*T$13</f>
        <v>2.2022644656793871</v>
      </c>
      <c r="U52" s="31">
        <f>$M52*$D52*100*U$13</f>
        <v>2.752830582099234</v>
      </c>
    </row>
    <row r="53" spans="1:21" x14ac:dyDescent="0.25">
      <c r="A53" s="20" t="s">
        <v>61</v>
      </c>
      <c r="B53" s="25" t="str">
        <f>B52</f>
        <v>renewable</v>
      </c>
      <c r="C53" s="42"/>
      <c r="D53" s="78">
        <f>0.169/0.5</f>
        <v>0.33800000000000002</v>
      </c>
      <c r="E53" s="20"/>
      <c r="F53" s="20"/>
      <c r="G53" s="38">
        <v>3.27E-2</v>
      </c>
      <c r="H53" s="38">
        <v>5.7799999999999997E-2</v>
      </c>
      <c r="I53" s="21">
        <f t="shared" si="17"/>
        <v>7.7566666666666677</v>
      </c>
      <c r="J53" s="45">
        <v>9.35E-2</v>
      </c>
      <c r="K53" s="33">
        <f>J53</f>
        <v>9.35E-2</v>
      </c>
      <c r="L53" s="47">
        <f>L52</f>
        <v>0.12219210348430821</v>
      </c>
      <c r="M53" s="33">
        <f>AVERAGE(MIN(MAX(J53,INDEX($B$1:$B$9,MATCH(B53,$A$1:$A$9,0))), INDEX($D$1:$D$9,MATCH(B53,$A$1:$A$9,0))), MIN(MAX(K53,INDEX($B$1:$B$9,MATCH(B53,$A$1:$A$9,0))), INDEX($D$1:$D$9,MATCH(B53,$A$1:$A$9,0))),MIN(MAX(L53,INDEX($B$1:$B$9,MATCH(B53,$A$1:$A$9,0))), INDEX($D$1:$D$9,MATCH(B53,$A$1:$A$9,0))),MIN(MAX(H53,INDEX($B$1:$B$9,MATCH(B53,$A$1:$A$9,0))), INDEX($D$1:$D$9,MATCH(B53,$A$1:$A$9,0))))</f>
        <v>0.12054802587107705</v>
      </c>
      <c r="N53" s="71"/>
      <c r="O53" s="38">
        <v>5.3999999999999999E-2</v>
      </c>
      <c r="P53" s="31">
        <f t="shared" ref="P53" si="19">Q53*1.2</f>
        <v>3.8879566596376991</v>
      </c>
      <c r="Q53" s="19">
        <f>D53*(M53+1)^10*(20+G53*100)/3/1.1^10*(1+O53*IF(O53&gt;0,$Q$10/12,1))</f>
        <v>3.2399638830314159</v>
      </c>
      <c r="R53" s="19">
        <f>Q53*0.8</f>
        <v>2.5919711064251327</v>
      </c>
      <c r="S53" s="19">
        <f>Q53/D53</f>
        <v>9.585691961631408</v>
      </c>
      <c r="T53" s="31">
        <f>$M53*$D53*100*T$13</f>
        <v>4.074523274442404</v>
      </c>
      <c r="U53" s="31">
        <f>$M53*$D53*100*U$13</f>
        <v>5.0931540930530055</v>
      </c>
    </row>
    <row r="54" spans="1:21" x14ac:dyDescent="0.25">
      <c r="J54" s="1"/>
      <c r="N54" s="72"/>
      <c r="P54" s="2"/>
      <c r="T54" s="31"/>
      <c r="U54" s="31"/>
    </row>
    <row r="55" spans="1:21" x14ac:dyDescent="0.25">
      <c r="J55" s="1"/>
      <c r="N55" s="72"/>
      <c r="P55" s="2"/>
    </row>
    <row r="56" spans="1:21" x14ac:dyDescent="0.25">
      <c r="J56" s="1"/>
      <c r="N56" s="72"/>
      <c r="P56" s="2"/>
    </row>
    <row r="57" spans="1:21" x14ac:dyDescent="0.25">
      <c r="J57" s="1"/>
      <c r="N57" s="72"/>
      <c r="P57" s="2"/>
    </row>
    <row r="58" spans="1:21" x14ac:dyDescent="0.25">
      <c r="J58" s="1"/>
      <c r="N58" s="72"/>
      <c r="P58" s="2"/>
    </row>
    <row r="59" spans="1:21" x14ac:dyDescent="0.25">
      <c r="J59" s="1"/>
      <c r="N59" s="72"/>
      <c r="P59" s="2"/>
    </row>
    <row r="60" spans="1:21" x14ac:dyDescent="0.25">
      <c r="J60" s="1"/>
      <c r="N60" s="72"/>
      <c r="P60" s="2"/>
    </row>
    <row r="61" spans="1:21" x14ac:dyDescent="0.25">
      <c r="J61" s="1"/>
      <c r="N61" s="72"/>
      <c r="P61" s="2"/>
    </row>
    <row r="62" spans="1:21" x14ac:dyDescent="0.25">
      <c r="J62" s="1"/>
      <c r="N62" s="72"/>
      <c r="P62" s="2"/>
    </row>
    <row r="63" spans="1:21" x14ac:dyDescent="0.25">
      <c r="J63" s="1"/>
      <c r="N63" s="72"/>
      <c r="P63" s="2"/>
    </row>
    <row r="64" spans="1:21" x14ac:dyDescent="0.25">
      <c r="J64" s="1"/>
      <c r="N64" s="72"/>
      <c r="P64" s="2"/>
    </row>
    <row r="65" spans="10:16" x14ac:dyDescent="0.25">
      <c r="J65" s="1"/>
      <c r="N65" s="72"/>
      <c r="P65" s="2"/>
    </row>
    <row r="66" spans="10:16" x14ac:dyDescent="0.25">
      <c r="J66" s="1"/>
      <c r="N66" s="72"/>
      <c r="P66" s="2"/>
    </row>
    <row r="67" spans="10:16" x14ac:dyDescent="0.25">
      <c r="J67" s="1"/>
      <c r="N67" s="72"/>
      <c r="P67" s="2"/>
    </row>
    <row r="68" spans="10:16" x14ac:dyDescent="0.25">
      <c r="J68" s="1"/>
      <c r="N68" s="72"/>
      <c r="P68" s="2"/>
    </row>
    <row r="69" spans="10:16" x14ac:dyDescent="0.25">
      <c r="J69" s="1"/>
      <c r="N69" s="72"/>
      <c r="P69" s="2"/>
    </row>
    <row r="70" spans="10:16" x14ac:dyDescent="0.25">
      <c r="J70" s="1"/>
      <c r="N70" s="72"/>
      <c r="P70" s="2"/>
    </row>
    <row r="71" spans="10:16" x14ac:dyDescent="0.25">
      <c r="J71" s="1"/>
      <c r="N71" s="72"/>
      <c r="P71" s="2"/>
    </row>
    <row r="72" spans="10:16" x14ac:dyDescent="0.25">
      <c r="J72" s="1"/>
      <c r="N72" s="72"/>
      <c r="P72" s="2"/>
    </row>
    <row r="73" spans="10:16" x14ac:dyDescent="0.25">
      <c r="J73" s="1"/>
      <c r="N73" s="72"/>
      <c r="P73" s="2"/>
    </row>
    <row r="74" spans="10:16" x14ac:dyDescent="0.25">
      <c r="J74" s="1"/>
      <c r="N74" s="72"/>
      <c r="P74" s="2"/>
    </row>
    <row r="75" spans="10:16" x14ac:dyDescent="0.25">
      <c r="J75" s="1"/>
      <c r="N75" s="72"/>
      <c r="P75" s="2"/>
    </row>
    <row r="76" spans="10:16" x14ac:dyDescent="0.25">
      <c r="J76" s="1"/>
      <c r="N76" s="72"/>
      <c r="P76" s="2"/>
    </row>
    <row r="77" spans="10:16" x14ac:dyDescent="0.25">
      <c r="J77" s="1"/>
      <c r="N77" s="72"/>
      <c r="P77" s="2"/>
    </row>
    <row r="78" spans="10:16" x14ac:dyDescent="0.25">
      <c r="J78" s="1"/>
      <c r="N78" s="72"/>
      <c r="P78" s="2"/>
    </row>
    <row r="79" spans="10:16" x14ac:dyDescent="0.25">
      <c r="J79" s="1"/>
      <c r="N79" s="72"/>
      <c r="P79" s="2"/>
    </row>
    <row r="80" spans="10:16" x14ac:dyDescent="0.25">
      <c r="J80" s="1"/>
      <c r="N80" s="72"/>
      <c r="P80" s="2"/>
    </row>
    <row r="81" spans="10:16" x14ac:dyDescent="0.25">
      <c r="J81" s="1"/>
      <c r="N81" s="72"/>
      <c r="P81" s="2"/>
    </row>
    <row r="82" spans="10:16" x14ac:dyDescent="0.25">
      <c r="J82" s="1"/>
      <c r="P82" s="2"/>
    </row>
    <row r="83" spans="10:16" x14ac:dyDescent="0.25">
      <c r="J83" s="1"/>
      <c r="P83" s="2"/>
    </row>
    <row r="84" spans="10:16" x14ac:dyDescent="0.25">
      <c r="J84" s="1"/>
      <c r="P84" s="2"/>
    </row>
    <row r="85" spans="10:16" x14ac:dyDescent="0.25">
      <c r="J85" s="1"/>
      <c r="P85" s="2"/>
    </row>
    <row r="86" spans="10:16" x14ac:dyDescent="0.25">
      <c r="J86" s="1"/>
      <c r="P86" s="2"/>
    </row>
    <row r="87" spans="10:16" x14ac:dyDescent="0.25">
      <c r="J87" s="1"/>
      <c r="P87" s="2"/>
    </row>
    <row r="88" spans="10:16" x14ac:dyDescent="0.25">
      <c r="J88" s="1"/>
      <c r="P88" s="2"/>
    </row>
    <row r="89" spans="10:16" x14ac:dyDescent="0.25">
      <c r="J89" s="1"/>
      <c r="P89" s="2"/>
    </row>
    <row r="90" spans="10:16" x14ac:dyDescent="0.25">
      <c r="J90" s="1"/>
      <c r="P90" s="2"/>
    </row>
    <row r="91" spans="10:16" x14ac:dyDescent="0.25">
      <c r="J91" s="1"/>
      <c r="P91" s="2"/>
    </row>
    <row r="92" spans="10:16" x14ac:dyDescent="0.25">
      <c r="J92" s="1"/>
      <c r="P92" s="2"/>
    </row>
    <row r="93" spans="10:16" x14ac:dyDescent="0.25">
      <c r="J93" s="1"/>
      <c r="P93" s="2"/>
    </row>
    <row r="94" spans="10:16" x14ac:dyDescent="0.25">
      <c r="J94" s="1"/>
      <c r="P94" s="2"/>
    </row>
    <row r="95" spans="10:16" x14ac:dyDescent="0.25">
      <c r="J95" s="1"/>
      <c r="P95" s="2"/>
    </row>
    <row r="96" spans="10:16" x14ac:dyDescent="0.25">
      <c r="J96" s="1"/>
      <c r="P96" s="2"/>
    </row>
    <row r="97" spans="10:16" x14ac:dyDescent="0.25">
      <c r="J97" s="1"/>
      <c r="P97" s="2"/>
    </row>
    <row r="98" spans="10:16" x14ac:dyDescent="0.25">
      <c r="J98" s="1"/>
      <c r="P98" s="2"/>
    </row>
    <row r="99" spans="10:16" x14ac:dyDescent="0.25">
      <c r="J99" s="1"/>
      <c r="P99" s="2"/>
    </row>
    <row r="100" spans="10:16" x14ac:dyDescent="0.25">
      <c r="J100" s="1"/>
      <c r="P100" s="2"/>
    </row>
    <row r="101" spans="10:16" x14ac:dyDescent="0.25">
      <c r="J101" s="1"/>
      <c r="P101" s="2"/>
    </row>
    <row r="102" spans="10:16" x14ac:dyDescent="0.25">
      <c r="J102" s="1"/>
      <c r="P102" s="2"/>
    </row>
    <row r="103" spans="10:16" x14ac:dyDescent="0.25">
      <c r="J103" s="1"/>
      <c r="P103" s="2"/>
    </row>
    <row r="104" spans="10:16" x14ac:dyDescent="0.25">
      <c r="J104" s="1"/>
      <c r="P104" s="2"/>
    </row>
    <row r="105" spans="10:16" x14ac:dyDescent="0.25">
      <c r="J105" s="1"/>
      <c r="P105" s="2"/>
    </row>
    <row r="106" spans="10:16" x14ac:dyDescent="0.25">
      <c r="J106" s="1"/>
      <c r="P106" s="2"/>
    </row>
    <row r="107" spans="10:16" x14ac:dyDescent="0.25">
      <c r="J107" s="1"/>
      <c r="P107" s="2"/>
    </row>
    <row r="108" spans="10:16" x14ac:dyDescent="0.25">
      <c r="J108" s="1"/>
      <c r="P108" s="2"/>
    </row>
    <row r="109" spans="10:16" x14ac:dyDescent="0.25">
      <c r="J109" s="1"/>
      <c r="P109" s="2"/>
    </row>
  </sheetData>
  <mergeCells count="4">
    <mergeCell ref="J12:O12"/>
    <mergeCell ref="D12:H12"/>
    <mergeCell ref="B12:C12"/>
    <mergeCell ref="P12:S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0C61-7D37-48BC-B308-328CF888A39C}">
  <dimension ref="A1:L9"/>
  <sheetViews>
    <sheetView workbookViewId="0">
      <selection activeCell="A6" sqref="A6"/>
    </sheetView>
  </sheetViews>
  <sheetFormatPr defaultRowHeight="18.75" x14ac:dyDescent="0.3"/>
  <cols>
    <col min="1" max="14" width="15.7109375" style="59" customWidth="1"/>
    <col min="15" max="16384" width="9.140625" style="59"/>
  </cols>
  <sheetData>
    <row r="1" spans="1:12" x14ac:dyDescent="0.3">
      <c r="A1" s="59" t="s">
        <v>98</v>
      </c>
      <c r="B1" s="63">
        <v>0.1</v>
      </c>
    </row>
    <row r="2" spans="1:12" x14ac:dyDescent="0.3">
      <c r="A2" s="59" t="s">
        <v>39</v>
      </c>
      <c r="B2" s="63">
        <v>0.2</v>
      </c>
    </row>
    <row r="3" spans="1:12" x14ac:dyDescent="0.3">
      <c r="A3" s="59" t="s">
        <v>101</v>
      </c>
      <c r="B3" s="63">
        <v>0</v>
      </c>
    </row>
    <row r="5" spans="1:12" ht="19.5" customHeight="1" x14ac:dyDescent="0.3">
      <c r="B5" s="59" t="s">
        <v>7</v>
      </c>
      <c r="C5" s="59" t="s">
        <v>94</v>
      </c>
      <c r="D5" s="59" t="s">
        <v>95</v>
      </c>
      <c r="E5" s="59" t="s">
        <v>8</v>
      </c>
      <c r="F5" s="59" t="s">
        <v>9</v>
      </c>
      <c r="G5" s="59" t="s">
        <v>0</v>
      </c>
      <c r="H5" s="59" t="s">
        <v>96</v>
      </c>
      <c r="J5" s="59" t="s">
        <v>97</v>
      </c>
      <c r="K5" s="67" t="s">
        <v>104</v>
      </c>
    </row>
    <row r="6" spans="1:12" x14ac:dyDescent="0.3">
      <c r="A6" s="59" t="s">
        <v>93</v>
      </c>
      <c r="B6" s="59">
        <v>2.54</v>
      </c>
      <c r="C6" s="59">
        <v>1.96</v>
      </c>
      <c r="D6" s="60">
        <f>C6/B6</f>
        <v>0.77165354330708658</v>
      </c>
      <c r="E6" s="61">
        <v>5.96E-2</v>
      </c>
      <c r="F6" s="62">
        <v>0.20899999999999999</v>
      </c>
      <c r="G6" s="61">
        <f>(1-D6)*MIN($B$2,F6)</f>
        <v>4.566929133858269E-2</v>
      </c>
      <c r="H6" s="62">
        <v>3.5000000000000003E-2</v>
      </c>
      <c r="J6" s="64">
        <f>C6/($B$1-MAX(MIN(G6:H6),$B$3))</f>
        <v>30.153846153846153</v>
      </c>
      <c r="K6" s="64">
        <f>J6*(1-10%)</f>
        <v>27.138461538461538</v>
      </c>
    </row>
    <row r="7" spans="1:12" x14ac:dyDescent="0.3">
      <c r="A7" s="59" t="s">
        <v>99</v>
      </c>
      <c r="B7" s="59">
        <v>1.34</v>
      </c>
      <c r="C7" s="59">
        <v>1.23</v>
      </c>
      <c r="D7" s="60">
        <f>C7/B7</f>
        <v>0.91791044776119401</v>
      </c>
      <c r="E7" s="62">
        <v>4.7E-2</v>
      </c>
      <c r="F7" s="62">
        <v>0.14219999999999999</v>
      </c>
      <c r="G7" s="61">
        <f t="shared" ref="G7:G8" si="0">(1-D7)*MIN($B$2,F7)</f>
        <v>1.167313432835821E-2</v>
      </c>
      <c r="H7" s="62">
        <v>-1.1000000000000001E-3</v>
      </c>
      <c r="J7" s="64">
        <f t="shared" ref="J7:J9" si="1">C7/($B$1-MAX(MIN(G7:H7),$B$3))</f>
        <v>12.299999999999999</v>
      </c>
      <c r="K7" s="64">
        <f t="shared" ref="K7:K9" si="2">J7*(1-10%)</f>
        <v>11.069999999999999</v>
      </c>
    </row>
    <row r="8" spans="1:12" x14ac:dyDescent="0.3">
      <c r="A8" s="59" t="s">
        <v>100</v>
      </c>
      <c r="B8" s="59">
        <v>4.68</v>
      </c>
      <c r="C8" s="59">
        <v>4.1900000000000004</v>
      </c>
      <c r="D8" s="60">
        <f>C8/B8</f>
        <v>0.89529914529914545</v>
      </c>
      <c r="E8" s="62">
        <v>8.5199999999999998E-2</v>
      </c>
      <c r="F8" s="62">
        <v>0.55740000000000001</v>
      </c>
      <c r="G8" s="61">
        <f t="shared" si="0"/>
        <v>2.0940170940170911E-2</v>
      </c>
      <c r="H8" s="62">
        <v>-5.7999999999999996E-3</v>
      </c>
      <c r="J8" s="64">
        <f t="shared" si="1"/>
        <v>41.9</v>
      </c>
      <c r="K8" s="64">
        <f t="shared" si="2"/>
        <v>37.71</v>
      </c>
      <c r="L8" s="65"/>
    </row>
    <row r="9" spans="1:12" x14ac:dyDescent="0.3">
      <c r="A9" s="59" t="s">
        <v>102</v>
      </c>
      <c r="B9" s="59">
        <v>5.31</v>
      </c>
      <c r="C9" s="59">
        <v>3.82</v>
      </c>
      <c r="D9" s="60">
        <f>C9/B9</f>
        <v>0.71939736346516014</v>
      </c>
      <c r="E9" s="62">
        <v>9.1499999999999998E-2</v>
      </c>
      <c r="F9" s="62">
        <v>0.36270000000000002</v>
      </c>
      <c r="G9" s="61">
        <f>(1-D9)*MIN($B$2,F9)</f>
        <v>5.6120527306967975E-2</v>
      </c>
      <c r="H9" s="62">
        <v>8.8999999999999996E-2</v>
      </c>
      <c r="J9" s="64">
        <f t="shared" si="1"/>
        <v>87.056652360514988</v>
      </c>
      <c r="K9" s="64">
        <f t="shared" si="2"/>
        <v>78.350987124463487</v>
      </c>
      <c r="L9" s="66">
        <f>(J8-25)*1.5</f>
        <v>25.349999999999998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DE68-13FE-4E9D-A8FF-448E0F47E9C6}">
  <dimension ref="A1:U16"/>
  <sheetViews>
    <sheetView topLeftCell="G1" workbookViewId="0">
      <selection activeCell="O10" sqref="O10"/>
    </sheetView>
  </sheetViews>
  <sheetFormatPr defaultRowHeight="15" x14ac:dyDescent="0.25"/>
  <cols>
    <col min="1" max="1" width="16.7109375" bestFit="1" customWidth="1"/>
    <col min="7" max="7" width="14.7109375" style="51" bestFit="1" customWidth="1"/>
    <col min="9" max="9" width="9.140625" customWidth="1"/>
    <col min="15" max="15" width="8.140625" bestFit="1" customWidth="1"/>
  </cols>
  <sheetData>
    <row r="1" spans="1:21" ht="15.75" x14ac:dyDescent="0.25">
      <c r="A1" t="s">
        <v>66</v>
      </c>
      <c r="B1" s="5"/>
      <c r="C1" s="5"/>
      <c r="D1" s="5"/>
      <c r="E1" s="5"/>
      <c r="F1" s="5"/>
      <c r="G1" s="22" t="s">
        <v>1</v>
      </c>
      <c r="H1" s="5"/>
      <c r="I1" s="5"/>
      <c r="K1" t="s">
        <v>71</v>
      </c>
      <c r="Q1" t="s">
        <v>74</v>
      </c>
    </row>
    <row r="2" spans="1:21" ht="15.75" x14ac:dyDescent="0.25">
      <c r="A2" s="8" t="s">
        <v>1</v>
      </c>
      <c r="B2" s="3"/>
      <c r="C2" s="3"/>
      <c r="D2" s="1"/>
      <c r="E2" s="1"/>
      <c r="F2" s="1"/>
      <c r="G2" s="23"/>
      <c r="H2" s="1"/>
      <c r="I2" s="4"/>
      <c r="M2" t="s">
        <v>83</v>
      </c>
      <c r="N2" t="s">
        <v>0</v>
      </c>
      <c r="O2" t="s">
        <v>82</v>
      </c>
      <c r="S2" t="s">
        <v>83</v>
      </c>
      <c r="T2" t="s">
        <v>0</v>
      </c>
      <c r="U2" t="s">
        <v>82</v>
      </c>
    </row>
    <row r="3" spans="1:21" ht="15.75" x14ac:dyDescent="0.25">
      <c r="A3" s="8" t="s">
        <v>3</v>
      </c>
      <c r="B3" s="3"/>
      <c r="C3" s="3" t="s">
        <v>73</v>
      </c>
      <c r="D3" s="3">
        <v>0.01</v>
      </c>
      <c r="G3" s="51" t="s">
        <v>67</v>
      </c>
      <c r="H3" s="52" t="s">
        <v>69</v>
      </c>
      <c r="I3" s="53">
        <f>D3</f>
        <v>0.01</v>
      </c>
      <c r="K3" t="s">
        <v>72</v>
      </c>
      <c r="L3">
        <v>2022</v>
      </c>
      <c r="M3">
        <f>N3+O3*M$12</f>
        <v>20.100000000000001</v>
      </c>
      <c r="N3">
        <v>13</v>
      </c>
      <c r="O3" s="1">
        <v>142</v>
      </c>
      <c r="Q3" t="s">
        <v>72</v>
      </c>
      <c r="R3">
        <v>2022</v>
      </c>
      <c r="S3">
        <f>T3+U3*S$12</f>
        <v>1.52</v>
      </c>
      <c r="T3">
        <v>1</v>
      </c>
      <c r="U3" s="1">
        <v>5.2</v>
      </c>
    </row>
    <row r="4" spans="1:21" ht="15.75" x14ac:dyDescent="0.25">
      <c r="A4" s="8" t="s">
        <v>65</v>
      </c>
      <c r="B4" s="3"/>
      <c r="C4" s="3"/>
      <c r="D4" s="1"/>
      <c r="G4" s="51" t="s">
        <v>68</v>
      </c>
      <c r="H4">
        <v>2022</v>
      </c>
      <c r="I4" s="53">
        <v>0.1</v>
      </c>
      <c r="L4">
        <v>2032</v>
      </c>
      <c r="M4">
        <f>N4+O4*M$12</f>
        <v>72.7</v>
      </c>
      <c r="N4">
        <f>(518-284)/5</f>
        <v>46.8</v>
      </c>
      <c r="O4" s="23">
        <v>518</v>
      </c>
      <c r="P4" s="1"/>
      <c r="R4">
        <v>2032</v>
      </c>
      <c r="S4">
        <f>T4+U4*S$12</f>
        <v>1.31</v>
      </c>
      <c r="T4">
        <v>0.4</v>
      </c>
      <c r="U4" s="23">
        <v>9.1</v>
      </c>
    </row>
    <row r="5" spans="1:21" ht="15.75" x14ac:dyDescent="0.25">
      <c r="A5" s="8" t="s">
        <v>60</v>
      </c>
      <c r="H5">
        <v>2032</v>
      </c>
      <c r="I5" s="53">
        <v>0.8</v>
      </c>
      <c r="P5" s="1"/>
    </row>
    <row r="6" spans="1:21" ht="15.75" x14ac:dyDescent="0.25">
      <c r="A6" s="8" t="s">
        <v>51</v>
      </c>
      <c r="C6" t="s">
        <v>2</v>
      </c>
      <c r="D6" s="54">
        <v>3.5000000000000003E-2</v>
      </c>
      <c r="G6" s="51" t="s">
        <v>2</v>
      </c>
      <c r="I6" s="54">
        <f>D6</f>
        <v>3.5000000000000003E-2</v>
      </c>
      <c r="K6" s="51" t="s">
        <v>2</v>
      </c>
      <c r="M6" s="54">
        <f>D6</f>
        <v>3.5000000000000003E-2</v>
      </c>
      <c r="N6" s="54"/>
      <c r="O6" s="54"/>
      <c r="Q6" s="51" t="s">
        <v>2</v>
      </c>
      <c r="S6" s="54">
        <f>M6</f>
        <v>3.5000000000000003E-2</v>
      </c>
      <c r="T6" s="54"/>
    </row>
    <row r="7" spans="1:21" ht="15.75" x14ac:dyDescent="0.25">
      <c r="A7" s="8" t="s">
        <v>52</v>
      </c>
    </row>
    <row r="8" spans="1:21" ht="15.75" x14ac:dyDescent="0.25">
      <c r="A8" s="8" t="s">
        <v>6</v>
      </c>
      <c r="G8" s="51" t="s">
        <v>70</v>
      </c>
      <c r="I8" s="53">
        <f>(I5/I4)^0.1-1+I6+I3</f>
        <v>0.27614441334491635</v>
      </c>
      <c r="K8" s="51" t="s">
        <v>70</v>
      </c>
      <c r="M8" s="56">
        <f>(M4/M3)^0.1-1+M6</f>
        <v>0.17219210348430822</v>
      </c>
      <c r="N8" s="56"/>
      <c r="O8" s="56"/>
      <c r="Q8" s="51" t="s">
        <v>70</v>
      </c>
      <c r="S8" s="56">
        <f>(S4/S3)^0.1-1+S6</f>
        <v>2.0241667916391121E-2</v>
      </c>
      <c r="T8" s="56"/>
    </row>
    <row r="9" spans="1:21" ht="15.75" x14ac:dyDescent="0.25">
      <c r="A9" s="8" t="s">
        <v>46</v>
      </c>
    </row>
    <row r="10" spans="1:21" x14ac:dyDescent="0.25">
      <c r="C10" t="s">
        <v>75</v>
      </c>
      <c r="D10">
        <v>8.5</v>
      </c>
      <c r="G10" s="51" t="s">
        <v>10</v>
      </c>
      <c r="H10" t="s">
        <v>76</v>
      </c>
      <c r="I10">
        <v>8.5</v>
      </c>
      <c r="L10" t="s">
        <v>76</v>
      </c>
      <c r="M10">
        <v>8.5</v>
      </c>
      <c r="R10" t="s">
        <v>76</v>
      </c>
      <c r="S10">
        <v>8.5</v>
      </c>
    </row>
    <row r="11" spans="1:21" x14ac:dyDescent="0.25">
      <c r="H11" t="s">
        <v>78</v>
      </c>
      <c r="I11" s="54">
        <f>100%/I5-1</f>
        <v>0.25</v>
      </c>
      <c r="L11" t="s">
        <v>78</v>
      </c>
      <c r="M11" s="53">
        <f>(M12*1320+300/10)/M4-1</f>
        <v>0.32049518569463542</v>
      </c>
      <c r="O11" s="54"/>
      <c r="R11" t="s">
        <v>78</v>
      </c>
      <c r="S11" s="53">
        <f>(S12*1320+300/5)/S4-1</f>
        <v>145.56488549618319</v>
      </c>
    </row>
    <row r="12" spans="1:21" x14ac:dyDescent="0.25">
      <c r="H12" t="s">
        <v>77</v>
      </c>
      <c r="I12" s="52">
        <v>0.1</v>
      </c>
      <c r="L12" t="s">
        <v>77</v>
      </c>
      <c r="M12" s="52">
        <v>0.05</v>
      </c>
      <c r="O12" s="52"/>
      <c r="R12" t="s">
        <v>77</v>
      </c>
      <c r="S12" s="52">
        <v>0.1</v>
      </c>
    </row>
    <row r="13" spans="1:21" x14ac:dyDescent="0.25">
      <c r="H13" t="s">
        <v>79</v>
      </c>
      <c r="I13">
        <v>20</v>
      </c>
      <c r="L13" t="s">
        <v>79</v>
      </c>
      <c r="M13">
        <v>20</v>
      </c>
      <c r="R13" t="s">
        <v>79</v>
      </c>
      <c r="S13">
        <v>20</v>
      </c>
    </row>
    <row r="15" spans="1:21" x14ac:dyDescent="0.25">
      <c r="H15" t="s">
        <v>80</v>
      </c>
      <c r="I15">
        <f>I10+I11/I13*200</f>
        <v>11</v>
      </c>
      <c r="L15" t="s">
        <v>80</v>
      </c>
      <c r="M15" s="55">
        <f>M10+M11/M13*200</f>
        <v>11.704951856946355</v>
      </c>
      <c r="R15" t="s">
        <v>80</v>
      </c>
      <c r="S15">
        <f>S10+S11/S13*200</f>
        <v>1464.1488549618318</v>
      </c>
    </row>
    <row r="16" spans="1:21" x14ac:dyDescent="0.25">
      <c r="H16" t="s">
        <v>81</v>
      </c>
      <c r="I16" s="55">
        <f>(1+I11)*(1+I12)^I13/1.1^I13*I10</f>
        <v>10.625</v>
      </c>
      <c r="L16" t="s">
        <v>81</v>
      </c>
      <c r="M16" s="55">
        <f>(1+M11)*(1+M12)^M13/1.1^M13*M10</f>
        <v>4.4267808865278333</v>
      </c>
      <c r="R16" t="s">
        <v>81</v>
      </c>
      <c r="S16" s="55">
        <f>(1+S11)*(1+S12)^S13/1.1^S13*S10</f>
        <v>1245.8015267175572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Table_adjusted</vt:lpstr>
      <vt:lpstr>Growth</vt:lpstr>
      <vt:lpstr>Value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</dc:creator>
  <cp:lastModifiedBy>Yimin Zhang</cp:lastModifiedBy>
  <dcterms:created xsi:type="dcterms:W3CDTF">2015-06-05T18:17:20Z</dcterms:created>
  <dcterms:modified xsi:type="dcterms:W3CDTF">2023-11-30T19:27:07Z</dcterms:modified>
</cp:coreProperties>
</file>