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Optimisation_w_gp/optimisation_w_gp/mannual/Summary/"/>
    </mc:Choice>
  </mc:AlternateContent>
  <xr:revisionPtr revIDLastSave="145" documentId="11_F25DC773A252ABDACC1048C1019D7EBE5BDE58E8" xr6:coauthVersionLast="47" xr6:coauthVersionMax="47" xr10:uidLastSave="{E26A8A81-584F-4DF6-8C41-5804601B3F46}"/>
  <bookViews>
    <workbookView xWindow="732" yWindow="732" windowWidth="28260" windowHeight="15228" activeTab="8" xr2:uid="{00000000-000D-0000-FFFF-FFFF00000000}"/>
  </bookViews>
  <sheets>
    <sheet name="Assumptions" sheetId="4" r:id="rId1"/>
    <sheet name="COST" sheetId="1" r:id="rId2"/>
    <sheet name="ULTA" sheetId="2" r:id="rId3"/>
    <sheet name="BNKG" sheetId="3" r:id="rId4"/>
    <sheet name="V" sheetId="5" r:id="rId5"/>
    <sheet name="MA" sheetId="6" r:id="rId6"/>
    <sheet name="TSLA" sheetId="7" r:id="rId7"/>
    <sheet name="ON" sheetId="8" r:id="rId8"/>
    <sheet name="ENPH" sheetId="9" r:id="rId9"/>
    <sheet name="DIS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0" l="1"/>
  <c r="J16" i="10"/>
  <c r="J15" i="10"/>
  <c r="J10" i="10"/>
  <c r="J9" i="10"/>
  <c r="J8" i="10"/>
  <c r="J7" i="10"/>
  <c r="J6" i="10"/>
  <c r="J5" i="10"/>
  <c r="J4" i="10"/>
  <c r="J3" i="10"/>
  <c r="J2" i="10"/>
  <c r="J1" i="10"/>
  <c r="J17" i="9"/>
  <c r="J16" i="9"/>
  <c r="J15" i="9"/>
  <c r="J10" i="9"/>
  <c r="J9" i="9"/>
  <c r="J8" i="9"/>
  <c r="J7" i="9"/>
  <c r="J6" i="9"/>
  <c r="J5" i="9"/>
  <c r="J4" i="9"/>
  <c r="J3" i="9"/>
  <c r="J2" i="9"/>
  <c r="J1" i="9"/>
  <c r="J17" i="8"/>
  <c r="J16" i="8"/>
  <c r="J15" i="8"/>
  <c r="J10" i="8"/>
  <c r="J9" i="8"/>
  <c r="J8" i="8"/>
  <c r="J7" i="8"/>
  <c r="J6" i="8"/>
  <c r="J5" i="8"/>
  <c r="J4" i="8"/>
  <c r="J3" i="8"/>
  <c r="J2" i="8"/>
  <c r="J1" i="8"/>
  <c r="J17" i="7"/>
  <c r="J16" i="7"/>
  <c r="J15" i="7"/>
  <c r="J10" i="7"/>
  <c r="J9" i="7"/>
  <c r="J8" i="7"/>
  <c r="J7" i="7"/>
  <c r="J6" i="7"/>
  <c r="J5" i="7"/>
  <c r="J4" i="7"/>
  <c r="J3" i="7"/>
  <c r="J2" i="7"/>
  <c r="J1" i="7"/>
  <c r="J17" i="6"/>
  <c r="J16" i="6"/>
  <c r="J15" i="6"/>
  <c r="J10" i="6"/>
  <c r="J9" i="6"/>
  <c r="J8" i="6"/>
  <c r="J7" i="6"/>
  <c r="J6" i="6"/>
  <c r="J5" i="6"/>
  <c r="J4" i="6"/>
  <c r="J3" i="6"/>
  <c r="J2" i="6"/>
  <c r="J1" i="6"/>
  <c r="J17" i="5"/>
  <c r="J16" i="5"/>
  <c r="J15" i="5"/>
  <c r="J10" i="5"/>
  <c r="J9" i="5"/>
  <c r="J8" i="5"/>
  <c r="J7" i="5"/>
  <c r="J6" i="5"/>
  <c r="J5" i="5"/>
  <c r="J4" i="5"/>
  <c r="J3" i="5"/>
  <c r="J2" i="5"/>
  <c r="J1" i="5"/>
  <c r="J17" i="3"/>
  <c r="J16" i="3"/>
  <c r="J15" i="3"/>
  <c r="J10" i="3"/>
  <c r="J9" i="3"/>
  <c r="J8" i="3"/>
  <c r="J7" i="3"/>
  <c r="J6" i="3"/>
  <c r="J5" i="3"/>
  <c r="J4" i="3"/>
  <c r="J3" i="3"/>
  <c r="J2" i="3"/>
  <c r="J1" i="3"/>
  <c r="J17" i="2"/>
  <c r="J16" i="2"/>
  <c r="J15" i="2"/>
  <c r="J10" i="2"/>
  <c r="J9" i="2"/>
  <c r="J8" i="2"/>
  <c r="J7" i="2"/>
  <c r="J6" i="2"/>
  <c r="J5" i="2"/>
  <c r="J4" i="2"/>
  <c r="J3" i="2"/>
  <c r="J2" i="2"/>
  <c r="J1" i="2"/>
  <c r="B43" i="10"/>
  <c r="B43" i="9"/>
  <c r="B43" i="8"/>
  <c r="B43" i="7"/>
  <c r="B43" i="6"/>
  <c r="B43" i="5"/>
  <c r="B43" i="3"/>
  <c r="B43" i="2"/>
  <c r="B43" i="1"/>
  <c r="B45" i="1"/>
  <c r="B47" i="1" s="1"/>
  <c r="B48" i="1" s="1"/>
  <c r="J18" i="1" s="1"/>
  <c r="B46" i="1"/>
  <c r="J17" i="1"/>
  <c r="J16" i="1"/>
  <c r="J15" i="1"/>
  <c r="J10" i="1"/>
  <c r="J9" i="1"/>
  <c r="J8" i="1"/>
  <c r="J7" i="1"/>
  <c r="J6" i="1"/>
  <c r="J5" i="1"/>
  <c r="J4" i="1"/>
  <c r="J3" i="1"/>
  <c r="J2" i="1"/>
  <c r="J1" i="1"/>
  <c r="B41" i="10"/>
  <c r="B45" i="10"/>
  <c r="B35" i="10"/>
  <c r="B46" i="10"/>
  <c r="B40" i="10"/>
  <c r="B38" i="10"/>
  <c r="B37" i="10"/>
  <c r="B36" i="10"/>
  <c r="B40" i="9"/>
  <c r="B46" i="9"/>
  <c r="B45" i="9"/>
  <c r="B47" i="9" s="1"/>
  <c r="B48" i="9" s="1"/>
  <c r="J18" i="9" s="1"/>
  <c r="B41" i="9"/>
  <c r="B38" i="9"/>
  <c r="B37" i="9"/>
  <c r="B36" i="9"/>
  <c r="B35" i="9"/>
  <c r="B47" i="8"/>
  <c r="B46" i="8"/>
  <c r="B40" i="8"/>
  <c r="B45" i="8"/>
  <c r="B41" i="8"/>
  <c r="B38" i="8"/>
  <c r="B37" i="8"/>
  <c r="B36" i="8"/>
  <c r="B35" i="8"/>
  <c r="B46" i="7"/>
  <c r="B40" i="7"/>
  <c r="B45" i="7"/>
  <c r="B47" i="7" s="1"/>
  <c r="B48" i="7" s="1"/>
  <c r="J18" i="7" s="1"/>
  <c r="B41" i="7"/>
  <c r="B38" i="7"/>
  <c r="B37" i="7"/>
  <c r="B36" i="7"/>
  <c r="B35" i="7"/>
  <c r="B40" i="6"/>
  <c r="B46" i="6"/>
  <c r="B47" i="6" s="1"/>
  <c r="B48" i="6" s="1"/>
  <c r="J18" i="6" s="1"/>
  <c r="B41" i="6"/>
  <c r="B38" i="6"/>
  <c r="B39" i="6" s="1"/>
  <c r="J13" i="6" s="1"/>
  <c r="J14" i="6" s="1"/>
  <c r="B37" i="6"/>
  <c r="B36" i="6"/>
  <c r="B35" i="6"/>
  <c r="B40" i="5"/>
  <c r="B46" i="5"/>
  <c r="B47" i="5" s="1"/>
  <c r="B48" i="5" s="1"/>
  <c r="J18" i="5" s="1"/>
  <c r="B41" i="5"/>
  <c r="B38" i="5"/>
  <c r="B39" i="5" s="1"/>
  <c r="J13" i="5" s="1"/>
  <c r="J14" i="5" s="1"/>
  <c r="B37" i="5"/>
  <c r="B36" i="5"/>
  <c r="B35" i="5"/>
  <c r="B46" i="3"/>
  <c r="B40" i="3"/>
  <c r="B46" i="2"/>
  <c r="B40" i="2"/>
  <c r="B40" i="1"/>
  <c r="D18" i="4"/>
  <c r="D17" i="4"/>
  <c r="D16" i="4"/>
  <c r="B5" i="4"/>
  <c r="B41" i="3"/>
  <c r="B38" i="3"/>
  <c r="B39" i="3" s="1"/>
  <c r="J13" i="3" s="1"/>
  <c r="J14" i="3" s="1"/>
  <c r="B37" i="3"/>
  <c r="B36" i="3"/>
  <c r="B47" i="2"/>
  <c r="B48" i="2" s="1"/>
  <c r="J18" i="2" s="1"/>
  <c r="B41" i="2"/>
  <c r="B38" i="2"/>
  <c r="B39" i="2" s="1"/>
  <c r="J13" i="2" s="1"/>
  <c r="J14" i="2" s="1"/>
  <c r="B37" i="2"/>
  <c r="B36" i="2"/>
  <c r="B35" i="2"/>
  <c r="B41" i="1"/>
  <c r="B38" i="1"/>
  <c r="B37" i="1"/>
  <c r="B36" i="1"/>
  <c r="B35" i="1"/>
  <c r="B39" i="1" l="1"/>
  <c r="J13" i="1" s="1"/>
  <c r="J14" i="1" s="1"/>
  <c r="B39" i="8"/>
  <c r="J13" i="8" s="1"/>
  <c r="J14" i="8" s="1"/>
  <c r="B39" i="9"/>
  <c r="J13" i="9" s="1"/>
  <c r="J14" i="9" s="1"/>
  <c r="B39" i="7"/>
  <c r="J13" i="7" s="1"/>
  <c r="J14" i="7" s="1"/>
  <c r="B47" i="10"/>
  <c r="B48" i="10" s="1"/>
  <c r="J18" i="10" s="1"/>
  <c r="B39" i="10"/>
  <c r="J13" i="10" s="1"/>
  <c r="J14" i="10" s="1"/>
  <c r="B42" i="9"/>
  <c r="B44" i="9" s="1"/>
  <c r="B52" i="9" s="1"/>
  <c r="B48" i="8"/>
  <c r="J18" i="8" s="1"/>
  <c r="B42" i="7"/>
  <c r="B44" i="7" s="1"/>
  <c r="J11" i="7" s="1"/>
  <c r="B42" i="6"/>
  <c r="B44" i="6" s="1"/>
  <c r="J11" i="6" s="1"/>
  <c r="B42" i="5"/>
  <c r="B44" i="5" s="1"/>
  <c r="J11" i="5" s="1"/>
  <c r="B47" i="3"/>
  <c r="B48" i="3" s="1"/>
  <c r="J18" i="3" s="1"/>
  <c r="B42" i="2"/>
  <c r="B44" i="2" s="1"/>
  <c r="J11" i="2" s="1"/>
  <c r="J11" i="9" l="1"/>
  <c r="B42" i="10"/>
  <c r="B44" i="10" s="1"/>
  <c r="J11" i="10" s="1"/>
  <c r="B53" i="7"/>
  <c r="J20" i="7" s="1"/>
  <c r="B52" i="7"/>
  <c r="J19" i="7" s="1"/>
  <c r="B54" i="7"/>
  <c r="B42" i="8"/>
  <c r="B44" i="8" s="1"/>
  <c r="B54" i="9"/>
  <c r="B53" i="9"/>
  <c r="J20" i="9" s="1"/>
  <c r="J19" i="9"/>
  <c r="B54" i="6"/>
  <c r="B53" i="6"/>
  <c r="J20" i="6" s="1"/>
  <c r="B52" i="6"/>
  <c r="J19" i="6" s="1"/>
  <c r="B54" i="5"/>
  <c r="B53" i="5"/>
  <c r="J20" i="5" s="1"/>
  <c r="B52" i="5"/>
  <c r="J19" i="5" s="1"/>
  <c r="B42" i="3"/>
  <c r="B44" i="3" s="1"/>
  <c r="B54" i="2"/>
  <c r="B53" i="2"/>
  <c r="J20" i="2" s="1"/>
  <c r="B52" i="2"/>
  <c r="J19" i="2" s="1"/>
  <c r="B42" i="1"/>
  <c r="B44" i="1" s="1"/>
  <c r="B54" i="3" l="1"/>
  <c r="J11" i="3"/>
  <c r="B51" i="8"/>
  <c r="J11" i="8"/>
  <c r="B53" i="10"/>
  <c r="J20" i="10" s="1"/>
  <c r="B54" i="10"/>
  <c r="B52" i="1"/>
  <c r="J19" i="1" s="1"/>
  <c r="B53" i="1"/>
  <c r="J20" i="1" s="1"/>
  <c r="B54" i="1"/>
  <c r="J11" i="1"/>
  <c r="B52" i="8"/>
  <c r="J19" i="8" s="1"/>
  <c r="B52" i="10"/>
  <c r="J19" i="10" s="1"/>
  <c r="B53" i="8"/>
  <c r="J20" i="8" s="1"/>
  <c r="B52" i="3"/>
  <c r="J19" i="3" s="1"/>
  <c r="B53" i="3"/>
  <c r="J20" i="3" s="1"/>
</calcChain>
</file>

<file path=xl/sharedStrings.xml><?xml version="1.0" encoding="utf-8"?>
<sst xmlns="http://schemas.openxmlformats.org/spreadsheetml/2006/main" count="943" uniqueCount="118">
  <si>
    <t>code</t>
  </si>
  <si>
    <t>COST</t>
  </si>
  <si>
    <t>index</t>
  </si>
  <si>
    <t>price</t>
  </si>
  <si>
    <t>i_cost</t>
  </si>
  <si>
    <t>o</t>
  </si>
  <si>
    <t>financials</t>
  </si>
  <si>
    <t>i</t>
  </si>
  <si>
    <t>Year 2023</t>
  </si>
  <si>
    <t>ii_low</t>
  </si>
  <si>
    <t>net income</t>
  </si>
  <si>
    <t>million</t>
  </si>
  <si>
    <t>ii_med</t>
  </si>
  <si>
    <t>EBIT</t>
  </si>
  <si>
    <t>ii_high</t>
  </si>
  <si>
    <t>gross income</t>
  </si>
  <si>
    <t>iii_low</t>
  </si>
  <si>
    <t>revenue</t>
  </si>
  <si>
    <t>iii_med</t>
  </si>
  <si>
    <t>share</t>
  </si>
  <si>
    <t>iii_high</t>
  </si>
  <si>
    <t>asset</t>
  </si>
  <si>
    <t>iv_rate</t>
  </si>
  <si>
    <t>equity</t>
  </si>
  <si>
    <t>iv_up</t>
  </si>
  <si>
    <t>debt</t>
  </si>
  <si>
    <t>iv_do</t>
  </si>
  <si>
    <t>dividend</t>
  </si>
  <si>
    <t>per share</t>
  </si>
  <si>
    <t>iv_cap</t>
  </si>
  <si>
    <t>x_div</t>
  </si>
  <si>
    <t>analysis</t>
  </si>
  <si>
    <t>x_rate</t>
  </si>
  <si>
    <t>EPS</t>
  </si>
  <si>
    <t>x_roe</t>
  </si>
  <si>
    <t>trailing</t>
  </si>
  <si>
    <t>billion</t>
  </si>
  <si>
    <t>per</t>
  </si>
  <si>
    <t>forward - low</t>
  </si>
  <si>
    <t>low</t>
  </si>
  <si>
    <t>forward - mid</t>
  </si>
  <si>
    <t>mid</t>
  </si>
  <si>
    <t>forward - high</t>
  </si>
  <si>
    <t>next - low</t>
  </si>
  <si>
    <t>next - mid</t>
  </si>
  <si>
    <t>next - high</t>
  </si>
  <si>
    <t>growth estimates</t>
  </si>
  <si>
    <t>value</t>
  </si>
  <si>
    <t>past 5 years</t>
  </si>
  <si>
    <t>next 5 years</t>
  </si>
  <si>
    <t>current</t>
  </si>
  <si>
    <t>next</t>
  </si>
  <si>
    <t>yz estimates</t>
  </si>
  <si>
    <t>ROE</t>
  </si>
  <si>
    <t>current ROE</t>
  </si>
  <si>
    <t>ROA - before interest</t>
  </si>
  <si>
    <t>current EBIT/asset</t>
  </si>
  <si>
    <t>WACC</t>
  </si>
  <si>
    <t>current WACC</t>
  </si>
  <si>
    <t>downside potential</t>
  </si>
  <si>
    <t>normalised using next year estimates</t>
  </si>
  <si>
    <t>leverage health</t>
  </si>
  <si>
    <t>Check whether current leverage rate is sustainable (i.e. profitability if the downside is x times next EPS)</t>
  </si>
  <si>
    <t>growth - sector</t>
  </si>
  <si>
    <t>growth - revenue</t>
  </si>
  <si>
    <t>growth - profitability</t>
  </si>
  <si>
    <t>growth - market</t>
  </si>
  <si>
    <t>growth - average</t>
  </si>
  <si>
    <t>ROE in 10 years</t>
  </si>
  <si>
    <t>* average of current and a cap of 30%</t>
  </si>
  <si>
    <t>Growth in 10 years</t>
  </si>
  <si>
    <t>PE in 10 years</t>
  </si>
  <si>
    <t>PE adjusted</t>
  </si>
  <si>
    <t>yz calculation</t>
  </si>
  <si>
    <t>medium</t>
  </si>
  <si>
    <t>high</t>
  </si>
  <si>
    <t>ULTA</t>
  </si>
  <si>
    <t>* capped at 30%</t>
  </si>
  <si>
    <t>BKNG</t>
  </si>
  <si>
    <t>General Assumptions</t>
  </si>
  <si>
    <t>Value</t>
  </si>
  <si>
    <t>Explanation</t>
  </si>
  <si>
    <t>crate</t>
  </si>
  <si>
    <t>5% interest rate</t>
  </si>
  <si>
    <t>mrate</t>
  </si>
  <si>
    <t>10% cost of equity</t>
  </si>
  <si>
    <t>mult buffer</t>
  </si>
  <si>
    <t>Assuming the current 2-year estimation of downside covering 40% (0.52 sigma), then 95% (1.96 sigma) of the time, the investigated entity is still profitable after interest.</t>
  </si>
  <si>
    <t>INFLATION</t>
  </si>
  <si>
    <t>3% inflation rate</t>
  </si>
  <si>
    <t>POPULATION</t>
  </si>
  <si>
    <t>Genetic economic growth due to population growth</t>
  </si>
  <si>
    <t>EFFICIENCY</t>
  </si>
  <si>
    <t>Efficiency improvement (only assumed for mature sector)</t>
  </si>
  <si>
    <t>Norminal</t>
  </si>
  <si>
    <t>Normal growth = Inflation + Efficiency + Efficiency</t>
  </si>
  <si>
    <t>Expanding</t>
  </si>
  <si>
    <t>Assumed revenue growth rate for expanding sectors.</t>
  </si>
  <si>
    <t>Sector Assumptions</t>
  </si>
  <si>
    <t>SECTOR - Simiplified - 3 types are defined out of specific sectors in previous versions.</t>
  </si>
  <si>
    <t>Code</t>
  </si>
  <si>
    <t>Near</t>
  </si>
  <si>
    <t>Long-term</t>
  </si>
  <si>
    <t>Traditional</t>
  </si>
  <si>
    <t>Stable &amp; Mature Markets</t>
  </si>
  <si>
    <t>Trad</t>
  </si>
  <si>
    <t>Evolving</t>
  </si>
  <si>
    <t>New modes in traditional sectors</t>
  </si>
  <si>
    <t>Evol</t>
  </si>
  <si>
    <t>New bussiness model</t>
  </si>
  <si>
    <t>Exp</t>
  </si>
  <si>
    <t>V</t>
  </si>
  <si>
    <t>MA</t>
  </si>
  <si>
    <t>TSLA</t>
  </si>
  <si>
    <t>ON</t>
  </si>
  <si>
    <t>* mannually adjusted</t>
  </si>
  <si>
    <t>ENPH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</si>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</sst>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Algerian"/>
      <family val="5"/>
    </font>
    <font>
      <u/>
      <sz val="11"/>
      <color theme="1"/>
      <name val="Lucida Calligraphy"/>
      <family val="4"/>
    </font>
    <font>
      <sz val="11"/>
      <color rgb="FFFF0000"/>
      <name val="Lucida Calligraphy"/>
      <family val="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 vertical="center"/>
    </xf>
    <xf numFmtId="164" fontId="2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/>
    </xf>
    <xf numFmtId="2" fontId="2" fillId="2" borderId="0" xfId="3" applyNumberFormat="1" applyFont="1" applyFill="1" applyAlignment="1">
      <alignment horizontal="center"/>
    </xf>
    <xf numFmtId="9" fontId="2" fillId="3" borderId="0" xfId="3" applyFont="1" applyFill="1" applyAlignment="1">
      <alignment horizontal="center"/>
    </xf>
    <xf numFmtId="9" fontId="2" fillId="4" borderId="0" xfId="3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9" fontId="5" fillId="0" borderId="0" xfId="3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7" borderId="0" xfId="3" applyNumberFormat="1" applyFont="1" applyFill="1" applyAlignment="1">
      <alignment horizontal="center"/>
    </xf>
    <xf numFmtId="2" fontId="2" fillId="8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melbcloud-my.sharepoint.com/personal/yimin_zhang1_unimelb_edu_au/Documents/Documents/Local%20Files/Optimisation_w_gp/optimisation_w_gp/mannual/Summary/2024_11_Summary.xlsx" TargetMode="External"/><Relationship Id="rId1" Type="http://schemas.openxmlformats.org/officeDocument/2006/relationships/externalLinkPath" Target="2024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G"/>
      <sheetName val="Assumptions"/>
      <sheetName val="ED"/>
      <sheetName val="Sheet3"/>
      <sheetName val="Check"/>
    </sheetNames>
    <sheetDataSet>
      <sheetData sheetId="1">
        <row r="3">
          <cell r="B3">
            <v>0.05</v>
          </cell>
        </row>
        <row r="4">
          <cell r="B4">
            <v>0.1</v>
          </cell>
        </row>
        <row r="5">
          <cell r="B5">
            <v>3.7692307692307692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0B8F-D4EA-42B5-B698-BFDAE5674226}">
  <dimension ref="A1:E18"/>
  <sheetViews>
    <sheetView workbookViewId="0">
      <selection activeCell="B32" sqref="B32"/>
    </sheetView>
  </sheetViews>
  <sheetFormatPr defaultRowHeight="14.4" x14ac:dyDescent="0.3"/>
  <cols>
    <col min="1" max="1" width="25.21875" customWidth="1"/>
    <col min="2" max="2" width="36.88671875" bestFit="1" customWidth="1"/>
  </cols>
  <sheetData>
    <row r="1" spans="1:5" ht="15" x14ac:dyDescent="0.35">
      <c r="A1" s="3" t="s">
        <v>79</v>
      </c>
      <c r="B1" s="2"/>
      <c r="C1" s="3"/>
      <c r="D1" s="3"/>
      <c r="E1" s="3"/>
    </row>
    <row r="2" spans="1:5" ht="15" x14ac:dyDescent="0.35">
      <c r="A2" s="3"/>
      <c r="B2" s="2" t="s">
        <v>80</v>
      </c>
      <c r="C2" s="3" t="s">
        <v>81</v>
      </c>
      <c r="D2" s="3"/>
      <c r="E2" s="3"/>
    </row>
    <row r="3" spans="1:5" ht="15" x14ac:dyDescent="0.35">
      <c r="A3" s="3" t="s">
        <v>82</v>
      </c>
      <c r="B3" s="16">
        <v>0.05</v>
      </c>
      <c r="C3" s="3" t="s">
        <v>83</v>
      </c>
      <c r="D3" s="3"/>
      <c r="E3" s="3"/>
    </row>
    <row r="4" spans="1:5" ht="15" x14ac:dyDescent="0.35">
      <c r="A4" s="3" t="s">
        <v>84</v>
      </c>
      <c r="B4" s="16">
        <v>0.1</v>
      </c>
      <c r="C4" s="3" t="s">
        <v>85</v>
      </c>
      <c r="D4" s="3"/>
      <c r="E4" s="3"/>
    </row>
    <row r="5" spans="1:5" ht="15" x14ac:dyDescent="0.35">
      <c r="A5" s="3" t="s">
        <v>86</v>
      </c>
      <c r="B5" s="13">
        <f>1.96/0.52</f>
        <v>3.7692307692307692</v>
      </c>
      <c r="C5" s="3" t="s">
        <v>87</v>
      </c>
      <c r="D5" s="3"/>
      <c r="E5" s="3"/>
    </row>
    <row r="6" spans="1:5" ht="15" x14ac:dyDescent="0.35">
      <c r="A6" s="3" t="s">
        <v>88</v>
      </c>
      <c r="B6" s="15">
        <v>0.03</v>
      </c>
      <c r="C6" s="3" t="s">
        <v>89</v>
      </c>
      <c r="D6" s="3"/>
      <c r="E6" s="3"/>
    </row>
    <row r="7" spans="1:5" ht="15" x14ac:dyDescent="0.35">
      <c r="A7" s="3" t="s">
        <v>90</v>
      </c>
      <c r="B7" s="15">
        <v>0.01</v>
      </c>
      <c r="C7" s="3" t="s">
        <v>91</v>
      </c>
      <c r="D7" s="3"/>
      <c r="E7" s="3"/>
    </row>
    <row r="8" spans="1:5" ht="15" x14ac:dyDescent="0.35">
      <c r="A8" s="3" t="s">
        <v>92</v>
      </c>
      <c r="B8" s="15">
        <v>0.02</v>
      </c>
      <c r="C8" s="3" t="s">
        <v>93</v>
      </c>
      <c r="D8" s="3"/>
      <c r="E8" s="3"/>
    </row>
    <row r="9" spans="1:5" ht="15" x14ac:dyDescent="0.35">
      <c r="A9" s="3" t="s">
        <v>94</v>
      </c>
      <c r="B9" s="15">
        <v>0.06</v>
      </c>
      <c r="C9" s="3" t="s">
        <v>95</v>
      </c>
      <c r="D9" s="3"/>
      <c r="E9" s="3"/>
    </row>
    <row r="10" spans="1:5" ht="15" x14ac:dyDescent="0.35">
      <c r="A10" s="3" t="s">
        <v>96</v>
      </c>
      <c r="B10" s="15">
        <v>0.08</v>
      </c>
      <c r="C10" s="3" t="s">
        <v>97</v>
      </c>
      <c r="D10" s="3"/>
      <c r="E10" s="3"/>
    </row>
    <row r="11" spans="1:5" ht="15" x14ac:dyDescent="0.35">
      <c r="A11" s="3"/>
      <c r="B11" s="2"/>
      <c r="C11" s="3"/>
      <c r="D11" s="3"/>
      <c r="E11" s="3"/>
    </row>
    <row r="12" spans="1:5" ht="15" x14ac:dyDescent="0.35">
      <c r="A12" s="3"/>
      <c r="B12" s="2"/>
      <c r="C12" s="3"/>
      <c r="D12" s="3"/>
      <c r="E12" s="3"/>
    </row>
    <row r="13" spans="1:5" ht="15" x14ac:dyDescent="0.35">
      <c r="A13" s="3" t="s">
        <v>98</v>
      </c>
      <c r="B13" s="2"/>
      <c r="C13" s="3"/>
      <c r="D13" s="3"/>
      <c r="E13" s="3"/>
    </row>
    <row r="14" spans="1:5" ht="15" x14ac:dyDescent="0.35">
      <c r="A14" s="3"/>
      <c r="B14" s="2"/>
      <c r="C14" s="3"/>
      <c r="D14" s="3"/>
      <c r="E14" s="3"/>
    </row>
    <row r="15" spans="1:5" ht="15" x14ac:dyDescent="0.35">
      <c r="A15" s="3" t="s">
        <v>99</v>
      </c>
      <c r="B15" s="3"/>
      <c r="C15" s="3" t="s">
        <v>100</v>
      </c>
      <c r="D15" s="2" t="s">
        <v>101</v>
      </c>
      <c r="E15" s="2" t="s">
        <v>102</v>
      </c>
    </row>
    <row r="16" spans="1:5" ht="15" x14ac:dyDescent="0.35">
      <c r="A16" s="3" t="s">
        <v>103</v>
      </c>
      <c r="B16" s="3" t="s">
        <v>104</v>
      </c>
      <c r="C16" s="3" t="s">
        <v>105</v>
      </c>
      <c r="D16" s="26">
        <f>SUM(B6:B8)</f>
        <v>0.06</v>
      </c>
      <c r="E16" s="26">
        <v>0.06</v>
      </c>
    </row>
    <row r="17" spans="1:5" ht="15" x14ac:dyDescent="0.35">
      <c r="A17" s="3" t="s">
        <v>106</v>
      </c>
      <c r="B17" s="3" t="s">
        <v>107</v>
      </c>
      <c r="C17" s="3" t="s">
        <v>108</v>
      </c>
      <c r="D17" s="26">
        <f>(D16+D18)/2</f>
        <v>0.08</v>
      </c>
      <c r="E17" s="26">
        <v>0.06</v>
      </c>
    </row>
    <row r="18" spans="1:5" ht="15" x14ac:dyDescent="0.35">
      <c r="A18" s="3" t="s">
        <v>96</v>
      </c>
      <c r="B18" s="3" t="s">
        <v>109</v>
      </c>
      <c r="C18" s="3" t="s">
        <v>110</v>
      </c>
      <c r="D18" s="26">
        <f>B10+B8</f>
        <v>0.1</v>
      </c>
      <c r="E18" s="26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E587-AC01-4E9F-8BBF-E7A213CFC847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5" width="20.6640625" style="3" customWidth="1"/>
    <col min="6" max="6" width="20.88671875" style="3" customWidth="1"/>
    <col min="7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117</v>
      </c>
      <c r="I1" s="3" t="s">
        <v>2</v>
      </c>
      <c r="J1" s="3" t="str">
        <f>B1</f>
        <v>DIS</v>
      </c>
      <c r="K1" s="3" t="s">
        <v>117</v>
      </c>
    </row>
    <row r="2" spans="1:11" x14ac:dyDescent="0.35">
      <c r="A2" s="1" t="s">
        <v>3</v>
      </c>
      <c r="B2" s="2">
        <v>99</v>
      </c>
      <c r="I2" s="3" t="s">
        <v>4</v>
      </c>
      <c r="J2" s="3">
        <f>B2</f>
        <v>99</v>
      </c>
      <c r="K2" s="3">
        <v>99</v>
      </c>
    </row>
    <row r="3" spans="1:11" x14ac:dyDescent="0.35">
      <c r="I3" s="3" t="s">
        <v>5</v>
      </c>
      <c r="J3" s="4">
        <f>B28</f>
        <v>0.12189999999999999</v>
      </c>
      <c r="K3" s="3">
        <v>0.12189999999999999</v>
      </c>
    </row>
    <row r="4" spans="1:11" x14ac:dyDescent="0.35">
      <c r="A4" s="1" t="s">
        <v>6</v>
      </c>
      <c r="I4" s="3" t="s">
        <v>7</v>
      </c>
      <c r="J4" s="3">
        <f>B18</f>
        <v>3.76</v>
      </c>
      <c r="K4" s="3">
        <v>3.76</v>
      </c>
    </row>
    <row r="5" spans="1:11" x14ac:dyDescent="0.35">
      <c r="B5" s="3" t="s">
        <v>8</v>
      </c>
      <c r="I5" s="3" t="s">
        <v>9</v>
      </c>
      <c r="J5" s="3">
        <f t="shared" ref="J5:J10" si="0">B19</f>
        <v>4.8499999999999996</v>
      </c>
      <c r="K5" s="3">
        <v>4.8499999999999996</v>
      </c>
    </row>
    <row r="6" spans="1:11" x14ac:dyDescent="0.35">
      <c r="A6" s="5" t="s">
        <v>10</v>
      </c>
      <c r="B6" s="6">
        <v>4776</v>
      </c>
      <c r="C6" s="3" t="s">
        <v>11</v>
      </c>
      <c r="D6" s="7"/>
      <c r="I6" s="3" t="s">
        <v>12</v>
      </c>
      <c r="J6" s="3">
        <f t="shared" si="0"/>
        <v>4.9400000000000004</v>
      </c>
      <c r="K6" s="3">
        <v>4.9400000000000004</v>
      </c>
    </row>
    <row r="7" spans="1:11" x14ac:dyDescent="0.35">
      <c r="A7" s="5" t="s">
        <v>13</v>
      </c>
      <c r="B7" s="6">
        <v>11252</v>
      </c>
      <c r="C7" s="3" t="s">
        <v>11</v>
      </c>
      <c r="D7" s="7"/>
      <c r="I7" s="3" t="s">
        <v>14</v>
      </c>
      <c r="J7" s="3">
        <f t="shared" si="0"/>
        <v>5.07</v>
      </c>
      <c r="K7" s="3">
        <v>5.07</v>
      </c>
    </row>
    <row r="8" spans="1:11" x14ac:dyDescent="0.35">
      <c r="A8" s="5" t="s">
        <v>15</v>
      </c>
      <c r="B8" s="6">
        <v>31832</v>
      </c>
      <c r="C8" s="3" t="s">
        <v>11</v>
      </c>
      <c r="D8" s="7"/>
      <c r="I8" s="3" t="s">
        <v>16</v>
      </c>
      <c r="J8" s="3">
        <f t="shared" si="0"/>
        <v>4.79</v>
      </c>
      <c r="K8" s="3">
        <v>4.79</v>
      </c>
    </row>
    <row r="9" spans="1:11" x14ac:dyDescent="0.35">
      <c r="A9" s="5" t="s">
        <v>17</v>
      </c>
      <c r="B9" s="6">
        <v>90028</v>
      </c>
      <c r="C9" s="3" t="s">
        <v>11</v>
      </c>
      <c r="D9" s="7"/>
      <c r="I9" s="3" t="s">
        <v>18</v>
      </c>
      <c r="J9" s="3">
        <f t="shared" si="0"/>
        <v>5.15</v>
      </c>
      <c r="K9" s="3">
        <v>5.15</v>
      </c>
    </row>
    <row r="10" spans="1:11" x14ac:dyDescent="0.35">
      <c r="A10" s="5" t="s">
        <v>19</v>
      </c>
      <c r="B10" s="8">
        <v>1830</v>
      </c>
      <c r="C10" s="3" t="s">
        <v>11</v>
      </c>
      <c r="D10" s="7"/>
      <c r="I10" s="3" t="s">
        <v>20</v>
      </c>
      <c r="J10" s="3">
        <f t="shared" si="0"/>
        <v>5.64</v>
      </c>
      <c r="K10" s="3">
        <v>5.64</v>
      </c>
    </row>
    <row r="11" spans="1:11" x14ac:dyDescent="0.35">
      <c r="A11" s="5" t="s">
        <v>21</v>
      </c>
      <c r="B11" s="6">
        <v>205579</v>
      </c>
      <c r="C11" s="3" t="s">
        <v>11</v>
      </c>
      <c r="D11" s="7"/>
      <c r="I11" s="3" t="s">
        <v>22</v>
      </c>
      <c r="J11" s="9">
        <f>B44*100</f>
        <v>8.3700078601269308</v>
      </c>
      <c r="K11" s="3">
        <v>8.3700078601269308</v>
      </c>
    </row>
    <row r="12" spans="1:11" x14ac:dyDescent="0.35">
      <c r="A12" s="5" t="s">
        <v>23</v>
      </c>
      <c r="B12" s="6">
        <v>99277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92567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0.9</v>
      </c>
      <c r="C14" s="3" t="s">
        <v>28</v>
      </c>
      <c r="D14" s="23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0.90909090909090906</v>
      </c>
      <c r="K15" s="3">
        <v>0.90909090909090906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17.405390976761989</v>
      </c>
      <c r="K17" s="3">
        <v>17.405390976761989</v>
      </c>
    </row>
    <row r="18" spans="1:11" x14ac:dyDescent="0.35">
      <c r="A18" s="1" t="s">
        <v>35</v>
      </c>
      <c r="B18" s="11">
        <v>3.76</v>
      </c>
      <c r="C18" s="3" t="s">
        <v>28</v>
      </c>
      <c r="D18" s="12">
        <v>88.9</v>
      </c>
      <c r="E18" s="3" t="s">
        <v>36</v>
      </c>
      <c r="F18" s="13"/>
      <c r="H18" s="7"/>
      <c r="I18" s="3" t="s">
        <v>37</v>
      </c>
      <c r="J18" s="9">
        <f>B48</f>
        <v>17.570589222520265</v>
      </c>
      <c r="K18" s="3">
        <v>17.570589222520265</v>
      </c>
    </row>
    <row r="19" spans="1:11" x14ac:dyDescent="0.35">
      <c r="A19" s="1" t="s">
        <v>38</v>
      </c>
      <c r="B19" s="11">
        <v>4.8499999999999996</v>
      </c>
      <c r="C19" s="3" t="s">
        <v>28</v>
      </c>
      <c r="D19" s="12">
        <v>90.78</v>
      </c>
      <c r="E19" s="3" t="s">
        <v>36</v>
      </c>
      <c r="F19" s="14"/>
      <c r="H19" s="7"/>
      <c r="I19" s="3" t="s">
        <v>39</v>
      </c>
      <c r="J19" s="9">
        <f>B52</f>
        <v>62.026500883804161</v>
      </c>
      <c r="K19" s="3">
        <v>62.026500883804161</v>
      </c>
    </row>
    <row r="20" spans="1:11" x14ac:dyDescent="0.35">
      <c r="A20" s="1" t="s">
        <v>40</v>
      </c>
      <c r="B20" s="11">
        <v>4.9400000000000004</v>
      </c>
      <c r="C20" s="3" t="s">
        <v>28</v>
      </c>
      <c r="D20" s="12">
        <v>91.29</v>
      </c>
      <c r="E20" s="3" t="s">
        <v>36</v>
      </c>
      <c r="F20" s="14"/>
      <c r="H20" s="7"/>
      <c r="I20" s="3" t="s">
        <v>41</v>
      </c>
      <c r="J20" s="9">
        <f>B53</f>
        <v>72.107557460855858</v>
      </c>
      <c r="K20" s="3">
        <v>72.107557460855858</v>
      </c>
    </row>
    <row r="21" spans="1:11" x14ac:dyDescent="0.35">
      <c r="A21" s="1" t="s">
        <v>42</v>
      </c>
      <c r="B21" s="11">
        <v>5.07</v>
      </c>
      <c r="C21" s="3" t="s">
        <v>28</v>
      </c>
      <c r="D21" s="12">
        <v>92.74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4.79</v>
      </c>
      <c r="C22" s="3" t="s">
        <v>28</v>
      </c>
      <c r="D22" s="12">
        <v>92.05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5.15</v>
      </c>
      <c r="C23" s="3" t="s">
        <v>28</v>
      </c>
      <c r="D23" s="12">
        <v>94.95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5.64</v>
      </c>
      <c r="C24" s="3" t="s">
        <v>28</v>
      </c>
      <c r="D24" s="12">
        <v>96.76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0.12189999999999999</v>
      </c>
    </row>
    <row r="29" spans="1:11" x14ac:dyDescent="0.35">
      <c r="A29" s="1" t="s">
        <v>49</v>
      </c>
      <c r="B29" s="15">
        <v>0.1517</v>
      </c>
    </row>
    <row r="30" spans="1:11" x14ac:dyDescent="0.35">
      <c r="A30" s="1" t="s">
        <v>50</v>
      </c>
      <c r="B30" s="15">
        <v>0.314</v>
      </c>
    </row>
    <row r="31" spans="1:11" x14ac:dyDescent="0.35">
      <c r="A31" s="1" t="s">
        <v>51</v>
      </c>
      <c r="B31" s="15">
        <v>4.2999999999999997E-2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4.8107819535239786E-2</v>
      </c>
      <c r="C35" s="3" t="s">
        <v>54</v>
      </c>
    </row>
    <row r="36" spans="1:3" x14ac:dyDescent="0.35">
      <c r="A36" s="1" t="s">
        <v>55</v>
      </c>
      <c r="B36" s="16">
        <f>B7/B11</f>
        <v>5.4733216914178977E-2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0.10656681859528455</v>
      </c>
      <c r="C37" s="3" t="s">
        <v>58</v>
      </c>
    </row>
    <row r="38" spans="1:3" x14ac:dyDescent="0.35">
      <c r="A38" s="1" t="s">
        <v>59</v>
      </c>
      <c r="B38" s="16">
        <f>(B23-B22)/B23</f>
        <v>6.9902912621359281E-2</v>
      </c>
      <c r="C38" s="3" t="s">
        <v>60</v>
      </c>
    </row>
    <row r="39" spans="1:3" x14ac:dyDescent="0.35">
      <c r="A39" s="1" t="s">
        <v>61</v>
      </c>
      <c r="B39" s="28">
        <f>(B36-[1]Assumptions!$B$3)/B36/B38/[1]Assumptions!B5</f>
        <v>0.32821425095100198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3.3466977339307036E-2</v>
      </c>
    </row>
    <row r="42" spans="1:3" x14ac:dyDescent="0.35">
      <c r="A42" s="1" t="s">
        <v>65</v>
      </c>
      <c r="B42" s="19">
        <f>(B35-B41)/B48</f>
        <v>8.3325846450086878E-4</v>
      </c>
    </row>
    <row r="43" spans="1:3" x14ac:dyDescent="0.35">
      <c r="A43" s="1" t="s">
        <v>66</v>
      </c>
      <c r="B43" s="20">
        <f>MEDIAN(B28:B31)</f>
        <v>0.1368</v>
      </c>
    </row>
    <row r="44" spans="1:3" x14ac:dyDescent="0.35">
      <c r="A44" s="1" t="s">
        <v>67</v>
      </c>
      <c r="B44" s="21">
        <f>SUM(B40:B43)/3</f>
        <v>8.3700078601269309E-2</v>
      </c>
    </row>
    <row r="45" spans="1:3" x14ac:dyDescent="0.35">
      <c r="A45" s="1" t="s">
        <v>68</v>
      </c>
      <c r="B45" s="15">
        <f>(B35+0.3)/2</f>
        <v>0.17405390976761989</v>
      </c>
      <c r="C45" s="3" t="s">
        <v>77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16.381980433518233</v>
      </c>
    </row>
    <row r="48" spans="1:3" x14ac:dyDescent="0.35">
      <c r="A48" s="1" t="s">
        <v>72</v>
      </c>
      <c r="B48" s="22">
        <f>(B2/B18+10+B47)/3</f>
        <v>17.570589222520265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62.026500883804161</v>
      </c>
      <c r="C52" s="22"/>
    </row>
    <row r="53" spans="1:3" x14ac:dyDescent="0.35">
      <c r="A53" s="1" t="s">
        <v>74</v>
      </c>
      <c r="B53" s="22">
        <f>(B23*2-B$23)*(1+B$44)^8*B$48/(1+[1]Assumptions!B$4-B$14/B$2)^10</f>
        <v>72.107557460855858</v>
      </c>
      <c r="C53" s="22"/>
    </row>
    <row r="54" spans="1:3" x14ac:dyDescent="0.35">
      <c r="A54" s="1" t="s">
        <v>75</v>
      </c>
      <c r="B54" s="22">
        <f>(B24*2-B$23)*(1+B$44)^8*B$48/(1+[1]Assumptions!B$4-B$14/B$2)^10</f>
        <v>85.828995579620639</v>
      </c>
      <c r="C5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22" workbookViewId="0">
      <selection activeCell="B43" sqref="B43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</v>
      </c>
      <c r="I1" s="3" t="s">
        <v>2</v>
      </c>
      <c r="J1" s="3" t="str">
        <f>B1</f>
        <v>COST</v>
      </c>
      <c r="K1" s="3" t="s">
        <v>1</v>
      </c>
    </row>
    <row r="2" spans="1:11" x14ac:dyDescent="0.35">
      <c r="A2" s="1" t="s">
        <v>3</v>
      </c>
      <c r="B2" s="2">
        <v>900</v>
      </c>
      <c r="I2" s="3" t="s">
        <v>4</v>
      </c>
      <c r="J2" s="3">
        <f>B2</f>
        <v>900</v>
      </c>
      <c r="K2" s="3">
        <v>900</v>
      </c>
    </row>
    <row r="3" spans="1:11" x14ac:dyDescent="0.35">
      <c r="I3" s="3" t="s">
        <v>5</v>
      </c>
      <c r="J3" s="4">
        <f>B28</f>
        <v>0.17</v>
      </c>
      <c r="K3" s="3">
        <v>0.17</v>
      </c>
    </row>
    <row r="4" spans="1:11" x14ac:dyDescent="0.35">
      <c r="A4" s="1" t="s">
        <v>6</v>
      </c>
      <c r="I4" s="3" t="s">
        <v>7</v>
      </c>
      <c r="J4" s="3">
        <f>B18</f>
        <v>14.16</v>
      </c>
      <c r="K4" s="3">
        <v>14.16</v>
      </c>
    </row>
    <row r="5" spans="1:11" x14ac:dyDescent="0.35">
      <c r="B5" s="3" t="s">
        <v>8</v>
      </c>
      <c r="I5" s="3" t="s">
        <v>9</v>
      </c>
      <c r="J5" s="3">
        <f t="shared" ref="J5:J10" si="0">B19</f>
        <v>15.56</v>
      </c>
      <c r="K5" s="3">
        <v>15.56</v>
      </c>
    </row>
    <row r="6" spans="1:11" x14ac:dyDescent="0.35">
      <c r="A6" s="5" t="s">
        <v>10</v>
      </c>
      <c r="B6" s="6">
        <v>6292</v>
      </c>
      <c r="C6" s="3" t="s">
        <v>11</v>
      </c>
      <c r="D6" s="7"/>
      <c r="I6" s="3" t="s">
        <v>12</v>
      </c>
      <c r="J6" s="3">
        <f t="shared" si="0"/>
        <v>16.309999999999999</v>
      </c>
      <c r="K6" s="3">
        <v>16.309999999999999</v>
      </c>
    </row>
    <row r="7" spans="1:11" x14ac:dyDescent="0.35">
      <c r="A7" s="5" t="s">
        <v>13</v>
      </c>
      <c r="B7" s="6">
        <v>8114</v>
      </c>
      <c r="C7" s="3" t="s">
        <v>11</v>
      </c>
      <c r="D7" s="7"/>
      <c r="I7" s="3" t="s">
        <v>14</v>
      </c>
      <c r="J7" s="3">
        <f t="shared" si="0"/>
        <v>16.850000000000001</v>
      </c>
      <c r="K7" s="3">
        <v>16.850000000000001</v>
      </c>
    </row>
    <row r="8" spans="1:11" x14ac:dyDescent="0.35">
      <c r="A8" s="5" t="s">
        <v>15</v>
      </c>
      <c r="B8" s="6">
        <v>29704</v>
      </c>
      <c r="C8" s="3" t="s">
        <v>11</v>
      </c>
      <c r="D8" s="7"/>
      <c r="I8" s="3" t="s">
        <v>16</v>
      </c>
      <c r="J8" s="3">
        <f t="shared" si="0"/>
        <v>16.670000000000002</v>
      </c>
      <c r="K8" s="3">
        <v>16.670000000000002</v>
      </c>
    </row>
    <row r="9" spans="1:11" x14ac:dyDescent="0.35">
      <c r="A9" s="5" t="s">
        <v>17</v>
      </c>
      <c r="B9" s="6">
        <v>242290</v>
      </c>
      <c r="C9" s="3" t="s">
        <v>11</v>
      </c>
      <c r="D9" s="7"/>
      <c r="I9" s="3" t="s">
        <v>18</v>
      </c>
      <c r="J9" s="3">
        <f t="shared" si="0"/>
        <v>17.670000000000002</v>
      </c>
      <c r="K9" s="3">
        <v>17.670000000000002</v>
      </c>
    </row>
    <row r="10" spans="1:11" x14ac:dyDescent="0.35">
      <c r="A10" s="5" t="s">
        <v>19</v>
      </c>
      <c r="B10" s="8">
        <v>445</v>
      </c>
      <c r="C10" s="3" t="s">
        <v>11</v>
      </c>
      <c r="I10" s="3" t="s">
        <v>20</v>
      </c>
      <c r="J10" s="3">
        <f t="shared" si="0"/>
        <v>20</v>
      </c>
      <c r="K10" s="3">
        <v>20</v>
      </c>
    </row>
    <row r="11" spans="1:11" x14ac:dyDescent="0.35">
      <c r="A11" s="5" t="s">
        <v>21</v>
      </c>
      <c r="B11" s="6">
        <v>68994</v>
      </c>
      <c r="C11" s="3" t="s">
        <v>11</v>
      </c>
      <c r="D11" s="7"/>
      <c r="I11" s="3" t="s">
        <v>22</v>
      </c>
      <c r="J11" s="9">
        <f>B44*100</f>
        <v>8.2593798610401006</v>
      </c>
      <c r="K11" s="3">
        <v>8.2593798610401006</v>
      </c>
    </row>
    <row r="12" spans="1:11" x14ac:dyDescent="0.35">
      <c r="A12" s="5" t="s">
        <v>23</v>
      </c>
      <c r="B12" s="6">
        <v>25058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43936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4.6399999999999997</v>
      </c>
      <c r="C14" s="3" t="s">
        <v>28</v>
      </c>
      <c r="D14" s="7"/>
      <c r="I14" s="3" t="s">
        <v>29</v>
      </c>
      <c r="J14" s="3">
        <f>MAX(J12:J13)*2</f>
        <v>220</v>
      </c>
      <c r="K14" s="3">
        <v>220</v>
      </c>
    </row>
    <row r="15" spans="1:11" x14ac:dyDescent="0.35">
      <c r="I15" s="3" t="s">
        <v>30</v>
      </c>
      <c r="J15" s="9">
        <f>B14/B2*100</f>
        <v>0.51555555555555554</v>
      </c>
      <c r="K15" s="3">
        <v>0.51555555555555554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27.554872695346795</v>
      </c>
      <c r="K17" s="3">
        <v>27.554872695346795</v>
      </c>
    </row>
    <row r="18" spans="1:11" x14ac:dyDescent="0.35">
      <c r="A18" s="1" t="s">
        <v>35</v>
      </c>
      <c r="B18" s="11">
        <v>14.16</v>
      </c>
      <c r="C18" s="3" t="s">
        <v>28</v>
      </c>
      <c r="D18" s="12">
        <v>242.29</v>
      </c>
      <c r="E18" s="3" t="s">
        <v>36</v>
      </c>
      <c r="F18" s="13"/>
      <c r="H18" s="7"/>
      <c r="I18" s="3" t="s">
        <v>37</v>
      </c>
      <c r="J18" s="9">
        <f>B48</f>
        <v>31.038546248567766</v>
      </c>
      <c r="K18" s="3">
        <v>31.038546248567766</v>
      </c>
    </row>
    <row r="19" spans="1:11" x14ac:dyDescent="0.35">
      <c r="A19" s="1" t="s">
        <v>38</v>
      </c>
      <c r="B19" s="11">
        <v>15.56</v>
      </c>
      <c r="C19" s="3" t="s">
        <v>28</v>
      </c>
      <c r="D19" s="12">
        <v>253.28</v>
      </c>
      <c r="E19" s="3" t="s">
        <v>36</v>
      </c>
      <c r="F19" s="14"/>
      <c r="H19" s="7"/>
      <c r="I19" s="3" t="s">
        <v>39</v>
      </c>
      <c r="J19" s="9">
        <f>B52</f>
        <v>370.82624097862299</v>
      </c>
      <c r="K19" s="3">
        <v>370.82624097862299</v>
      </c>
    </row>
    <row r="20" spans="1:11" x14ac:dyDescent="0.35">
      <c r="A20" s="1" t="s">
        <v>40</v>
      </c>
      <c r="B20" s="11">
        <v>16.309999999999999</v>
      </c>
      <c r="C20" s="3" t="s">
        <v>28</v>
      </c>
      <c r="D20" s="12">
        <v>254.9</v>
      </c>
      <c r="E20" s="3" t="s">
        <v>36</v>
      </c>
      <c r="F20" s="14"/>
      <c r="H20" s="7"/>
      <c r="I20" s="3" t="s">
        <v>41</v>
      </c>
      <c r="J20" s="9">
        <f>B53</f>
        <v>418.15569100780272</v>
      </c>
      <c r="K20" s="3">
        <v>418.15569100780272</v>
      </c>
    </row>
    <row r="21" spans="1:11" x14ac:dyDescent="0.35">
      <c r="A21" s="1" t="s">
        <v>42</v>
      </c>
      <c r="B21" s="11">
        <v>16.850000000000001</v>
      </c>
      <c r="C21" s="3" t="s">
        <v>28</v>
      </c>
      <c r="D21" s="12">
        <v>257.64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16.670000000000002</v>
      </c>
      <c r="C22" s="3" t="s">
        <v>28</v>
      </c>
      <c r="D22" s="12">
        <v>266.63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17.670000000000002</v>
      </c>
      <c r="C23" s="3" t="s">
        <v>28</v>
      </c>
      <c r="D23" s="12">
        <v>273.10000000000002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20</v>
      </c>
      <c r="C24" s="3" t="s">
        <v>28</v>
      </c>
      <c r="D24" s="12">
        <v>278.43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0.17</v>
      </c>
    </row>
    <row r="29" spans="1:11" x14ac:dyDescent="0.35">
      <c r="A29" s="1" t="s">
        <v>49</v>
      </c>
      <c r="B29" s="15">
        <v>0.1</v>
      </c>
    </row>
    <row r="30" spans="1:11" x14ac:dyDescent="0.35">
      <c r="A30" s="1" t="s">
        <v>50</v>
      </c>
      <c r="B30" s="15">
        <v>0.08</v>
      </c>
    </row>
    <row r="31" spans="1:11" x14ac:dyDescent="0.35">
      <c r="A31" s="1" t="s">
        <v>51</v>
      </c>
      <c r="B31" s="15">
        <v>0.1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0.25109745390693589</v>
      </c>
      <c r="C35" s="3" t="s">
        <v>54</v>
      </c>
    </row>
    <row r="36" spans="1:3" x14ac:dyDescent="0.35">
      <c r="A36" s="1" t="s">
        <v>55</v>
      </c>
      <c r="B36" s="16">
        <f>B7/B11</f>
        <v>0.11760442937066991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0.1319172681682465</v>
      </c>
      <c r="C37" s="3" t="s">
        <v>58</v>
      </c>
    </row>
    <row r="38" spans="1:3" x14ac:dyDescent="0.35">
      <c r="A38" s="1" t="s">
        <v>59</v>
      </c>
      <c r="B38" s="16">
        <f>(B23-B22)/B23</f>
        <v>5.6593095642331628E-2</v>
      </c>
      <c r="C38" s="3" t="s">
        <v>60</v>
      </c>
    </row>
    <row r="39" spans="1:3" x14ac:dyDescent="0.35">
      <c r="A39" s="1" t="s">
        <v>61</v>
      </c>
      <c r="B39" s="17">
        <f>(B36-[1]Assumptions!$B$3)/B36/B38/[1]Assumptions!B5</f>
        <v>2.694854328371723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6.1678701760764287E-2</v>
      </c>
    </row>
    <row r="42" spans="1:3" x14ac:dyDescent="0.35">
      <c r="A42" s="1" t="s">
        <v>65</v>
      </c>
      <c r="B42" s="19">
        <f>(B35-B41)/B48</f>
        <v>6.1026940704386919E-3</v>
      </c>
    </row>
    <row r="43" spans="1:3" x14ac:dyDescent="0.35">
      <c r="A43" s="1" t="s">
        <v>66</v>
      </c>
      <c r="B43" s="20">
        <f>MEDIAN(B28:B31)</f>
        <v>0.1</v>
      </c>
    </row>
    <row r="44" spans="1:3" x14ac:dyDescent="0.35">
      <c r="A44" s="1" t="s">
        <v>67</v>
      </c>
      <c r="B44" s="21">
        <f>SUM(B40:B43)/3</f>
        <v>8.2593798610401004E-2</v>
      </c>
    </row>
    <row r="45" spans="1:3" x14ac:dyDescent="0.35">
      <c r="A45" s="1" t="s">
        <v>68</v>
      </c>
      <c r="B45" s="15">
        <f>(B35+0.3)/2</f>
        <v>0.27554872695346794</v>
      </c>
      <c r="C45" s="3" t="s">
        <v>69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19.556316711805</v>
      </c>
    </row>
    <row r="48" spans="1:3" x14ac:dyDescent="0.35">
      <c r="A48" s="1" t="s">
        <v>72</v>
      </c>
      <c r="B48" s="22">
        <f>(B2/B18+10+B47)/3</f>
        <v>31.038546248567766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370.82624097862299</v>
      </c>
      <c r="C52" s="22"/>
    </row>
    <row r="53" spans="1:3" x14ac:dyDescent="0.35">
      <c r="A53" s="1" t="s">
        <v>74</v>
      </c>
      <c r="B53" s="22">
        <f>(B23*2-B$23)*(1+B$44)^8*B$48/(1+[1]Assumptions!B$4-B$14/B$2)^10</f>
        <v>418.15569100780272</v>
      </c>
      <c r="C53" s="22"/>
    </row>
    <row r="54" spans="1:3" x14ac:dyDescent="0.35">
      <c r="A54" s="1" t="s">
        <v>75</v>
      </c>
      <c r="B54" s="22">
        <f>(B24*2-B$23)*(1+B$44)^8*B$48/(1+[1]Assumptions!B$4-B$14/B$2)^10</f>
        <v>528.43330957579121</v>
      </c>
      <c r="C5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99B5-E57C-49F9-9E2A-C8C88DE9D7E3}">
  <dimension ref="A1:K54"/>
  <sheetViews>
    <sheetView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5" width="20.6640625" style="3" customWidth="1"/>
    <col min="6" max="6" width="20.88671875" style="3" customWidth="1"/>
    <col min="7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76</v>
      </c>
      <c r="I1" s="3" t="s">
        <v>2</v>
      </c>
      <c r="J1" s="3" t="str">
        <f>B1</f>
        <v>ULTA</v>
      </c>
      <c r="K1" s="3" t="s">
        <v>76</v>
      </c>
    </row>
    <row r="2" spans="1:11" x14ac:dyDescent="0.35">
      <c r="A2" s="1" t="s">
        <v>3</v>
      </c>
      <c r="B2" s="2">
        <v>373</v>
      </c>
      <c r="I2" s="3" t="s">
        <v>4</v>
      </c>
      <c r="J2" s="3">
        <f>B2</f>
        <v>373</v>
      </c>
      <c r="K2" s="3">
        <v>373</v>
      </c>
    </row>
    <row r="3" spans="1:11" x14ac:dyDescent="0.35">
      <c r="I3" s="3" t="s">
        <v>5</v>
      </c>
      <c r="J3" s="4">
        <f>B28</f>
        <v>0.3</v>
      </c>
      <c r="K3" s="3">
        <v>0.3</v>
      </c>
    </row>
    <row r="4" spans="1:11" x14ac:dyDescent="0.35">
      <c r="A4" s="1" t="s">
        <v>6</v>
      </c>
      <c r="I4" s="3" t="s">
        <v>7</v>
      </c>
      <c r="J4" s="3">
        <f>B18</f>
        <v>26.03</v>
      </c>
      <c r="K4" s="3">
        <v>26.03</v>
      </c>
    </row>
    <row r="5" spans="1:11" x14ac:dyDescent="0.35">
      <c r="B5" s="3" t="s">
        <v>8</v>
      </c>
      <c r="I5" s="3" t="s">
        <v>9</v>
      </c>
      <c r="J5" s="3">
        <f t="shared" ref="J5:J10" si="0">B19</f>
        <v>22.76</v>
      </c>
      <c r="K5" s="3">
        <v>22.76</v>
      </c>
    </row>
    <row r="6" spans="1:11" x14ac:dyDescent="0.35">
      <c r="A6" s="5" t="s">
        <v>10</v>
      </c>
      <c r="B6" s="6">
        <v>1291</v>
      </c>
      <c r="C6" s="3" t="s">
        <v>11</v>
      </c>
      <c r="D6" s="7"/>
      <c r="I6" s="3" t="s">
        <v>12</v>
      </c>
      <c r="J6" s="3">
        <f t="shared" si="0"/>
        <v>23.14</v>
      </c>
      <c r="K6" s="3">
        <v>23.14</v>
      </c>
    </row>
    <row r="7" spans="1:11" x14ac:dyDescent="0.35">
      <c r="A7" s="5" t="s">
        <v>13</v>
      </c>
      <c r="B7" s="6">
        <v>1687</v>
      </c>
      <c r="C7" s="3" t="s">
        <v>11</v>
      </c>
      <c r="D7" s="7"/>
      <c r="I7" s="3" t="s">
        <v>14</v>
      </c>
      <c r="J7" s="3">
        <f t="shared" si="0"/>
        <v>23.5</v>
      </c>
      <c r="K7" s="3">
        <v>23.5</v>
      </c>
    </row>
    <row r="8" spans="1:11" x14ac:dyDescent="0.35">
      <c r="A8" s="5" t="s">
        <v>15</v>
      </c>
      <c r="B8" s="6">
        <v>4381</v>
      </c>
      <c r="C8" s="3" t="s">
        <v>11</v>
      </c>
      <c r="D8" s="7"/>
      <c r="I8" s="3" t="s">
        <v>16</v>
      </c>
      <c r="J8" s="3">
        <f t="shared" si="0"/>
        <v>20.75</v>
      </c>
      <c r="K8" s="3">
        <v>20.75</v>
      </c>
    </row>
    <row r="9" spans="1:11" x14ac:dyDescent="0.35">
      <c r="A9" s="5" t="s">
        <v>17</v>
      </c>
      <c r="B9" s="6">
        <v>11207</v>
      </c>
      <c r="C9" s="3" t="s">
        <v>11</v>
      </c>
      <c r="D9" s="7"/>
      <c r="I9" s="3" t="s">
        <v>18</v>
      </c>
      <c r="J9" s="3">
        <f t="shared" si="0"/>
        <v>23</v>
      </c>
      <c r="K9" s="3">
        <v>23</v>
      </c>
    </row>
    <row r="10" spans="1:11" x14ac:dyDescent="0.35">
      <c r="A10" s="5" t="s">
        <v>19</v>
      </c>
      <c r="B10" s="8">
        <v>50</v>
      </c>
      <c r="C10" s="3" t="s">
        <v>11</v>
      </c>
      <c r="D10" s="7"/>
      <c r="I10" s="3" t="s">
        <v>20</v>
      </c>
      <c r="J10" s="3">
        <f t="shared" si="0"/>
        <v>26.04</v>
      </c>
      <c r="K10" s="3">
        <v>26.04</v>
      </c>
    </row>
    <row r="11" spans="1:11" x14ac:dyDescent="0.35">
      <c r="A11" s="5" t="s">
        <v>21</v>
      </c>
      <c r="B11" s="6">
        <v>5707</v>
      </c>
      <c r="C11" s="3" t="s">
        <v>11</v>
      </c>
      <c r="D11" s="7"/>
      <c r="I11" s="3" t="s">
        <v>22</v>
      </c>
      <c r="J11" s="9">
        <f>B44*100</f>
        <v>4.013850674209209</v>
      </c>
      <c r="K11" s="3">
        <v>4.013850674209209</v>
      </c>
    </row>
    <row r="12" spans="1:11" x14ac:dyDescent="0.35">
      <c r="A12" s="5" t="s">
        <v>23</v>
      </c>
      <c r="B12" s="6">
        <v>2279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1658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0</v>
      </c>
      <c r="C14" s="3" t="s">
        <v>28</v>
      </c>
      <c r="D14" s="23"/>
      <c r="I14" s="3" t="s">
        <v>29</v>
      </c>
      <c r="J14" s="3">
        <f>MAX(J12:J13)*2</f>
        <v>220</v>
      </c>
      <c r="K14" s="3">
        <v>220</v>
      </c>
    </row>
    <row r="15" spans="1:11" x14ac:dyDescent="0.35">
      <c r="I15" s="3" t="s">
        <v>30</v>
      </c>
      <c r="J15" s="9">
        <f>B14/B2*100</f>
        <v>0</v>
      </c>
      <c r="K15" s="3">
        <v>0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1">
        <v>26.03</v>
      </c>
      <c r="C18" s="3" t="s">
        <v>28</v>
      </c>
      <c r="D18" s="12">
        <v>11.21</v>
      </c>
      <c r="E18" s="3" t="s">
        <v>36</v>
      </c>
      <c r="F18" s="13"/>
      <c r="H18" s="7"/>
      <c r="I18" s="3" t="s">
        <v>37</v>
      </c>
      <c r="J18" s="9">
        <f>B48</f>
        <v>14.776539889870662</v>
      </c>
      <c r="K18" s="3">
        <v>14.776539889870662</v>
      </c>
    </row>
    <row r="19" spans="1:11" x14ac:dyDescent="0.35">
      <c r="A19" s="1" t="s">
        <v>38</v>
      </c>
      <c r="B19" s="11">
        <v>22.76</v>
      </c>
      <c r="C19" s="3" t="s">
        <v>28</v>
      </c>
      <c r="D19" s="12">
        <v>11.08</v>
      </c>
      <c r="E19" s="3" t="s">
        <v>36</v>
      </c>
      <c r="F19" s="14"/>
      <c r="H19" s="7"/>
      <c r="I19" s="3" t="s">
        <v>39</v>
      </c>
      <c r="J19" s="9">
        <f>B52</f>
        <v>144.39329405673882</v>
      </c>
      <c r="K19" s="3">
        <v>144.39329405673882</v>
      </c>
    </row>
    <row r="20" spans="1:11" x14ac:dyDescent="0.35">
      <c r="A20" s="1" t="s">
        <v>40</v>
      </c>
      <c r="B20" s="11">
        <v>23.14</v>
      </c>
      <c r="C20" s="3" t="s">
        <v>28</v>
      </c>
      <c r="D20" s="12">
        <v>11.16</v>
      </c>
      <c r="E20" s="3" t="s">
        <v>36</v>
      </c>
      <c r="F20" s="14"/>
      <c r="H20" s="7"/>
      <c r="I20" s="3" t="s">
        <v>41</v>
      </c>
      <c r="J20" s="9">
        <f>B53</f>
        <v>179.51598720567529</v>
      </c>
      <c r="K20" s="3">
        <v>179.51598720567529</v>
      </c>
    </row>
    <row r="21" spans="1:11" x14ac:dyDescent="0.35">
      <c r="A21" s="1" t="s">
        <v>42</v>
      </c>
      <c r="B21" s="11">
        <v>23.5</v>
      </c>
      <c r="C21" s="3" t="s">
        <v>28</v>
      </c>
      <c r="D21" s="12">
        <v>11.29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20.75</v>
      </c>
      <c r="C22" s="3" t="s">
        <v>28</v>
      </c>
      <c r="D22" s="12">
        <v>11.4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23</v>
      </c>
      <c r="C23" s="3" t="s">
        <v>28</v>
      </c>
      <c r="D23" s="12">
        <v>11.6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26.04</v>
      </c>
      <c r="C24" s="3" t="s">
        <v>28</v>
      </c>
      <c r="D24" s="12">
        <v>12.38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0.3</v>
      </c>
    </row>
    <row r="29" spans="1:11" x14ac:dyDescent="0.35">
      <c r="A29" s="1" t="s">
        <v>49</v>
      </c>
      <c r="B29" s="15">
        <v>-2.8000000000000001E-2</v>
      </c>
    </row>
    <row r="30" spans="1:11" x14ac:dyDescent="0.35">
      <c r="A30" s="1" t="s">
        <v>50</v>
      </c>
      <c r="B30" s="15">
        <v>-0.11</v>
      </c>
    </row>
    <row r="31" spans="1:11" x14ac:dyDescent="0.35">
      <c r="A31" s="1" t="s">
        <v>51</v>
      </c>
      <c r="B31" s="15">
        <v>0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0.56647652479157529</v>
      </c>
      <c r="C35" s="3" t="s">
        <v>54</v>
      </c>
    </row>
    <row r="36" spans="1:3" x14ac:dyDescent="0.35">
      <c r="A36" s="1" t="s">
        <v>55</v>
      </c>
      <c r="B36" s="16">
        <f>B7/B11</f>
        <v>0.29560189241282636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0.13432626598913613</v>
      </c>
      <c r="C37" s="3" t="s">
        <v>58</v>
      </c>
    </row>
    <row r="38" spans="1:3" x14ac:dyDescent="0.35">
      <c r="A38" s="1" t="s">
        <v>59</v>
      </c>
      <c r="B38" s="16">
        <f>(B23-B22)/B23</f>
        <v>9.7826086956521743E-2</v>
      </c>
      <c r="C38" s="3" t="s">
        <v>60</v>
      </c>
    </row>
    <row r="39" spans="1:3" x14ac:dyDescent="0.35">
      <c r="A39" s="1" t="s">
        <v>61</v>
      </c>
      <c r="B39" s="17">
        <f>(B36-[1]Assumptions!$B$3)/B36/B38/[1]Assumptions!B5</f>
        <v>2.2532899980778716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1.7246462635712723E-2</v>
      </c>
    </row>
    <row r="42" spans="1:3" x14ac:dyDescent="0.35">
      <c r="A42" s="1" t="s">
        <v>65</v>
      </c>
      <c r="B42" s="19">
        <f>(B35-B41)/B48</f>
        <v>3.7169057590563576E-2</v>
      </c>
    </row>
    <row r="43" spans="1:3" x14ac:dyDescent="0.35">
      <c r="A43" s="1" t="s">
        <v>66</v>
      </c>
      <c r="B43" s="20">
        <f>MEDIAN(B28:B31)</f>
        <v>-1.4E-2</v>
      </c>
    </row>
    <row r="44" spans="1:3" x14ac:dyDescent="0.35">
      <c r="A44" s="1" t="s">
        <v>67</v>
      </c>
      <c r="B44" s="21">
        <f>SUM(B40:B43)/3</f>
        <v>4.0138506742092094E-2</v>
      </c>
    </row>
    <row r="45" spans="1:3" x14ac:dyDescent="0.35">
      <c r="A45" s="1" t="s">
        <v>68</v>
      </c>
      <c r="B45" s="24">
        <v>0.3</v>
      </c>
      <c r="C45" s="3" t="s">
        <v>77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19.999999999999996</v>
      </c>
    </row>
    <row r="48" spans="1:3" x14ac:dyDescent="0.35">
      <c r="A48" s="1" t="s">
        <v>72</v>
      </c>
      <c r="B48" s="22">
        <f>(B2/B18+10+B47)/3</f>
        <v>14.776539889870662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144.39329405673882</v>
      </c>
      <c r="C52" s="22"/>
    </row>
    <row r="53" spans="1:3" x14ac:dyDescent="0.35">
      <c r="A53" s="1" t="s">
        <v>74</v>
      </c>
      <c r="B53" s="22">
        <f>(B23*2-B$23)*(1+B$44)^8*B$48/(1+[1]Assumptions!B$4-B$14/B$2)^10</f>
        <v>179.51598720567529</v>
      </c>
      <c r="C53" s="22"/>
    </row>
    <row r="54" spans="1:3" x14ac:dyDescent="0.35">
      <c r="A54" s="1" t="s">
        <v>75</v>
      </c>
      <c r="B54" s="22">
        <f>(B24*2-B$23)*(1+B$44)^8*B$48/(1+[1]Assumptions!B$4-B$14/B$2)^10</f>
        <v>226.97064817134944</v>
      </c>
      <c r="C5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68FB-942F-48BA-8F4E-2D56C5B4B832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78</v>
      </c>
      <c r="I1" s="3" t="s">
        <v>2</v>
      </c>
      <c r="J1" s="3" t="str">
        <f>B1</f>
        <v>BKNG</v>
      </c>
      <c r="K1" s="3" t="s">
        <v>78</v>
      </c>
    </row>
    <row r="2" spans="1:11" x14ac:dyDescent="0.35">
      <c r="A2" s="1" t="s">
        <v>3</v>
      </c>
      <c r="B2" s="2">
        <v>5000</v>
      </c>
      <c r="I2" s="3" t="s">
        <v>4</v>
      </c>
      <c r="J2" s="3">
        <f>B2</f>
        <v>5000</v>
      </c>
      <c r="K2" s="3">
        <v>5000</v>
      </c>
    </row>
    <row r="3" spans="1:11" x14ac:dyDescent="0.35">
      <c r="I3" s="3" t="s">
        <v>5</v>
      </c>
      <c r="J3" s="4">
        <f>B28</f>
        <v>0.16</v>
      </c>
      <c r="K3" s="3">
        <v>0.16</v>
      </c>
    </row>
    <row r="4" spans="1:11" x14ac:dyDescent="0.35">
      <c r="A4" s="1" t="s">
        <v>6</v>
      </c>
      <c r="I4" s="3" t="s">
        <v>7</v>
      </c>
      <c r="J4" s="3">
        <f>B18</f>
        <v>152.22</v>
      </c>
      <c r="K4" s="3">
        <v>152.22</v>
      </c>
    </row>
    <row r="5" spans="1:11" x14ac:dyDescent="0.35">
      <c r="B5" s="3" t="s">
        <v>8</v>
      </c>
      <c r="I5" s="3" t="s">
        <v>9</v>
      </c>
      <c r="J5" s="3">
        <f t="shared" ref="J5:J10" si="0">B19</f>
        <v>157.09</v>
      </c>
      <c r="K5" s="3">
        <v>157.09</v>
      </c>
    </row>
    <row r="6" spans="1:11" x14ac:dyDescent="0.35">
      <c r="A6" s="5" t="s">
        <v>10</v>
      </c>
      <c r="B6" s="6">
        <v>5030</v>
      </c>
      <c r="C6" s="3" t="s">
        <v>11</v>
      </c>
      <c r="D6" s="7"/>
      <c r="I6" s="3" t="s">
        <v>12</v>
      </c>
      <c r="J6" s="3">
        <f t="shared" si="0"/>
        <v>178.39</v>
      </c>
      <c r="K6" s="3">
        <v>178.39</v>
      </c>
    </row>
    <row r="7" spans="1:11" x14ac:dyDescent="0.35">
      <c r="A7" s="5" t="s">
        <v>13</v>
      </c>
      <c r="B7" s="6">
        <v>6359</v>
      </c>
      <c r="C7" s="3" t="s">
        <v>11</v>
      </c>
      <c r="D7" s="7"/>
      <c r="I7" s="3" t="s">
        <v>14</v>
      </c>
      <c r="J7" s="3">
        <f t="shared" si="0"/>
        <v>188</v>
      </c>
      <c r="K7" s="3">
        <v>188</v>
      </c>
    </row>
    <row r="8" spans="1:11" x14ac:dyDescent="0.35">
      <c r="A8" s="5" t="s">
        <v>15</v>
      </c>
      <c r="B8" s="6">
        <v>6359</v>
      </c>
      <c r="C8" s="3" t="s">
        <v>11</v>
      </c>
      <c r="D8" s="7"/>
      <c r="I8" s="3" t="s">
        <v>16</v>
      </c>
      <c r="J8" s="3">
        <f t="shared" si="0"/>
        <v>176.16</v>
      </c>
      <c r="K8" s="3">
        <v>176.16</v>
      </c>
    </row>
    <row r="9" spans="1:11" x14ac:dyDescent="0.35">
      <c r="A9" s="5" t="s">
        <v>17</v>
      </c>
      <c r="B9" s="6">
        <v>22399</v>
      </c>
      <c r="C9" s="3" t="s">
        <v>11</v>
      </c>
      <c r="D9" s="7"/>
      <c r="I9" s="3" t="s">
        <v>18</v>
      </c>
      <c r="J9" s="3">
        <f t="shared" si="0"/>
        <v>205.93</v>
      </c>
      <c r="K9" s="3">
        <v>205.93</v>
      </c>
    </row>
    <row r="10" spans="1:11" x14ac:dyDescent="0.35">
      <c r="A10" s="5" t="s">
        <v>19</v>
      </c>
      <c r="B10" s="8">
        <v>33.520000000000003</v>
      </c>
      <c r="C10" s="3" t="s">
        <v>11</v>
      </c>
      <c r="D10" s="7"/>
      <c r="I10" s="3" t="s">
        <v>20</v>
      </c>
      <c r="J10" s="3">
        <f t="shared" si="0"/>
        <v>217.33</v>
      </c>
      <c r="K10" s="3">
        <v>217.33</v>
      </c>
    </row>
    <row r="11" spans="1:11" x14ac:dyDescent="0.35">
      <c r="A11" s="5" t="s">
        <v>21</v>
      </c>
      <c r="B11" s="6">
        <v>24342</v>
      </c>
      <c r="C11" s="3" t="s">
        <v>11</v>
      </c>
      <c r="D11" s="7"/>
      <c r="I11" s="3" t="s">
        <v>22</v>
      </c>
      <c r="J11" s="9">
        <f>B44*100</f>
        <v>13.69548395886124</v>
      </c>
      <c r="K11" s="3">
        <v>13.69548395886124</v>
      </c>
    </row>
    <row r="12" spans="1:11" x14ac:dyDescent="0.35">
      <c r="A12" s="5" t="s">
        <v>23</v>
      </c>
      <c r="B12" s="6">
        <v>-2744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27086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35</v>
      </c>
      <c r="C14" s="3" t="s">
        <v>28</v>
      </c>
      <c r="D14" s="23"/>
      <c r="I14" s="3" t="s">
        <v>29</v>
      </c>
      <c r="J14" s="3">
        <f>MAX(J12:J13)*2</f>
        <v>220</v>
      </c>
      <c r="K14" s="3">
        <v>220</v>
      </c>
    </row>
    <row r="15" spans="1:11" x14ac:dyDescent="0.35">
      <c r="I15" s="3" t="s">
        <v>30</v>
      </c>
      <c r="J15" s="9">
        <f>B14/B2*100</f>
        <v>0.70000000000000007</v>
      </c>
      <c r="K15" s="3">
        <v>0.70000000000000007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1">
        <v>152.22</v>
      </c>
      <c r="C18" s="3" t="s">
        <v>28</v>
      </c>
      <c r="D18" s="12">
        <v>29.78</v>
      </c>
      <c r="E18" s="3" t="s">
        <v>36</v>
      </c>
      <c r="F18" s="13"/>
      <c r="H18" s="7"/>
      <c r="I18" s="3" t="s">
        <v>37</v>
      </c>
      <c r="J18" s="9">
        <f>B48</f>
        <v>20.94906494985328</v>
      </c>
      <c r="K18" s="3">
        <v>20.94906494985328</v>
      </c>
    </row>
    <row r="19" spans="1:11" x14ac:dyDescent="0.35">
      <c r="A19" s="1" t="s">
        <v>38</v>
      </c>
      <c r="B19" s="11">
        <v>157.09</v>
      </c>
      <c r="C19" s="3" t="s">
        <v>28</v>
      </c>
      <c r="D19" s="12">
        <v>35.47</v>
      </c>
      <c r="E19" s="3" t="s">
        <v>36</v>
      </c>
      <c r="F19" s="14"/>
      <c r="H19" s="7"/>
      <c r="I19" s="3" t="s">
        <v>39</v>
      </c>
      <c r="J19" s="9">
        <f>B52</f>
        <v>3519.0071692864644</v>
      </c>
      <c r="K19" s="3">
        <v>3519.0071692864644</v>
      </c>
    </row>
    <row r="20" spans="1:11" x14ac:dyDescent="0.35">
      <c r="A20" s="1" t="s">
        <v>40</v>
      </c>
      <c r="B20" s="11">
        <v>178.39</v>
      </c>
      <c r="C20" s="3" t="s">
        <v>28</v>
      </c>
      <c r="D20" s="12">
        <v>35.94</v>
      </c>
      <c r="E20" s="3" t="s">
        <v>36</v>
      </c>
      <c r="F20" s="14"/>
      <c r="H20" s="7"/>
      <c r="I20" s="3" t="s">
        <v>41</v>
      </c>
      <c r="J20" s="9">
        <f>B53</f>
        <v>4950.2639959776061</v>
      </c>
      <c r="K20" s="3">
        <v>4950.2639959776061</v>
      </c>
    </row>
    <row r="21" spans="1:11" x14ac:dyDescent="0.35">
      <c r="A21" s="1" t="s">
        <v>42</v>
      </c>
      <c r="B21" s="11">
        <v>188</v>
      </c>
      <c r="C21" s="3" t="s">
        <v>28</v>
      </c>
      <c r="D21" s="12">
        <v>36.450000000000003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176.16</v>
      </c>
      <c r="C22" s="3" t="s">
        <v>28</v>
      </c>
      <c r="D22" s="12">
        <v>38.659999999999997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205.93</v>
      </c>
      <c r="C23" s="3" t="s">
        <v>28</v>
      </c>
      <c r="D23" s="12">
        <v>39.700000000000003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217.33</v>
      </c>
      <c r="C24" s="3" t="s">
        <v>28</v>
      </c>
      <c r="D24" s="12">
        <v>40.46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0.16</v>
      </c>
    </row>
    <row r="29" spans="1:11" x14ac:dyDescent="0.35">
      <c r="A29" s="1" t="s">
        <v>49</v>
      </c>
      <c r="B29" s="15">
        <v>0.22</v>
      </c>
    </row>
    <row r="30" spans="1:11" x14ac:dyDescent="0.35">
      <c r="A30" s="1" t="s">
        <v>50</v>
      </c>
      <c r="B30" s="15">
        <v>0.15</v>
      </c>
    </row>
    <row r="31" spans="1:11" x14ac:dyDescent="0.35">
      <c r="A31" s="1" t="s">
        <v>51</v>
      </c>
      <c r="B31" s="15">
        <v>0.15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25">
        <v>0.6</v>
      </c>
      <c r="C35" s="3" t="s">
        <v>54</v>
      </c>
    </row>
    <row r="36" spans="1:3" x14ac:dyDescent="0.35">
      <c r="A36" s="1" t="s">
        <v>55</v>
      </c>
      <c r="B36" s="16">
        <f>B7/B11</f>
        <v>0.2612357242625914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2.181825651137952E-2</v>
      </c>
      <c r="C37" s="3" t="s">
        <v>58</v>
      </c>
    </row>
    <row r="38" spans="1:3" x14ac:dyDescent="0.35">
      <c r="A38" s="1" t="s">
        <v>59</v>
      </c>
      <c r="B38" s="16">
        <f>(B23-B22)/B23</f>
        <v>0.14456368668965186</v>
      </c>
      <c r="C38" s="3" t="s">
        <v>60</v>
      </c>
    </row>
    <row r="39" spans="1:3" x14ac:dyDescent="0.35">
      <c r="A39" s="1" t="s">
        <v>61</v>
      </c>
      <c r="B39" s="17">
        <f>(B36-[1]Assumptions!$B$3)/B36/B38/[1]Assumptions!B5</f>
        <v>1.4839622675223716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0.15460359840188387</v>
      </c>
    </row>
    <row r="42" spans="1:3" x14ac:dyDescent="0.35">
      <c r="A42" s="1" t="s">
        <v>65</v>
      </c>
      <c r="B42" s="19">
        <f>(B35-B41)/B48</f>
        <v>2.1260920363953308E-2</v>
      </c>
    </row>
    <row r="43" spans="1:3" x14ac:dyDescent="0.35">
      <c r="A43" s="1" t="s">
        <v>66</v>
      </c>
      <c r="B43" s="20">
        <f>MEDIAN(B28:B31)</f>
        <v>0.155</v>
      </c>
    </row>
    <row r="44" spans="1:3" x14ac:dyDescent="0.35">
      <c r="A44" s="1" t="s">
        <v>67</v>
      </c>
      <c r="B44" s="21">
        <f>SUM(B40:B43)/3</f>
        <v>0.1369548395886124</v>
      </c>
    </row>
    <row r="45" spans="1:3" x14ac:dyDescent="0.35">
      <c r="A45" s="1" t="s">
        <v>68</v>
      </c>
      <c r="B45" s="24">
        <v>0.3</v>
      </c>
      <c r="C45" s="3" t="s">
        <v>77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19.999999999999996</v>
      </c>
    </row>
    <row r="48" spans="1:3" x14ac:dyDescent="0.35">
      <c r="A48" s="1" t="s">
        <v>72</v>
      </c>
      <c r="B48" s="22">
        <f>(B2/B18+10+B47)/3</f>
        <v>20.94906494985328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3519.0071692864644</v>
      </c>
      <c r="C52" s="22"/>
    </row>
    <row r="53" spans="1:3" x14ac:dyDescent="0.35">
      <c r="A53" s="1" t="s">
        <v>74</v>
      </c>
      <c r="B53" s="22">
        <f>(B23*2-B$23)*(1+B$44)^8*B$48/(1+[1]Assumptions!B$4-B$14/B$2)^10</f>
        <v>4950.2639959776061</v>
      </c>
      <c r="C53" s="22"/>
    </row>
    <row r="54" spans="1:3" x14ac:dyDescent="0.35">
      <c r="A54" s="1" t="s">
        <v>75</v>
      </c>
      <c r="B54" s="22">
        <f>(B24*2-B$23)*(1+B$44)^8*B$48/(1+[1]Assumptions!B$4-B$14/B$2)^10</f>
        <v>5498.3435332392455</v>
      </c>
      <c r="C5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699D-D3B8-4971-8955-4817A00B1C4D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111</v>
      </c>
      <c r="I1" s="3" t="s">
        <v>2</v>
      </c>
      <c r="J1" s="3" t="str">
        <f>B1</f>
        <v>V</v>
      </c>
      <c r="K1" s="3" t="s">
        <v>111</v>
      </c>
    </row>
    <row r="2" spans="1:11" x14ac:dyDescent="0.35">
      <c r="A2" s="1" t="s">
        <v>3</v>
      </c>
      <c r="B2" s="2">
        <v>282</v>
      </c>
      <c r="I2" s="3" t="s">
        <v>4</v>
      </c>
      <c r="J2" s="3">
        <f>B2</f>
        <v>282</v>
      </c>
      <c r="K2" s="3">
        <v>282</v>
      </c>
    </row>
    <row r="3" spans="1:11" x14ac:dyDescent="0.35">
      <c r="I3" s="3" t="s">
        <v>5</v>
      </c>
      <c r="J3" s="4">
        <f>B28</f>
        <v>0.16</v>
      </c>
      <c r="K3" s="3">
        <v>0.16</v>
      </c>
    </row>
    <row r="4" spans="1:11" x14ac:dyDescent="0.35">
      <c r="A4" s="1" t="s">
        <v>6</v>
      </c>
      <c r="I4" s="3" t="s">
        <v>7</v>
      </c>
      <c r="J4" s="3">
        <f>B18</f>
        <v>8</v>
      </c>
      <c r="K4" s="3">
        <v>8</v>
      </c>
    </row>
    <row r="5" spans="1:11" x14ac:dyDescent="0.35">
      <c r="B5" s="3" t="s">
        <v>8</v>
      </c>
      <c r="I5" s="3" t="s">
        <v>9</v>
      </c>
      <c r="J5" s="3">
        <f t="shared" ref="J5:J10" si="0">B19</f>
        <v>9.85</v>
      </c>
      <c r="K5" s="3">
        <v>9.85</v>
      </c>
    </row>
    <row r="6" spans="1:11" x14ac:dyDescent="0.35">
      <c r="A6" s="5" t="s">
        <v>10</v>
      </c>
      <c r="B6" s="6">
        <v>17273</v>
      </c>
      <c r="C6" s="3" t="s">
        <v>11</v>
      </c>
      <c r="D6" s="7"/>
      <c r="I6" s="3" t="s">
        <v>12</v>
      </c>
      <c r="J6" s="3">
        <f t="shared" si="0"/>
        <v>9.92</v>
      </c>
      <c r="K6" s="3">
        <v>9.92</v>
      </c>
    </row>
    <row r="7" spans="1:11" x14ac:dyDescent="0.35">
      <c r="A7" s="5" t="s">
        <v>13</v>
      </c>
      <c r="B7" s="6">
        <v>21927</v>
      </c>
      <c r="C7" s="3" t="s">
        <v>11</v>
      </c>
      <c r="D7" s="7"/>
      <c r="I7" s="3" t="s">
        <v>14</v>
      </c>
      <c r="J7" s="3">
        <f t="shared" si="0"/>
        <v>9.9600000000000009</v>
      </c>
      <c r="K7" s="3">
        <v>9.9600000000000009</v>
      </c>
    </row>
    <row r="8" spans="1:11" x14ac:dyDescent="0.35">
      <c r="A8" s="5" t="s">
        <v>15</v>
      </c>
      <c r="B8" s="6">
        <v>26086</v>
      </c>
      <c r="C8" s="3" t="s">
        <v>11</v>
      </c>
      <c r="D8" s="7"/>
      <c r="I8" s="3" t="s">
        <v>16</v>
      </c>
      <c r="J8" s="3">
        <f t="shared" si="0"/>
        <v>10.71</v>
      </c>
      <c r="K8" s="3">
        <v>10.71</v>
      </c>
    </row>
    <row r="9" spans="1:11" x14ac:dyDescent="0.35">
      <c r="A9" s="5" t="s">
        <v>17</v>
      </c>
      <c r="B9" s="6">
        <v>32653</v>
      </c>
      <c r="C9" s="3" t="s">
        <v>11</v>
      </c>
      <c r="D9" s="7"/>
      <c r="I9" s="3" t="s">
        <v>18</v>
      </c>
      <c r="J9" s="3">
        <f t="shared" si="0"/>
        <v>11.07</v>
      </c>
      <c r="K9" s="3">
        <v>11.07</v>
      </c>
    </row>
    <row r="10" spans="1:11" x14ac:dyDescent="0.35">
      <c r="A10" s="5" t="s">
        <v>19</v>
      </c>
      <c r="B10" s="8">
        <v>2085</v>
      </c>
      <c r="C10" s="3" t="s">
        <v>11</v>
      </c>
      <c r="D10" s="7"/>
      <c r="I10" s="3" t="s">
        <v>20</v>
      </c>
      <c r="J10" s="3">
        <f t="shared" si="0"/>
        <v>11.43</v>
      </c>
      <c r="K10" s="3">
        <v>11.43</v>
      </c>
    </row>
    <row r="11" spans="1:11" x14ac:dyDescent="0.35">
      <c r="A11" s="5" t="s">
        <v>21</v>
      </c>
      <c r="B11" s="6">
        <v>90499</v>
      </c>
      <c r="C11" s="3" t="s">
        <v>11</v>
      </c>
      <c r="D11" s="7"/>
      <c r="I11" s="3" t="s">
        <v>22</v>
      </c>
      <c r="J11" s="9">
        <f>B44*100</f>
        <v>13.09996191316575</v>
      </c>
      <c r="K11" s="3">
        <v>13.09996191316575</v>
      </c>
    </row>
    <row r="12" spans="1:11" x14ac:dyDescent="0.35">
      <c r="A12" s="5" t="s">
        <v>23</v>
      </c>
      <c r="B12" s="6">
        <v>38733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51766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2.08</v>
      </c>
      <c r="C14" s="3" t="s">
        <v>28</v>
      </c>
      <c r="D14" s="23"/>
      <c r="I14" s="3" t="s">
        <v>29</v>
      </c>
      <c r="J14" s="3">
        <f>MAX(J12:J13)*2</f>
        <v>220</v>
      </c>
      <c r="K14" s="3">
        <v>220</v>
      </c>
    </row>
    <row r="15" spans="1:11" x14ac:dyDescent="0.35">
      <c r="I15" s="3" t="s">
        <v>30</v>
      </c>
      <c r="J15" s="9">
        <f>B14/B2*100</f>
        <v>0.73758865248226957</v>
      </c>
      <c r="K15" s="3">
        <v>0.73758865248226957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1">
        <v>8</v>
      </c>
      <c r="C18" s="3" t="s">
        <v>28</v>
      </c>
      <c r="D18" s="12">
        <v>29.78</v>
      </c>
      <c r="E18" s="3" t="s">
        <v>36</v>
      </c>
      <c r="F18" s="13"/>
      <c r="H18" s="7"/>
      <c r="I18" s="3" t="s">
        <v>37</v>
      </c>
      <c r="J18" s="9">
        <f>B48</f>
        <v>21.75</v>
      </c>
      <c r="K18" s="3">
        <v>21.75</v>
      </c>
    </row>
    <row r="19" spans="1:11" x14ac:dyDescent="0.35">
      <c r="A19" s="1" t="s">
        <v>38</v>
      </c>
      <c r="B19" s="11">
        <v>9.85</v>
      </c>
      <c r="C19" s="3" t="s">
        <v>28</v>
      </c>
      <c r="D19" s="12">
        <v>35.47</v>
      </c>
      <c r="E19" s="3" t="s">
        <v>36</v>
      </c>
      <c r="F19" s="14"/>
      <c r="H19" s="7"/>
      <c r="I19" s="3" t="s">
        <v>39</v>
      </c>
      <c r="J19" s="9">
        <f>B52</f>
        <v>248.53724033755623</v>
      </c>
      <c r="K19" s="3">
        <v>248.53724033755623</v>
      </c>
    </row>
    <row r="20" spans="1:11" x14ac:dyDescent="0.35">
      <c r="A20" s="1" t="s">
        <v>40</v>
      </c>
      <c r="B20" s="11">
        <v>9.92</v>
      </c>
      <c r="C20" s="3" t="s">
        <v>28</v>
      </c>
      <c r="D20" s="12">
        <v>35.94</v>
      </c>
      <c r="E20" s="3" t="s">
        <v>36</v>
      </c>
      <c r="F20" s="14"/>
      <c r="H20" s="7"/>
      <c r="I20" s="3" t="s">
        <v>41</v>
      </c>
      <c r="J20" s="9">
        <f>B53</f>
        <v>265.82678749147317</v>
      </c>
      <c r="K20" s="3">
        <v>265.82678749147317</v>
      </c>
    </row>
    <row r="21" spans="1:11" x14ac:dyDescent="0.35">
      <c r="A21" s="1" t="s">
        <v>42</v>
      </c>
      <c r="B21" s="11">
        <v>9.9600000000000009</v>
      </c>
      <c r="C21" s="3" t="s">
        <v>28</v>
      </c>
      <c r="D21" s="12">
        <v>36.450000000000003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10.71</v>
      </c>
      <c r="C22" s="3" t="s">
        <v>28</v>
      </c>
      <c r="D22" s="12">
        <v>38.659999999999997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11.07</v>
      </c>
      <c r="C23" s="3" t="s">
        <v>28</v>
      </c>
      <c r="D23" s="12">
        <v>39.700000000000003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11.43</v>
      </c>
      <c r="C24" s="3" t="s">
        <v>28</v>
      </c>
      <c r="D24" s="12">
        <v>40.46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0.16</v>
      </c>
    </row>
    <row r="29" spans="1:11" x14ac:dyDescent="0.35">
      <c r="A29" s="1" t="s">
        <v>49</v>
      </c>
      <c r="B29" s="15">
        <v>0.13</v>
      </c>
    </row>
    <row r="30" spans="1:11" x14ac:dyDescent="0.35">
      <c r="A30" s="1" t="s">
        <v>50</v>
      </c>
      <c r="B30" s="15">
        <v>0.24</v>
      </c>
    </row>
    <row r="31" spans="1:11" x14ac:dyDescent="0.35">
      <c r="A31" s="1" t="s">
        <v>51</v>
      </c>
      <c r="B31" s="15">
        <v>0.12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0.44595048150156197</v>
      </c>
      <c r="C35" s="3" t="s">
        <v>54</v>
      </c>
    </row>
    <row r="36" spans="1:3" x14ac:dyDescent="0.35">
      <c r="A36" s="1" t="s">
        <v>55</v>
      </c>
      <c r="B36" s="16">
        <f>B7/B11</f>
        <v>0.24228997005491773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0.1569984198720428</v>
      </c>
      <c r="C37" s="3" t="s">
        <v>58</v>
      </c>
    </row>
    <row r="38" spans="1:3" x14ac:dyDescent="0.35">
      <c r="A38" s="1" t="s">
        <v>59</v>
      </c>
      <c r="B38" s="16">
        <f>(B23-B22)/B23</f>
        <v>3.252032520325198E-2</v>
      </c>
      <c r="C38" s="3" t="s">
        <v>60</v>
      </c>
    </row>
    <row r="39" spans="1:3" x14ac:dyDescent="0.35">
      <c r="A39" s="1" t="s">
        <v>61</v>
      </c>
      <c r="B39" s="17">
        <f>(B36-[1]Assumptions!$B$3)/B36/B38/[1]Assumptions!B5</f>
        <v>6.474609616045087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0.15460359840188387</v>
      </c>
    </row>
    <row r="42" spans="1:3" x14ac:dyDescent="0.35">
      <c r="A42" s="1" t="s">
        <v>65</v>
      </c>
      <c r="B42" s="19">
        <f>(B35-B41)/B48</f>
        <v>1.3395258993088648E-2</v>
      </c>
    </row>
    <row r="43" spans="1:3" x14ac:dyDescent="0.35">
      <c r="A43" s="1" t="s">
        <v>66</v>
      </c>
      <c r="B43" s="20">
        <f>MEDIAN(B28:B31)</f>
        <v>0.14500000000000002</v>
      </c>
    </row>
    <row r="44" spans="1:3" x14ac:dyDescent="0.35">
      <c r="A44" s="1" t="s">
        <v>67</v>
      </c>
      <c r="B44" s="21">
        <f>SUM(B40:B43)/3</f>
        <v>0.1309996191316575</v>
      </c>
    </row>
    <row r="45" spans="1:3" x14ac:dyDescent="0.35">
      <c r="A45" s="1" t="s">
        <v>68</v>
      </c>
      <c r="B45" s="24">
        <v>0.3</v>
      </c>
      <c r="C45" s="3" t="s">
        <v>77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19.999999999999996</v>
      </c>
    </row>
    <row r="48" spans="1:3" x14ac:dyDescent="0.35">
      <c r="A48" s="1" t="s">
        <v>72</v>
      </c>
      <c r="B48" s="22">
        <f>(B2/B18+10+B47)/3</f>
        <v>21.75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248.53724033755623</v>
      </c>
      <c r="C52" s="22"/>
    </row>
    <row r="53" spans="1:3" x14ac:dyDescent="0.35">
      <c r="A53" s="1" t="s">
        <v>74</v>
      </c>
      <c r="B53" s="22">
        <f>(B23*2-B$23)*(1+B$44)^8*B$48/(1+[1]Assumptions!B$4-B$14/B$2)^10</f>
        <v>265.82678749147317</v>
      </c>
      <c r="C53" s="22"/>
    </row>
    <row r="54" spans="1:3" x14ac:dyDescent="0.35">
      <c r="A54" s="1" t="s">
        <v>75</v>
      </c>
      <c r="B54" s="22">
        <f>(B24*2-B$23)*(1+B$44)^8*B$48/(1+[1]Assumptions!B$4-B$14/B$2)^10</f>
        <v>283.11633464539005</v>
      </c>
      <c r="C54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1FD8-2E2F-4916-820F-3F0BA564E46F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112</v>
      </c>
      <c r="I1" s="3" t="s">
        <v>2</v>
      </c>
      <c r="J1" s="3" t="str">
        <f>B1</f>
        <v>MA</v>
      </c>
      <c r="K1" s="3" t="s">
        <v>112</v>
      </c>
    </row>
    <row r="2" spans="1:11" x14ac:dyDescent="0.35">
      <c r="A2" s="1" t="s">
        <v>3</v>
      </c>
      <c r="B2" s="2">
        <v>508</v>
      </c>
      <c r="I2" s="3" t="s">
        <v>4</v>
      </c>
      <c r="J2" s="3">
        <f>B2</f>
        <v>508</v>
      </c>
      <c r="K2" s="3">
        <v>508</v>
      </c>
    </row>
    <row r="3" spans="1:11" x14ac:dyDescent="0.35">
      <c r="I3" s="3" t="s">
        <v>5</v>
      </c>
      <c r="J3" s="4">
        <f>B28</f>
        <v>0.16</v>
      </c>
      <c r="K3" s="3">
        <v>0.16</v>
      </c>
    </row>
    <row r="4" spans="1:11" x14ac:dyDescent="0.35">
      <c r="A4" s="1" t="s">
        <v>6</v>
      </c>
      <c r="I4" s="3" t="s">
        <v>7</v>
      </c>
      <c r="J4" s="3">
        <f>B18</f>
        <v>12.26</v>
      </c>
      <c r="K4" s="3">
        <v>12.26</v>
      </c>
    </row>
    <row r="5" spans="1:11" x14ac:dyDescent="0.35">
      <c r="B5" s="3" t="s">
        <v>8</v>
      </c>
      <c r="I5" s="3" t="s">
        <v>9</v>
      </c>
      <c r="J5" s="3">
        <f t="shared" ref="J5:J10" si="0">B19</f>
        <v>13.98</v>
      </c>
      <c r="K5" s="3">
        <v>13.98</v>
      </c>
    </row>
    <row r="6" spans="1:11" x14ac:dyDescent="0.35">
      <c r="A6" s="5" t="s">
        <v>10</v>
      </c>
      <c r="B6" s="6">
        <v>11195</v>
      </c>
      <c r="C6" s="3" t="s">
        <v>11</v>
      </c>
      <c r="D6" s="7"/>
      <c r="I6" s="3" t="s">
        <v>12</v>
      </c>
      <c r="J6" s="3">
        <f t="shared" si="0"/>
        <v>14.31</v>
      </c>
      <c r="K6" s="3">
        <v>14.31</v>
      </c>
    </row>
    <row r="7" spans="1:11" x14ac:dyDescent="0.35">
      <c r="A7" s="5" t="s">
        <v>13</v>
      </c>
      <c r="B7" s="6">
        <v>14630</v>
      </c>
      <c r="C7" s="3" t="s">
        <v>11</v>
      </c>
      <c r="D7" s="7"/>
      <c r="I7" s="3" t="s">
        <v>14</v>
      </c>
      <c r="J7" s="3">
        <f t="shared" si="0"/>
        <v>14.65</v>
      </c>
      <c r="K7" s="3">
        <v>14.65</v>
      </c>
    </row>
    <row r="8" spans="1:11" x14ac:dyDescent="0.35">
      <c r="A8" s="5" t="s">
        <v>15</v>
      </c>
      <c r="B8" s="6">
        <v>19076</v>
      </c>
      <c r="C8" s="3" t="s">
        <v>11</v>
      </c>
      <c r="D8" s="7"/>
      <c r="I8" s="3" t="s">
        <v>16</v>
      </c>
      <c r="J8" s="3">
        <f t="shared" si="0"/>
        <v>15.94</v>
      </c>
      <c r="K8" s="3">
        <v>15.94</v>
      </c>
    </row>
    <row r="9" spans="1:11" x14ac:dyDescent="0.35">
      <c r="A9" s="5" t="s">
        <v>17</v>
      </c>
      <c r="B9" s="6">
        <v>25098</v>
      </c>
      <c r="C9" s="3" t="s">
        <v>11</v>
      </c>
      <c r="D9" s="7"/>
      <c r="I9" s="3" t="s">
        <v>18</v>
      </c>
      <c r="J9" s="3">
        <f t="shared" si="0"/>
        <v>16.64</v>
      </c>
      <c r="K9" s="3">
        <v>16.64</v>
      </c>
    </row>
    <row r="10" spans="1:11" x14ac:dyDescent="0.35">
      <c r="A10" s="5" t="s">
        <v>19</v>
      </c>
      <c r="B10" s="8">
        <v>946</v>
      </c>
      <c r="C10" s="3" t="s">
        <v>11</v>
      </c>
      <c r="D10" s="7"/>
      <c r="I10" s="3" t="s">
        <v>20</v>
      </c>
      <c r="J10" s="3">
        <f t="shared" si="0"/>
        <v>17.25</v>
      </c>
      <c r="K10" s="3">
        <v>17.25</v>
      </c>
    </row>
    <row r="11" spans="1:11" x14ac:dyDescent="0.35">
      <c r="A11" s="5" t="s">
        <v>21</v>
      </c>
      <c r="B11" s="6">
        <v>42448</v>
      </c>
      <c r="C11" s="3" t="s">
        <v>11</v>
      </c>
      <c r="D11" s="7"/>
      <c r="I11" s="3" t="s">
        <v>22</v>
      </c>
      <c r="J11" s="9">
        <f>B44*100</f>
        <v>14.011036648495898</v>
      </c>
      <c r="K11" s="3">
        <v>14.011036648495898</v>
      </c>
    </row>
    <row r="12" spans="1:11" x14ac:dyDescent="0.35">
      <c r="A12" s="5" t="s">
        <v>23</v>
      </c>
      <c r="B12" s="6">
        <v>6929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35451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2.64</v>
      </c>
      <c r="C14" s="3" t="s">
        <v>28</v>
      </c>
      <c r="D14" s="23"/>
      <c r="I14" s="3" t="s">
        <v>29</v>
      </c>
      <c r="J14" s="3">
        <f>MAX(J12:J13)*2</f>
        <v>220</v>
      </c>
      <c r="K14" s="3">
        <v>220</v>
      </c>
    </row>
    <row r="15" spans="1:11" x14ac:dyDescent="0.35">
      <c r="I15" s="3" t="s">
        <v>30</v>
      </c>
      <c r="J15" s="9">
        <f>B14/B2*100</f>
        <v>0.51968503937007871</v>
      </c>
      <c r="K15" s="3">
        <v>0.51968503937007871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1">
        <v>12.26</v>
      </c>
      <c r="C18" s="3" t="s">
        <v>28</v>
      </c>
      <c r="D18" s="12">
        <v>25.1</v>
      </c>
      <c r="E18" s="3" t="s">
        <v>36</v>
      </c>
      <c r="F18" s="13"/>
      <c r="H18" s="7"/>
      <c r="I18" s="3" t="s">
        <v>37</v>
      </c>
      <c r="J18" s="9">
        <f>B48</f>
        <v>23.811854268624248</v>
      </c>
      <c r="K18" s="3">
        <v>23.811854268624248</v>
      </c>
    </row>
    <row r="19" spans="1:11" x14ac:dyDescent="0.35">
      <c r="A19" s="1" t="s">
        <v>38</v>
      </c>
      <c r="B19" s="11">
        <v>13.98</v>
      </c>
      <c r="C19" s="3" t="s">
        <v>28</v>
      </c>
      <c r="D19" s="12">
        <v>27.69</v>
      </c>
      <c r="E19" s="3" t="s">
        <v>36</v>
      </c>
      <c r="F19" s="14"/>
      <c r="H19" s="7"/>
      <c r="I19" s="3" t="s">
        <v>39</v>
      </c>
      <c r="J19" s="9">
        <f>B52</f>
        <v>418.78677420331388</v>
      </c>
      <c r="K19" s="3">
        <v>418.78677420331388</v>
      </c>
    </row>
    <row r="20" spans="1:11" x14ac:dyDescent="0.35">
      <c r="A20" s="1" t="s">
        <v>40</v>
      </c>
      <c r="B20" s="11">
        <v>14.31</v>
      </c>
      <c r="C20" s="3" t="s">
        <v>28</v>
      </c>
      <c r="D20" s="12">
        <v>27.85</v>
      </c>
      <c r="E20" s="3" t="s">
        <v>36</v>
      </c>
      <c r="F20" s="14"/>
      <c r="H20" s="7"/>
      <c r="I20" s="3" t="s">
        <v>41</v>
      </c>
      <c r="J20" s="9">
        <f>B53</f>
        <v>457.25800017999632</v>
      </c>
      <c r="K20" s="3">
        <v>457.25800017999632</v>
      </c>
    </row>
    <row r="21" spans="1:11" x14ac:dyDescent="0.35">
      <c r="A21" s="1" t="s">
        <v>42</v>
      </c>
      <c r="B21" s="11">
        <v>14.65</v>
      </c>
      <c r="C21" s="3" t="s">
        <v>28</v>
      </c>
      <c r="D21" s="12">
        <v>28.08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15.94</v>
      </c>
      <c r="C22" s="3" t="s">
        <v>28</v>
      </c>
      <c r="D22" s="12">
        <v>30.8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16.64</v>
      </c>
      <c r="C23" s="3" t="s">
        <v>28</v>
      </c>
      <c r="D23" s="12">
        <v>31.34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17.25</v>
      </c>
      <c r="C24" s="3" t="s">
        <v>28</v>
      </c>
      <c r="D24" s="12">
        <v>31.9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0.16</v>
      </c>
    </row>
    <row r="29" spans="1:11" x14ac:dyDescent="0.35">
      <c r="A29" s="1" t="s">
        <v>49</v>
      </c>
      <c r="B29" s="15">
        <v>0.16</v>
      </c>
    </row>
    <row r="30" spans="1:11" x14ac:dyDescent="0.35">
      <c r="A30" s="1" t="s">
        <v>50</v>
      </c>
      <c r="B30" s="15">
        <v>0.17</v>
      </c>
    </row>
    <row r="31" spans="1:11" x14ac:dyDescent="0.35">
      <c r="A31" s="1" t="s">
        <v>51</v>
      </c>
      <c r="B31" s="15">
        <v>0.16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1.6156732573242891</v>
      </c>
      <c r="C35" s="3" t="s">
        <v>54</v>
      </c>
    </row>
    <row r="36" spans="1:3" x14ac:dyDescent="0.35">
      <c r="A36" s="1" t="s">
        <v>55</v>
      </c>
      <c r="B36" s="16">
        <f>B7/B11</f>
        <v>0.34465699208443273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9.0728656238220878E-2</v>
      </c>
      <c r="C37" s="3" t="s">
        <v>58</v>
      </c>
    </row>
    <row r="38" spans="1:3" x14ac:dyDescent="0.35">
      <c r="A38" s="1" t="s">
        <v>59</v>
      </c>
      <c r="B38" s="16">
        <f>(B23-B22)/B23</f>
        <v>4.2067307692307758E-2</v>
      </c>
      <c r="C38" s="3" t="s">
        <v>60</v>
      </c>
    </row>
    <row r="39" spans="1:3" x14ac:dyDescent="0.35">
      <c r="A39" s="1" t="s">
        <v>61</v>
      </c>
      <c r="B39" s="17">
        <f>(B36-[1]Assumptions!$B$3)/B36/B38/[1]Assumptions!B5</f>
        <v>5.3917806017827417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0.1174102101239467</v>
      </c>
    </row>
    <row r="42" spans="1:3" x14ac:dyDescent="0.35">
      <c r="A42" s="1" t="s">
        <v>65</v>
      </c>
      <c r="B42" s="19">
        <f>(B35-B41)/B48</f>
        <v>6.2920889330930124E-2</v>
      </c>
    </row>
    <row r="43" spans="1:3" x14ac:dyDescent="0.35">
      <c r="A43" s="1" t="s">
        <v>66</v>
      </c>
      <c r="B43" s="20">
        <f>MEDIAN(B28:B31)</f>
        <v>0.16</v>
      </c>
    </row>
    <row r="44" spans="1:3" x14ac:dyDescent="0.35">
      <c r="A44" s="1" t="s">
        <v>67</v>
      </c>
      <c r="B44" s="21">
        <f>SUM(B40:B43)/3</f>
        <v>0.14011036648495898</v>
      </c>
    </row>
    <row r="45" spans="1:3" x14ac:dyDescent="0.35">
      <c r="A45" s="1" t="s">
        <v>68</v>
      </c>
      <c r="B45" s="24">
        <v>0.3</v>
      </c>
      <c r="C45" s="3" t="s">
        <v>77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19.999999999999996</v>
      </c>
    </row>
    <row r="48" spans="1:3" x14ac:dyDescent="0.35">
      <c r="A48" s="1" t="s">
        <v>72</v>
      </c>
      <c r="B48" s="22">
        <f>(B2/B18+10+B47)/3</f>
        <v>23.811854268624248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418.78677420331388</v>
      </c>
      <c r="C52" s="22"/>
    </row>
    <row r="53" spans="1:3" x14ac:dyDescent="0.35">
      <c r="A53" s="1" t="s">
        <v>74</v>
      </c>
      <c r="B53" s="22">
        <f>(B23*2-B$23)*(1+B$44)^8*B$48/(1+[1]Assumptions!B$4-B$14/B$2)^10</f>
        <v>457.25800017999632</v>
      </c>
      <c r="C53" s="22"/>
    </row>
    <row r="54" spans="1:3" x14ac:dyDescent="0.35">
      <c r="A54" s="1" t="s">
        <v>75</v>
      </c>
      <c r="B54" s="22">
        <f>(B24*2-B$23)*(1+B$44)^8*B$48/(1+[1]Assumptions!B$4-B$14/B$2)^10</f>
        <v>490.78292567396232</v>
      </c>
      <c r="C54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3C27-26E8-45C7-9D23-079C46D7C8D8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113</v>
      </c>
      <c r="I1" s="3" t="s">
        <v>2</v>
      </c>
      <c r="J1" s="3" t="str">
        <f>B1</f>
        <v>TSLA</v>
      </c>
      <c r="K1" s="3" t="s">
        <v>113</v>
      </c>
    </row>
    <row r="2" spans="1:11" x14ac:dyDescent="0.35">
      <c r="A2" s="1" t="s">
        <v>3</v>
      </c>
      <c r="B2" s="2">
        <v>300</v>
      </c>
      <c r="I2" s="3" t="s">
        <v>4</v>
      </c>
      <c r="J2" s="3">
        <f>B2</f>
        <v>300</v>
      </c>
      <c r="K2" s="3">
        <v>300</v>
      </c>
    </row>
    <row r="3" spans="1:11" x14ac:dyDescent="0.35">
      <c r="I3" s="3" t="s">
        <v>5</v>
      </c>
      <c r="J3" s="4">
        <f>B28</f>
        <v>0.47</v>
      </c>
      <c r="K3" s="3">
        <v>0.47</v>
      </c>
    </row>
    <row r="4" spans="1:11" x14ac:dyDescent="0.35">
      <c r="A4" s="1" t="s">
        <v>6</v>
      </c>
      <c r="I4" s="3" t="s">
        <v>7</v>
      </c>
      <c r="J4" s="3">
        <f>B18</f>
        <v>3.12</v>
      </c>
      <c r="K4" s="3">
        <v>3.12</v>
      </c>
    </row>
    <row r="5" spans="1:11" x14ac:dyDescent="0.35">
      <c r="B5" s="3" t="s">
        <v>8</v>
      </c>
      <c r="I5" s="3" t="s">
        <v>9</v>
      </c>
      <c r="J5" s="3">
        <f t="shared" ref="J5:J10" si="0">B19</f>
        <v>1.96</v>
      </c>
      <c r="K5" s="3">
        <v>1.96</v>
      </c>
    </row>
    <row r="6" spans="1:11" x14ac:dyDescent="0.35">
      <c r="A6" s="5" t="s">
        <v>10</v>
      </c>
      <c r="B6" s="6">
        <v>14999</v>
      </c>
      <c r="C6" s="3" t="s">
        <v>11</v>
      </c>
      <c r="D6" s="7"/>
      <c r="I6" s="3" t="s">
        <v>12</v>
      </c>
      <c r="J6" s="3">
        <f t="shared" si="0"/>
        <v>2.42</v>
      </c>
      <c r="K6" s="3">
        <v>2.42</v>
      </c>
    </row>
    <row r="7" spans="1:11" x14ac:dyDescent="0.35">
      <c r="A7" s="5" t="s">
        <v>13</v>
      </c>
      <c r="B7" s="6">
        <v>8891</v>
      </c>
      <c r="C7" s="3" t="s">
        <v>11</v>
      </c>
      <c r="D7" s="7"/>
      <c r="I7" s="3" t="s">
        <v>14</v>
      </c>
      <c r="J7" s="3">
        <f t="shared" si="0"/>
        <v>2.82</v>
      </c>
      <c r="K7" s="3">
        <v>2.82</v>
      </c>
    </row>
    <row r="8" spans="1:11" x14ac:dyDescent="0.35">
      <c r="A8" s="5" t="s">
        <v>15</v>
      </c>
      <c r="B8" s="6">
        <v>17660</v>
      </c>
      <c r="C8" s="3" t="s">
        <v>11</v>
      </c>
      <c r="D8" s="7"/>
      <c r="I8" s="3" t="s">
        <v>16</v>
      </c>
      <c r="J8" s="3">
        <f t="shared" si="0"/>
        <v>2.0499999999999998</v>
      </c>
      <c r="K8" s="3">
        <v>2.0499999999999998</v>
      </c>
    </row>
    <row r="9" spans="1:11" x14ac:dyDescent="0.35">
      <c r="A9" s="5" t="s">
        <v>17</v>
      </c>
      <c r="B9" s="6">
        <v>96773</v>
      </c>
      <c r="C9" s="3" t="s">
        <v>11</v>
      </c>
      <c r="D9" s="7"/>
      <c r="I9" s="3" t="s">
        <v>18</v>
      </c>
      <c r="J9" s="3">
        <f t="shared" si="0"/>
        <v>3.2</v>
      </c>
      <c r="K9" s="3">
        <v>3.2</v>
      </c>
    </row>
    <row r="10" spans="1:11" x14ac:dyDescent="0.35">
      <c r="A10" s="5" t="s">
        <v>19</v>
      </c>
      <c r="B10" s="8">
        <v>3483</v>
      </c>
      <c r="C10" s="3" t="s">
        <v>11</v>
      </c>
      <c r="D10" s="7"/>
      <c r="I10" s="3" t="s">
        <v>20</v>
      </c>
      <c r="J10" s="3">
        <f t="shared" si="0"/>
        <v>4.17</v>
      </c>
      <c r="K10" s="3">
        <v>4.17</v>
      </c>
    </row>
    <row r="11" spans="1:11" x14ac:dyDescent="0.35">
      <c r="A11" s="5" t="s">
        <v>21</v>
      </c>
      <c r="B11" s="6">
        <v>106618</v>
      </c>
      <c r="C11" s="3" t="s">
        <v>11</v>
      </c>
      <c r="D11" s="7"/>
      <c r="I11" s="3" t="s">
        <v>22</v>
      </c>
      <c r="J11" s="9">
        <f>B44*100</f>
        <v>11.913389446296414</v>
      </c>
      <c r="K11" s="3">
        <v>11.913389446296414</v>
      </c>
    </row>
    <row r="12" spans="1:11" x14ac:dyDescent="0.35">
      <c r="A12" s="5" t="s">
        <v>23</v>
      </c>
      <c r="B12" s="6">
        <v>62634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43009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0</v>
      </c>
      <c r="C14" s="3" t="s">
        <v>28</v>
      </c>
      <c r="D14" s="23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</v>
      </c>
      <c r="K15" s="3">
        <v>0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26.973528754350674</v>
      </c>
      <c r="K17" s="3">
        <v>26.973528754350674</v>
      </c>
    </row>
    <row r="18" spans="1:11" x14ac:dyDescent="0.35">
      <c r="A18" s="1" t="s">
        <v>35</v>
      </c>
      <c r="B18" s="11">
        <v>3.12</v>
      </c>
      <c r="C18" s="3" t="s">
        <v>28</v>
      </c>
      <c r="D18" s="12">
        <v>96.77</v>
      </c>
      <c r="E18" s="3" t="s">
        <v>36</v>
      </c>
      <c r="F18" s="13"/>
      <c r="H18" s="7"/>
      <c r="I18" s="3" t="s">
        <v>37</v>
      </c>
      <c r="J18" s="9">
        <f>B48</f>
        <v>41.864279498198023</v>
      </c>
      <c r="K18" s="3">
        <v>41.864279498198023</v>
      </c>
    </row>
    <row r="19" spans="1:11" x14ac:dyDescent="0.35">
      <c r="A19" s="1" t="s">
        <v>38</v>
      </c>
      <c r="B19" s="11">
        <v>1.96</v>
      </c>
      <c r="C19" s="3" t="s">
        <v>28</v>
      </c>
      <c r="D19" s="12">
        <v>95.47</v>
      </c>
      <c r="E19" s="3" t="s">
        <v>36</v>
      </c>
      <c r="F19" s="14"/>
      <c r="H19" s="7"/>
      <c r="I19" s="3" t="s">
        <v>39</v>
      </c>
      <c r="J19" s="9">
        <f>B52</f>
        <v>35.745030509855724</v>
      </c>
      <c r="K19" s="3">
        <v>35.745030509855724</v>
      </c>
    </row>
    <row r="20" spans="1:11" x14ac:dyDescent="0.35">
      <c r="A20" s="1" t="s">
        <v>40</v>
      </c>
      <c r="B20" s="11">
        <v>2.42</v>
      </c>
      <c r="C20" s="3" t="s">
        <v>28</v>
      </c>
      <c r="D20" s="12">
        <v>99.41</v>
      </c>
      <c r="E20" s="3" t="s">
        <v>36</v>
      </c>
      <c r="F20" s="14"/>
      <c r="H20" s="7"/>
      <c r="I20" s="3" t="s">
        <v>41</v>
      </c>
      <c r="J20" s="9">
        <f>B53</f>
        <v>127.09344181282047</v>
      </c>
      <c r="K20" s="3">
        <v>127.09344181282047</v>
      </c>
    </row>
    <row r="21" spans="1:11" x14ac:dyDescent="0.35">
      <c r="A21" s="1" t="s">
        <v>42</v>
      </c>
      <c r="B21" s="11">
        <v>2.82</v>
      </c>
      <c r="C21" s="3" t="s">
        <v>28</v>
      </c>
      <c r="D21" s="12">
        <v>107.98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2.0499999999999998</v>
      </c>
      <c r="C22" s="3" t="s">
        <v>28</v>
      </c>
      <c r="D22" s="12">
        <v>95.24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3.2</v>
      </c>
      <c r="C23" s="3" t="s">
        <v>28</v>
      </c>
      <c r="D23" s="12">
        <v>114.72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4.17</v>
      </c>
      <c r="C24" s="3" t="s">
        <v>28</v>
      </c>
      <c r="D24" s="12">
        <v>143.53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0.47</v>
      </c>
    </row>
    <row r="29" spans="1:11" x14ac:dyDescent="0.35">
      <c r="A29" s="1" t="s">
        <v>49</v>
      </c>
      <c r="B29" s="15">
        <v>0.05</v>
      </c>
    </row>
    <row r="30" spans="1:11" x14ac:dyDescent="0.35">
      <c r="A30" s="1" t="s">
        <v>50</v>
      </c>
      <c r="B30" s="15">
        <v>-0.22</v>
      </c>
    </row>
    <row r="31" spans="1:11" x14ac:dyDescent="0.35">
      <c r="A31" s="1" t="s">
        <v>51</v>
      </c>
      <c r="B31" s="15">
        <v>0.32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0.23947057508701344</v>
      </c>
      <c r="C35" s="3" t="s">
        <v>54</v>
      </c>
    </row>
    <row r="36" spans="1:3" x14ac:dyDescent="0.35">
      <c r="A36" s="1" t="s">
        <v>55</v>
      </c>
      <c r="B36" s="16">
        <f>B7/B11</f>
        <v>8.3391172222326435E-2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0.17862884315969163</v>
      </c>
      <c r="C37" s="3" t="s">
        <v>58</v>
      </c>
    </row>
    <row r="38" spans="1:3" x14ac:dyDescent="0.35">
      <c r="A38" s="1" t="s">
        <v>59</v>
      </c>
      <c r="B38" s="16">
        <f>(B23-B22)/B23</f>
        <v>0.35937500000000011</v>
      </c>
      <c r="C38" s="3" t="s">
        <v>60</v>
      </c>
    </row>
    <row r="39" spans="1:3" x14ac:dyDescent="0.35">
      <c r="A39" s="1" t="s">
        <v>61</v>
      </c>
      <c r="B39" s="27">
        <f>(B36-[1]Assumptions!$B$3)/B36/B38/[1]Assumptions!B5</f>
        <v>0.29560447006968044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(D23/D18)^0.5-1</f>
        <v>8.8802723771738146E-2</v>
      </c>
    </row>
    <row r="42" spans="1:3" x14ac:dyDescent="0.35">
      <c r="A42" s="1" t="s">
        <v>65</v>
      </c>
      <c r="B42" s="19">
        <f>(B35-B41)/B48</f>
        <v>3.5989596171542983E-3</v>
      </c>
    </row>
    <row r="43" spans="1:3" x14ac:dyDescent="0.35">
      <c r="A43" s="1" t="s">
        <v>66</v>
      </c>
      <c r="B43" s="20">
        <f>MEDIAN(B28:B31)</f>
        <v>0.185</v>
      </c>
    </row>
    <row r="44" spans="1:3" x14ac:dyDescent="0.35">
      <c r="A44" s="1" t="s">
        <v>67</v>
      </c>
      <c r="B44" s="21">
        <f>SUM(B40:B43)/3</f>
        <v>0.11913389446296414</v>
      </c>
    </row>
    <row r="45" spans="1:3" x14ac:dyDescent="0.35">
      <c r="A45" s="1" t="s">
        <v>68</v>
      </c>
      <c r="B45" s="15">
        <f>(B35+0.3)/2</f>
        <v>0.26973528754350673</v>
      </c>
      <c r="C45" s="3" t="s">
        <v>69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19.43899234074793</v>
      </c>
    </row>
    <row r="48" spans="1:3" x14ac:dyDescent="0.35">
      <c r="A48" s="1" t="s">
        <v>72</v>
      </c>
      <c r="B48" s="22">
        <f>(B2/B18+10+B47)/3</f>
        <v>41.864279498198023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(B22*2-B$23)*(1+B$44)^8*B$48/(1+[1]Assumptions!B$4-B$14/B$2)^10</f>
        <v>35.745030509855724</v>
      </c>
      <c r="C52" s="22"/>
    </row>
    <row r="53" spans="1:3" x14ac:dyDescent="0.35">
      <c r="A53" s="1" t="s">
        <v>74</v>
      </c>
      <c r="B53" s="22">
        <f>(B23*2-B$23)*(1+B$44)^8*B$48/(1+[1]Assumptions!B$4-B$14/B$2)^10</f>
        <v>127.09344181282047</v>
      </c>
      <c r="C53" s="22"/>
    </row>
    <row r="54" spans="1:3" x14ac:dyDescent="0.35">
      <c r="A54" s="1" t="s">
        <v>75</v>
      </c>
      <c r="B54" s="22">
        <f>(B24*2-B$23)*(1+B$44)^8*B$48/(1+[1]Assumptions!B$4-B$14/B$2)^10</f>
        <v>204.14384091184283</v>
      </c>
      <c r="C54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623B-6B2B-469A-B904-F6123B59CAA3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114</v>
      </c>
      <c r="I1" s="3" t="s">
        <v>2</v>
      </c>
      <c r="J1" s="3" t="str">
        <f>B1</f>
        <v>ON</v>
      </c>
      <c r="K1" s="3" t="s">
        <v>114</v>
      </c>
    </row>
    <row r="2" spans="1:11" x14ac:dyDescent="0.35">
      <c r="A2" s="1" t="s">
        <v>3</v>
      </c>
      <c r="B2" s="2">
        <v>72</v>
      </c>
      <c r="I2" s="3" t="s">
        <v>4</v>
      </c>
      <c r="J2" s="3">
        <f>B2</f>
        <v>72</v>
      </c>
      <c r="K2" s="3">
        <v>72</v>
      </c>
    </row>
    <row r="3" spans="1:11" x14ac:dyDescent="0.35">
      <c r="I3" s="3" t="s">
        <v>5</v>
      </c>
      <c r="J3" s="4">
        <f>B28</f>
        <v>0.48</v>
      </c>
      <c r="K3" s="3">
        <v>0.48</v>
      </c>
    </row>
    <row r="4" spans="1:11" x14ac:dyDescent="0.35">
      <c r="A4" s="1" t="s">
        <v>6</v>
      </c>
      <c r="I4" s="3" t="s">
        <v>7</v>
      </c>
      <c r="J4" s="3">
        <f>B18</f>
        <v>5.16</v>
      </c>
      <c r="K4" s="3">
        <v>5.16</v>
      </c>
    </row>
    <row r="5" spans="1:11" x14ac:dyDescent="0.35">
      <c r="B5" s="3" t="s">
        <v>8</v>
      </c>
      <c r="I5" s="3" t="s">
        <v>9</v>
      </c>
      <c r="J5" s="3">
        <f t="shared" ref="J5:J10" si="0">B19</f>
        <v>3.91</v>
      </c>
      <c r="K5" s="3">
        <v>3.91</v>
      </c>
    </row>
    <row r="6" spans="1:11" x14ac:dyDescent="0.35">
      <c r="A6" s="5" t="s">
        <v>10</v>
      </c>
      <c r="B6" s="6">
        <v>2184</v>
      </c>
      <c r="C6" s="3" t="s">
        <v>11</v>
      </c>
      <c r="E6" s="7"/>
      <c r="I6" s="3" t="s">
        <v>12</v>
      </c>
      <c r="J6" s="3">
        <f t="shared" si="0"/>
        <v>4.01</v>
      </c>
      <c r="K6" s="3">
        <v>4.01</v>
      </c>
    </row>
    <row r="7" spans="1:11" x14ac:dyDescent="0.35">
      <c r="A7" s="5" t="s">
        <v>13</v>
      </c>
      <c r="B7" s="6">
        <v>2614</v>
      </c>
      <c r="C7" s="3" t="s">
        <v>11</v>
      </c>
      <c r="E7" s="7"/>
      <c r="I7" s="3" t="s">
        <v>14</v>
      </c>
      <c r="J7" s="3">
        <f t="shared" si="0"/>
        <v>4.16</v>
      </c>
      <c r="K7" s="3">
        <v>4.16</v>
      </c>
    </row>
    <row r="8" spans="1:11" x14ac:dyDescent="0.35">
      <c r="A8" s="5" t="s">
        <v>15</v>
      </c>
      <c r="B8" s="6">
        <v>3884</v>
      </c>
      <c r="C8" s="3" t="s">
        <v>11</v>
      </c>
      <c r="E8" s="7"/>
      <c r="I8" s="3" t="s">
        <v>16</v>
      </c>
      <c r="J8" s="3">
        <f t="shared" si="0"/>
        <v>3.5</v>
      </c>
      <c r="K8" s="3">
        <v>3.5</v>
      </c>
    </row>
    <row r="9" spans="1:11" x14ac:dyDescent="0.35">
      <c r="A9" s="5" t="s">
        <v>17</v>
      </c>
      <c r="B9" s="6">
        <v>8253</v>
      </c>
      <c r="C9" s="3" t="s">
        <v>11</v>
      </c>
      <c r="E9" s="7"/>
      <c r="I9" s="3" t="s">
        <v>18</v>
      </c>
      <c r="J9" s="3">
        <f t="shared" si="0"/>
        <v>4.7699999999999996</v>
      </c>
      <c r="K9" s="3">
        <v>4.7699999999999996</v>
      </c>
    </row>
    <row r="10" spans="1:11" x14ac:dyDescent="0.35">
      <c r="A10" s="5" t="s">
        <v>19</v>
      </c>
      <c r="B10" s="8">
        <v>447</v>
      </c>
      <c r="C10" s="3" t="s">
        <v>11</v>
      </c>
      <c r="I10" s="3" t="s">
        <v>20</v>
      </c>
      <c r="J10" s="3">
        <f t="shared" si="0"/>
        <v>5.45</v>
      </c>
      <c r="K10" s="3">
        <v>5.45</v>
      </c>
    </row>
    <row r="11" spans="1:11" x14ac:dyDescent="0.35">
      <c r="A11" s="5" t="s">
        <v>21</v>
      </c>
      <c r="B11" s="6">
        <v>13215</v>
      </c>
      <c r="C11" s="3" t="s">
        <v>11</v>
      </c>
      <c r="E11" s="7"/>
      <c r="I11" s="3" t="s">
        <v>22</v>
      </c>
      <c r="J11" s="9">
        <f>B44*100</f>
        <v>9.898528303204575</v>
      </c>
      <c r="K11" s="3">
        <v>9.898528303204575</v>
      </c>
    </row>
    <row r="12" spans="1:11" x14ac:dyDescent="0.35">
      <c r="A12" s="5" t="s">
        <v>23</v>
      </c>
      <c r="B12" s="6">
        <v>7783</v>
      </c>
      <c r="C12" s="3" t="s">
        <v>11</v>
      </c>
      <c r="E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5415</v>
      </c>
      <c r="C13" s="3" t="s">
        <v>11</v>
      </c>
      <c r="E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0</v>
      </c>
      <c r="C14" s="3" t="s">
        <v>28</v>
      </c>
      <c r="E14" s="7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</v>
      </c>
      <c r="K15" s="3">
        <v>0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29.030579468071437</v>
      </c>
      <c r="K17" s="3">
        <v>29.030579468071437</v>
      </c>
    </row>
    <row r="18" spans="1:11" x14ac:dyDescent="0.35">
      <c r="A18" s="1" t="s">
        <v>35</v>
      </c>
      <c r="B18" s="11">
        <v>5.16</v>
      </c>
      <c r="C18" s="3" t="s">
        <v>28</v>
      </c>
      <c r="D18" s="11">
        <v>8.25</v>
      </c>
      <c r="E18" s="3" t="s">
        <v>36</v>
      </c>
      <c r="F18" s="13"/>
      <c r="I18" s="3" t="s">
        <v>37</v>
      </c>
      <c r="J18" s="9">
        <f>B48</f>
        <v>14.595507653385496</v>
      </c>
      <c r="K18" s="3">
        <v>14.595507653385496</v>
      </c>
    </row>
    <row r="19" spans="1:11" x14ac:dyDescent="0.35">
      <c r="A19" s="1" t="s">
        <v>38</v>
      </c>
      <c r="B19" s="11">
        <v>3.91</v>
      </c>
      <c r="C19" s="3" t="s">
        <v>28</v>
      </c>
      <c r="D19" s="11">
        <v>7.11</v>
      </c>
      <c r="E19" s="3" t="s">
        <v>36</v>
      </c>
      <c r="F19" s="14"/>
      <c r="H19" s="3" t="s">
        <v>115</v>
      </c>
      <c r="I19" s="3" t="s">
        <v>39</v>
      </c>
      <c r="J19" s="9">
        <f>B52</f>
        <v>57.114416677975477</v>
      </c>
      <c r="K19" s="3">
        <v>57.114416677975477</v>
      </c>
    </row>
    <row r="20" spans="1:11" x14ac:dyDescent="0.35">
      <c r="A20" s="1" t="s">
        <v>40</v>
      </c>
      <c r="B20" s="11">
        <v>4.01</v>
      </c>
      <c r="C20" s="3" t="s">
        <v>28</v>
      </c>
      <c r="D20" s="11">
        <v>7.22</v>
      </c>
      <c r="E20" s="3" t="s">
        <v>36</v>
      </c>
      <c r="F20" s="14"/>
      <c r="H20" s="7"/>
      <c r="I20" s="3" t="s">
        <v>41</v>
      </c>
      <c r="J20" s="9">
        <f>B53</f>
        <v>73.398610950941233</v>
      </c>
      <c r="K20" s="3">
        <v>73.398610950941233</v>
      </c>
    </row>
    <row r="21" spans="1:11" x14ac:dyDescent="0.35">
      <c r="A21" s="1" t="s">
        <v>42</v>
      </c>
      <c r="B21" s="11">
        <v>4.16</v>
      </c>
      <c r="C21" s="3" t="s">
        <v>28</v>
      </c>
      <c r="D21" s="11">
        <v>7.58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3.5</v>
      </c>
      <c r="C22" s="3" t="s">
        <v>28</v>
      </c>
      <c r="D22" s="11">
        <v>6.9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4.7699999999999996</v>
      </c>
      <c r="C23" s="3" t="s">
        <v>28</v>
      </c>
      <c r="D23" s="11">
        <v>7.9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5.45</v>
      </c>
      <c r="C24" s="3" t="s">
        <v>28</v>
      </c>
      <c r="D24" s="11">
        <v>8.5</v>
      </c>
      <c r="E24" s="3" t="s">
        <v>36</v>
      </c>
      <c r="F24" s="14"/>
      <c r="H24" s="7"/>
    </row>
    <row r="25" spans="1:11" x14ac:dyDescent="0.35">
      <c r="H25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0.48</v>
      </c>
    </row>
    <row r="29" spans="1:11" x14ac:dyDescent="0.35">
      <c r="A29" s="1" t="s">
        <v>49</v>
      </c>
      <c r="B29" s="15">
        <v>0.05</v>
      </c>
    </row>
    <row r="30" spans="1:11" x14ac:dyDescent="0.35">
      <c r="A30" s="1" t="s">
        <v>50</v>
      </c>
      <c r="B30" s="15">
        <v>-0.22500000000000001</v>
      </c>
    </row>
    <row r="31" spans="1:11" x14ac:dyDescent="0.35">
      <c r="A31" s="1" t="s">
        <v>51</v>
      </c>
      <c r="B31" s="15">
        <v>0.17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0.28061158936142877</v>
      </c>
      <c r="C35" s="3" t="s">
        <v>54</v>
      </c>
    </row>
    <row r="36" spans="1:3" x14ac:dyDescent="0.35">
      <c r="A36" s="1" t="s">
        <v>55</v>
      </c>
      <c r="B36" s="16">
        <f>B7/B11</f>
        <v>0.19780552402572835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0.19146424517593641</v>
      </c>
      <c r="C37" s="3" t="s">
        <v>58</v>
      </c>
    </row>
    <row r="38" spans="1:3" x14ac:dyDescent="0.35">
      <c r="A38" s="1" t="s">
        <v>59</v>
      </c>
      <c r="B38" s="16">
        <f>(B23-B22)/B23</f>
        <v>0.26624737945492655</v>
      </c>
      <c r="C38" s="3" t="s">
        <v>60</v>
      </c>
    </row>
    <row r="39" spans="1:3" x14ac:dyDescent="0.35">
      <c r="A39" s="1" t="s">
        <v>61</v>
      </c>
      <c r="B39" s="28">
        <f>(B36-[1]Assumptions!$B$3)/B36/B38/[1]Assumptions!B5</f>
        <v>0.74458482373002099</v>
      </c>
      <c r="C39" s="3" t="s">
        <v>62</v>
      </c>
    </row>
    <row r="40" spans="1:3" x14ac:dyDescent="0.35">
      <c r="A40" s="1" t="s">
        <v>63</v>
      </c>
      <c r="B40" s="18">
        <f>Assumptions!D17</f>
        <v>0.08</v>
      </c>
    </row>
    <row r="41" spans="1:3" x14ac:dyDescent="0.35">
      <c r="A41" s="1" t="s">
        <v>64</v>
      </c>
      <c r="B41" s="19">
        <f>(D23/D20)-1</f>
        <v>9.4182825484764532E-2</v>
      </c>
    </row>
    <row r="42" spans="1:3" x14ac:dyDescent="0.35">
      <c r="A42" s="1" t="s">
        <v>65</v>
      </c>
      <c r="B42" s="19">
        <f>(B35-B41)/B48</f>
        <v>1.2773023611372723E-2</v>
      </c>
    </row>
    <row r="43" spans="1:3" x14ac:dyDescent="0.35">
      <c r="A43" s="1" t="s">
        <v>66</v>
      </c>
      <c r="B43" s="20">
        <f>MEDIAN(B28:B31)</f>
        <v>0.11000000000000001</v>
      </c>
    </row>
    <row r="44" spans="1:3" x14ac:dyDescent="0.35">
      <c r="A44" s="1" t="s">
        <v>67</v>
      </c>
      <c r="B44" s="21">
        <f>SUM(B40:B43)/3</f>
        <v>9.8985283032045748E-2</v>
      </c>
    </row>
    <row r="45" spans="1:3" x14ac:dyDescent="0.35">
      <c r="A45" s="1" t="s">
        <v>68</v>
      </c>
      <c r="B45" s="15">
        <f>(B35+0.3)/2</f>
        <v>0.29030579468071438</v>
      </c>
      <c r="C45" s="3" t="s">
        <v>69</v>
      </c>
    </row>
    <row r="46" spans="1:3" x14ac:dyDescent="0.35">
      <c r="A46" s="1" t="s">
        <v>70</v>
      </c>
      <c r="B46" s="16">
        <f>Assumptions!E17</f>
        <v>0.06</v>
      </c>
    </row>
    <row r="47" spans="1:3" x14ac:dyDescent="0.35">
      <c r="A47" s="1" t="s">
        <v>71</v>
      </c>
      <c r="B47" s="22">
        <f>(B45-B46)/([1]Assumptions!B4-B46)/B45</f>
        <v>19.833034588063462</v>
      </c>
    </row>
    <row r="48" spans="1:3" x14ac:dyDescent="0.35">
      <c r="A48" s="1" t="s">
        <v>72</v>
      </c>
      <c r="B48" s="22">
        <f>(B2/B18+10+B47)/3</f>
        <v>14.595507653385496</v>
      </c>
    </row>
    <row r="49" spans="1:3" x14ac:dyDescent="0.35">
      <c r="A49" s="1" t="s">
        <v>73</v>
      </c>
    </row>
    <row r="50" spans="1:3" x14ac:dyDescent="0.35">
      <c r="B50" s="2" t="s">
        <v>47</v>
      </c>
      <c r="C50" s="2"/>
    </row>
    <row r="51" spans="1:3" x14ac:dyDescent="0.35">
      <c r="A51" s="1" t="s">
        <v>39</v>
      </c>
      <c r="B51" s="22">
        <f>(B22*2-B$23)*(1+B$44)^8*B$48/(1+[1]Assumptions!B$4-B$14/B$2)^10</f>
        <v>26.701289138760021</v>
      </c>
      <c r="C51" s="22"/>
    </row>
    <row r="52" spans="1:3" x14ac:dyDescent="0.35">
      <c r="A52" s="1" t="s">
        <v>74</v>
      </c>
      <c r="B52" s="22">
        <f>(B23*2-B$23)*(1+B$44)^8*B$48/(1+[1]Assumptions!B$4-B$14/B$2)^10</f>
        <v>57.114416677975477</v>
      </c>
      <c r="C52" s="22"/>
    </row>
    <row r="53" spans="1:3" x14ac:dyDescent="0.35">
      <c r="A53" s="1" t="s">
        <v>75</v>
      </c>
      <c r="B53" s="22">
        <f>(B24*2-B$23)*(1+B$44)^8*B$48/(1+[1]Assumptions!B$4-B$14/B$2)^10</f>
        <v>73.398610950941233</v>
      </c>
      <c r="C53" s="22"/>
    </row>
    <row r="54" spans="1:3" x14ac:dyDescent="0.35">
      <c r="B54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C61A-436E-4907-98D9-22FE6D8FF696}">
  <dimension ref="A1:K54"/>
  <sheetViews>
    <sheetView tabSelected="1" topLeftCell="A6" workbookViewId="0">
      <selection activeCell="B23" sqref="B23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116</v>
      </c>
      <c r="I1" s="3" t="s">
        <v>2</v>
      </c>
      <c r="J1" s="3" t="str">
        <f>B1</f>
        <v>ENPH</v>
      </c>
      <c r="K1" s="3" t="s">
        <v>116</v>
      </c>
    </row>
    <row r="2" spans="1:11" x14ac:dyDescent="0.35">
      <c r="A2" s="1" t="s">
        <v>3</v>
      </c>
      <c r="B2" s="2">
        <v>85</v>
      </c>
      <c r="I2" s="3" t="s">
        <v>4</v>
      </c>
      <c r="J2" s="3">
        <f>B2</f>
        <v>85</v>
      </c>
      <c r="K2" s="3">
        <v>85</v>
      </c>
    </row>
    <row r="3" spans="1:11" x14ac:dyDescent="0.35">
      <c r="I3" s="3" t="s">
        <v>5</v>
      </c>
      <c r="J3" s="4">
        <f>B28</f>
        <v>0.21</v>
      </c>
      <c r="K3" s="3">
        <v>0.21</v>
      </c>
    </row>
    <row r="4" spans="1:11" x14ac:dyDescent="0.35">
      <c r="A4" s="1" t="s">
        <v>6</v>
      </c>
      <c r="I4" s="3" t="s">
        <v>7</v>
      </c>
      <c r="J4" s="3">
        <f>B18</f>
        <v>4.41</v>
      </c>
      <c r="K4" s="3">
        <v>4.41</v>
      </c>
    </row>
    <row r="5" spans="1:11" x14ac:dyDescent="0.35">
      <c r="B5" s="3" t="s">
        <v>8</v>
      </c>
      <c r="I5" s="3" t="s">
        <v>9</v>
      </c>
      <c r="J5" s="3">
        <f t="shared" ref="J5:J10" si="0">B19</f>
        <v>0.69</v>
      </c>
      <c r="K5" s="3">
        <v>0.69</v>
      </c>
    </row>
    <row r="6" spans="1:11" x14ac:dyDescent="0.35">
      <c r="A6" s="5" t="s">
        <v>10</v>
      </c>
      <c r="B6" s="6">
        <v>439</v>
      </c>
      <c r="C6" s="3" t="s">
        <v>11</v>
      </c>
      <c r="D6" s="7"/>
      <c r="I6" s="3" t="s">
        <v>12</v>
      </c>
      <c r="J6" s="3">
        <f t="shared" si="0"/>
        <v>2.15</v>
      </c>
      <c r="K6" s="3">
        <v>2.15</v>
      </c>
    </row>
    <row r="7" spans="1:11" x14ac:dyDescent="0.35">
      <c r="A7" s="5" t="s">
        <v>13</v>
      </c>
      <c r="B7" s="6">
        <v>461</v>
      </c>
      <c r="C7" s="3" t="s">
        <v>11</v>
      </c>
      <c r="D7" s="7"/>
      <c r="I7" s="3" t="s">
        <v>14</v>
      </c>
      <c r="J7" s="3">
        <f t="shared" si="0"/>
        <v>2.87</v>
      </c>
      <c r="K7" s="3">
        <v>2.87</v>
      </c>
    </row>
    <row r="8" spans="1:11" x14ac:dyDescent="0.35">
      <c r="A8" s="5" t="s">
        <v>15</v>
      </c>
      <c r="B8" s="6">
        <v>1058</v>
      </c>
      <c r="C8" s="3" t="s">
        <v>11</v>
      </c>
      <c r="D8" s="7"/>
      <c r="I8" s="3" t="s">
        <v>16</v>
      </c>
      <c r="J8" s="3">
        <f t="shared" si="0"/>
        <v>2.84</v>
      </c>
      <c r="K8" s="3">
        <v>2.5</v>
      </c>
    </row>
    <row r="9" spans="1:11" x14ac:dyDescent="0.35">
      <c r="A9" s="5" t="s">
        <v>17</v>
      </c>
      <c r="B9" s="6">
        <v>2291</v>
      </c>
      <c r="C9" s="3" t="s">
        <v>11</v>
      </c>
      <c r="D9" s="7"/>
      <c r="I9" s="3" t="s">
        <v>18</v>
      </c>
      <c r="J9" s="3">
        <f t="shared" si="0"/>
        <v>3.76</v>
      </c>
      <c r="K9" s="3">
        <v>3.76</v>
      </c>
    </row>
    <row r="10" spans="1:11" x14ac:dyDescent="0.35">
      <c r="A10" s="5" t="s">
        <v>19</v>
      </c>
      <c r="B10" s="8">
        <v>143</v>
      </c>
      <c r="C10" s="3" t="s">
        <v>11</v>
      </c>
      <c r="D10" s="7"/>
      <c r="I10" s="3" t="s">
        <v>20</v>
      </c>
      <c r="J10" s="3">
        <f t="shared" si="0"/>
        <v>4.97</v>
      </c>
      <c r="K10" s="3">
        <v>4.97</v>
      </c>
    </row>
    <row r="11" spans="1:11" x14ac:dyDescent="0.35">
      <c r="A11" s="5" t="s">
        <v>21</v>
      </c>
      <c r="B11" s="6">
        <v>3383</v>
      </c>
      <c r="C11" s="3" t="s">
        <v>11</v>
      </c>
      <c r="D11" s="7"/>
      <c r="I11" s="3" t="s">
        <v>22</v>
      </c>
      <c r="J11" s="9">
        <f>B44*100</f>
        <v>15.666192443102526</v>
      </c>
      <c r="K11" s="3">
        <v>15.666192443102526</v>
      </c>
    </row>
    <row r="12" spans="1:11" x14ac:dyDescent="0.35">
      <c r="A12" s="5" t="s">
        <v>23</v>
      </c>
      <c r="B12" s="6">
        <v>984</v>
      </c>
      <c r="C12" s="3" t="s">
        <v>11</v>
      </c>
      <c r="D12" s="7"/>
      <c r="I12" s="3" t="s">
        <v>24</v>
      </c>
      <c r="J12" s="9">
        <v>110</v>
      </c>
      <c r="K12" s="3">
        <v>110</v>
      </c>
    </row>
    <row r="13" spans="1:11" x14ac:dyDescent="0.35">
      <c r="A13" s="5" t="s">
        <v>25</v>
      </c>
      <c r="B13" s="6">
        <v>2399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0</v>
      </c>
      <c r="C14" s="3" t="s">
        <v>28</v>
      </c>
      <c r="D14" s="23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</v>
      </c>
      <c r="K15" s="3">
        <v>0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0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1">
        <v>4.41</v>
      </c>
      <c r="C18" s="3" t="s">
        <v>28</v>
      </c>
      <c r="D18" s="12">
        <v>2.2999999999999998</v>
      </c>
      <c r="E18" s="3" t="s">
        <v>36</v>
      </c>
      <c r="F18" s="13"/>
      <c r="H18" s="7"/>
      <c r="I18" s="3" t="s">
        <v>37</v>
      </c>
      <c r="J18" s="9">
        <f>B48</f>
        <v>16.424792139077852</v>
      </c>
      <c r="K18" s="3">
        <v>16.424792139077852</v>
      </c>
    </row>
    <row r="19" spans="1:11" x14ac:dyDescent="0.35">
      <c r="A19" s="1" t="s">
        <v>38</v>
      </c>
      <c r="B19" s="11">
        <v>0.69</v>
      </c>
      <c r="C19" s="3" t="s">
        <v>28</v>
      </c>
      <c r="D19" s="12">
        <v>1.3</v>
      </c>
      <c r="E19" s="3" t="s">
        <v>36</v>
      </c>
      <c r="F19" s="14"/>
      <c r="H19" s="7"/>
      <c r="I19" s="3" t="s">
        <v>39</v>
      </c>
      <c r="J19" s="9">
        <f>B52</f>
        <v>38.951642468449393</v>
      </c>
      <c r="K19" s="3">
        <v>25.156269094206898</v>
      </c>
    </row>
    <row r="20" spans="1:11" x14ac:dyDescent="0.35">
      <c r="A20" s="1" t="s">
        <v>40</v>
      </c>
      <c r="B20" s="11">
        <v>2.15</v>
      </c>
      <c r="C20" s="3" t="s">
        <v>28</v>
      </c>
      <c r="D20" s="12">
        <v>1.3</v>
      </c>
      <c r="E20" s="3" t="s">
        <v>36</v>
      </c>
      <c r="F20" s="14"/>
      <c r="H20" s="7"/>
      <c r="I20" s="3" t="s">
        <v>41</v>
      </c>
      <c r="J20" s="9">
        <f>B53</f>
        <v>76.280299834046716</v>
      </c>
      <c r="K20" s="3">
        <v>76.280299834046716</v>
      </c>
    </row>
    <row r="21" spans="1:11" x14ac:dyDescent="0.35">
      <c r="A21" s="1" t="s">
        <v>42</v>
      </c>
      <c r="B21" s="11">
        <v>2.87</v>
      </c>
      <c r="C21" s="3" t="s">
        <v>28</v>
      </c>
      <c r="D21" s="12">
        <v>1.44</v>
      </c>
      <c r="E21" s="3" t="s">
        <v>36</v>
      </c>
      <c r="F21" s="14"/>
      <c r="H21" s="7"/>
    </row>
    <row r="22" spans="1:11" x14ac:dyDescent="0.35">
      <c r="A22" s="1" t="s">
        <v>43</v>
      </c>
      <c r="B22" s="11">
        <v>2.84</v>
      </c>
      <c r="C22" s="3" t="s">
        <v>28</v>
      </c>
      <c r="D22" s="12">
        <v>1.48</v>
      </c>
      <c r="E22" s="3" t="s">
        <v>36</v>
      </c>
      <c r="F22" s="14"/>
      <c r="H22" s="7"/>
    </row>
    <row r="23" spans="1:11" x14ac:dyDescent="0.35">
      <c r="A23" s="1" t="s">
        <v>44</v>
      </c>
      <c r="B23" s="11">
        <v>3.76</v>
      </c>
      <c r="C23" s="3" t="s">
        <v>28</v>
      </c>
      <c r="D23" s="12">
        <v>1.79</v>
      </c>
      <c r="E23" s="3" t="s">
        <v>36</v>
      </c>
      <c r="F23" s="14"/>
      <c r="H23" s="7"/>
    </row>
    <row r="24" spans="1:11" x14ac:dyDescent="0.35">
      <c r="A24" s="1" t="s">
        <v>45</v>
      </c>
      <c r="B24" s="11">
        <v>4.97</v>
      </c>
      <c r="C24" s="3" t="s">
        <v>28</v>
      </c>
      <c r="D24" s="12">
        <v>2.33</v>
      </c>
      <c r="E24" s="3" t="s">
        <v>36</v>
      </c>
      <c r="F24" s="14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5">
        <v>0.21</v>
      </c>
    </row>
    <row r="29" spans="1:11" x14ac:dyDescent="0.35">
      <c r="A29" s="1" t="s">
        <v>49</v>
      </c>
      <c r="B29" s="15">
        <v>0.1</v>
      </c>
    </row>
    <row r="30" spans="1:11" x14ac:dyDescent="0.35">
      <c r="A30" s="1" t="s">
        <v>50</v>
      </c>
      <c r="B30" s="15">
        <v>-0.51</v>
      </c>
    </row>
    <row r="31" spans="1:11" x14ac:dyDescent="0.35">
      <c r="A31" s="1" t="s">
        <v>51</v>
      </c>
      <c r="B31" s="15">
        <v>0.75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6">
        <f>B6/B12</f>
        <v>0.44613821138211385</v>
      </c>
      <c r="C35" s="3" t="s">
        <v>54</v>
      </c>
    </row>
    <row r="36" spans="1:3" x14ac:dyDescent="0.35">
      <c r="A36" s="1" t="s">
        <v>55</v>
      </c>
      <c r="B36" s="16">
        <f>B7/B11</f>
        <v>0.13626958321016849</v>
      </c>
      <c r="C36" s="3" t="s">
        <v>56</v>
      </c>
    </row>
    <row r="37" spans="1:3" x14ac:dyDescent="0.35">
      <c r="A37" s="1" t="s">
        <v>57</v>
      </c>
      <c r="B37" s="16">
        <f>(B45*B12+B13*[1]Assumptions!B3)/B11</f>
        <v>0.12271652379544783</v>
      </c>
      <c r="C37" s="3" t="s">
        <v>58</v>
      </c>
    </row>
    <row r="38" spans="1:3" x14ac:dyDescent="0.35">
      <c r="A38" s="1" t="s">
        <v>59</v>
      </c>
      <c r="B38" s="16">
        <f>(B23-B22)/B23</f>
        <v>0.24468085106382978</v>
      </c>
      <c r="C38" s="3" t="s">
        <v>60</v>
      </c>
    </row>
    <row r="39" spans="1:3" x14ac:dyDescent="0.35">
      <c r="A39" s="1" t="s">
        <v>61</v>
      </c>
      <c r="B39" s="27">
        <f>(B36-[1]Assumptions!$B$3)/B36/B38/[1]Assumptions!B5</f>
        <v>0.68644549963718393</v>
      </c>
      <c r="C39" s="3" t="s">
        <v>62</v>
      </c>
    </row>
    <row r="40" spans="1:3" x14ac:dyDescent="0.35">
      <c r="A40" s="1" t="s">
        <v>63</v>
      </c>
      <c r="B40" s="18">
        <f>Assumptions!D18</f>
        <v>0.1</v>
      </c>
    </row>
    <row r="41" spans="1:3" x14ac:dyDescent="0.35">
      <c r="A41" s="1" t="s">
        <v>64</v>
      </c>
      <c r="B41" s="19">
        <f>MIN((D23/D20)-1,B40*2)</f>
        <v>0.2</v>
      </c>
    </row>
    <row r="42" spans="1:3" x14ac:dyDescent="0.35">
      <c r="A42" s="1" t="s">
        <v>65</v>
      </c>
      <c r="B42" s="19">
        <f>(B35-B41)/B48</f>
        <v>1.4985773293075778E-2</v>
      </c>
    </row>
    <row r="43" spans="1:3" x14ac:dyDescent="0.35">
      <c r="A43" s="1" t="s">
        <v>66</v>
      </c>
      <c r="B43" s="20">
        <f>MEDIAN(B28:B31)</f>
        <v>0.155</v>
      </c>
    </row>
    <row r="44" spans="1:3" x14ac:dyDescent="0.35">
      <c r="A44" s="1" t="s">
        <v>67</v>
      </c>
      <c r="B44" s="21">
        <f>SUM(B40:B43)/3</f>
        <v>0.15666192443102525</v>
      </c>
    </row>
    <row r="45" spans="1:3" x14ac:dyDescent="0.35">
      <c r="A45" s="1" t="s">
        <v>68</v>
      </c>
      <c r="B45" s="15">
        <f>0.3</f>
        <v>0.3</v>
      </c>
      <c r="C45" s="3" t="s">
        <v>77</v>
      </c>
    </row>
    <row r="46" spans="1:3" x14ac:dyDescent="0.35">
      <c r="A46" s="1" t="s">
        <v>70</v>
      </c>
      <c r="B46" s="16">
        <f>Assumptions!E18</f>
        <v>0.06</v>
      </c>
    </row>
    <row r="47" spans="1:3" x14ac:dyDescent="0.35">
      <c r="A47" s="1" t="s">
        <v>71</v>
      </c>
      <c r="B47" s="22">
        <f>(B45-B46)/([1]Assumptions!B4-B46)/B45</f>
        <v>19.999999999999996</v>
      </c>
    </row>
    <row r="48" spans="1:3" x14ac:dyDescent="0.35">
      <c r="A48" s="1" t="s">
        <v>72</v>
      </c>
      <c r="B48" s="22">
        <f>(B2/B18+10+B47)/3</f>
        <v>16.424792139077852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2">
        <f>(B22*2-B$23)*(1+B$44)^8*B$48/(1+Assumptions!B$4-B$14/B$2)^10</f>
        <v>38.951642468449393</v>
      </c>
      <c r="C52" s="22"/>
    </row>
    <row r="53" spans="1:3" x14ac:dyDescent="0.35">
      <c r="A53" s="1" t="s">
        <v>74</v>
      </c>
      <c r="B53" s="22">
        <f>(B23*2-B$23)*(1+B$44)^8*B$48/(1+[1]Assumptions!B$4-B$14/B$2)^10</f>
        <v>76.280299834046716</v>
      </c>
      <c r="C53" s="22"/>
    </row>
    <row r="54" spans="1:3" x14ac:dyDescent="0.35">
      <c r="A54" s="1" t="s">
        <v>75</v>
      </c>
      <c r="B54" s="22">
        <f>(B24*2-B$23)*(1+B$44)^8*B$48/(1+[1]Assumptions!B$4-B$14/B$2)^10</f>
        <v>125.37559919532146</v>
      </c>
      <c r="C5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Assumptions</vt:lpstr>
      <vt:lpstr>COST</vt:lpstr>
      <vt:lpstr>ULTA</vt:lpstr>
      <vt:lpstr>BNKG</vt:lpstr>
      <vt:lpstr>V</vt:lpstr>
      <vt:lpstr>MA</vt:lpstr>
      <vt:lpstr>TSLA</vt:lpstr>
      <vt:lpstr>ON</vt:lpstr>
      <vt:lpstr>ENPH</vt:lpstr>
      <vt:lpstr>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2024-11-15T05:01:45Z</dcterms:modified>
</cp:coreProperties>
</file>