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yimin_zhang1_unimelb_edu_au/Documents/Documents/Local Files/Optimisation_w_gp/optimisation_w_gp/mannual/Summary/"/>
    </mc:Choice>
  </mc:AlternateContent>
  <xr:revisionPtr revIDLastSave="227" documentId="11_F25DC773A252ABDACC1048C1019D7EBE5BDE58E8" xr6:coauthVersionLast="47" xr6:coauthVersionMax="47" xr10:uidLastSave="{DFE63118-5E01-4250-8B8B-1D6818A2B6C1}"/>
  <bookViews>
    <workbookView xWindow="16056" yWindow="264" windowWidth="25320" windowHeight="14796" activeTab="10" xr2:uid="{00000000-000D-0000-FFFF-FFFF00000000}"/>
  </bookViews>
  <sheets>
    <sheet name="Assumptions" sheetId="1" r:id="rId1"/>
    <sheet name="CRM" sheetId="2" r:id="rId2"/>
    <sheet name="ADBE" sheetId="3" r:id="rId3"/>
    <sheet name="MSFT" sheetId="4" r:id="rId4"/>
    <sheet name="GOOG" sheetId="5" r:id="rId5"/>
    <sheet name="AMZN" sheetId="6" r:id="rId6"/>
    <sheet name="AAPL" sheetId="7" r:id="rId7"/>
    <sheet name="META" sheetId="8" r:id="rId8"/>
    <sheet name="MCO" sheetId="9" r:id="rId9"/>
    <sheet name="SPGI" sheetId="10" r:id="rId10"/>
    <sheet name="UBER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20" i="2"/>
  <c r="J19" i="2"/>
  <c r="J18" i="2"/>
  <c r="J17" i="2"/>
  <c r="J16" i="2"/>
  <c r="J15" i="2"/>
  <c r="J13" i="2"/>
  <c r="J14" i="2" s="1"/>
  <c r="J11" i="2"/>
  <c r="J10" i="2"/>
  <c r="J9" i="2"/>
  <c r="J8" i="2"/>
  <c r="J7" i="2"/>
  <c r="J6" i="2"/>
  <c r="J5" i="2"/>
  <c r="J4" i="2"/>
  <c r="J2" i="2"/>
  <c r="J1" i="2"/>
  <c r="J20" i="3"/>
  <c r="J19" i="3"/>
  <c r="J18" i="3"/>
  <c r="J17" i="3"/>
  <c r="J16" i="3"/>
  <c r="J15" i="3"/>
  <c r="J13" i="3"/>
  <c r="J14" i="3" s="1"/>
  <c r="J11" i="3"/>
  <c r="J10" i="3"/>
  <c r="J9" i="3"/>
  <c r="J8" i="3"/>
  <c r="J7" i="3"/>
  <c r="J6" i="3"/>
  <c r="J5" i="3"/>
  <c r="J4" i="3"/>
  <c r="J3" i="3"/>
  <c r="J2" i="3"/>
  <c r="J1" i="3"/>
  <c r="J20" i="4"/>
  <c r="J19" i="4"/>
  <c r="J18" i="4"/>
  <c r="J17" i="4"/>
  <c r="J16" i="4"/>
  <c r="J15" i="4"/>
  <c r="J13" i="4"/>
  <c r="J14" i="4" s="1"/>
  <c r="J11" i="4"/>
  <c r="J10" i="4"/>
  <c r="J9" i="4"/>
  <c r="J8" i="4"/>
  <c r="J7" i="4"/>
  <c r="J6" i="4"/>
  <c r="J5" i="4"/>
  <c r="J4" i="4"/>
  <c r="J3" i="4"/>
  <c r="J2" i="4"/>
  <c r="J1" i="4"/>
  <c r="J20" i="5"/>
  <c r="J19" i="5"/>
  <c r="J18" i="5"/>
  <c r="J17" i="5"/>
  <c r="J16" i="5"/>
  <c r="J15" i="5"/>
  <c r="J13" i="5"/>
  <c r="J14" i="5" s="1"/>
  <c r="J11" i="5"/>
  <c r="J10" i="5"/>
  <c r="J9" i="5"/>
  <c r="J8" i="5"/>
  <c r="J7" i="5"/>
  <c r="J6" i="5"/>
  <c r="J5" i="5"/>
  <c r="J4" i="5"/>
  <c r="J3" i="5"/>
  <c r="J2" i="5"/>
  <c r="J1" i="5"/>
  <c r="J20" i="6"/>
  <c r="J19" i="6"/>
  <c r="J18" i="6"/>
  <c r="J17" i="6"/>
  <c r="J16" i="6"/>
  <c r="J15" i="6"/>
  <c r="J13" i="6"/>
  <c r="J14" i="6" s="1"/>
  <c r="J11" i="6"/>
  <c r="J10" i="6"/>
  <c r="J9" i="6"/>
  <c r="J8" i="6"/>
  <c r="J7" i="6"/>
  <c r="J6" i="6"/>
  <c r="J5" i="6"/>
  <c r="J4" i="6"/>
  <c r="J3" i="6"/>
  <c r="J2" i="6"/>
  <c r="J1" i="6"/>
  <c r="J20" i="7"/>
  <c r="J19" i="7"/>
  <c r="J18" i="7"/>
  <c r="J17" i="7"/>
  <c r="J16" i="7"/>
  <c r="J15" i="7"/>
  <c r="J13" i="7"/>
  <c r="J14" i="7" s="1"/>
  <c r="J11" i="7"/>
  <c r="J10" i="7"/>
  <c r="J9" i="7"/>
  <c r="J8" i="7"/>
  <c r="J7" i="7"/>
  <c r="J6" i="7"/>
  <c r="J5" i="7"/>
  <c r="J4" i="7"/>
  <c r="J3" i="7"/>
  <c r="J2" i="7"/>
  <c r="J1" i="7"/>
  <c r="J20" i="8"/>
  <c r="J19" i="8"/>
  <c r="J18" i="8"/>
  <c r="J17" i="8"/>
  <c r="J16" i="8"/>
  <c r="J15" i="8"/>
  <c r="J13" i="8"/>
  <c r="J14" i="8" s="1"/>
  <c r="J11" i="8"/>
  <c r="J10" i="8"/>
  <c r="J9" i="8"/>
  <c r="J8" i="8"/>
  <c r="J7" i="8"/>
  <c r="J6" i="8"/>
  <c r="J5" i="8"/>
  <c r="J4" i="8"/>
  <c r="J3" i="8"/>
  <c r="J2" i="8"/>
  <c r="J1" i="8"/>
  <c r="J20" i="9"/>
  <c r="J19" i="9"/>
  <c r="J18" i="9"/>
  <c r="J17" i="9"/>
  <c r="J16" i="9"/>
  <c r="J15" i="9"/>
  <c r="J14" i="9"/>
  <c r="J13" i="9"/>
  <c r="J11" i="9"/>
  <c r="J10" i="9"/>
  <c r="J9" i="9"/>
  <c r="J8" i="9"/>
  <c r="J7" i="9"/>
  <c r="J6" i="9"/>
  <c r="J5" i="9"/>
  <c r="J4" i="9"/>
  <c r="J3" i="9"/>
  <c r="J2" i="9"/>
  <c r="J1" i="9"/>
  <c r="J20" i="10"/>
  <c r="J19" i="10"/>
  <c r="J18" i="10"/>
  <c r="J17" i="10"/>
  <c r="J16" i="10"/>
  <c r="J15" i="10"/>
  <c r="J13" i="10"/>
  <c r="J14" i="10" s="1"/>
  <c r="J11" i="10"/>
  <c r="J10" i="10"/>
  <c r="J9" i="10"/>
  <c r="J8" i="10"/>
  <c r="J7" i="10"/>
  <c r="J6" i="10"/>
  <c r="J5" i="10"/>
  <c r="J4" i="10"/>
  <c r="J3" i="10"/>
  <c r="J2" i="10"/>
  <c r="J1" i="10"/>
  <c r="B43" i="11"/>
  <c r="B43" i="10"/>
  <c r="B43" i="9"/>
  <c r="B43" i="7"/>
  <c r="B43" i="6"/>
  <c r="B43" i="5"/>
  <c r="B43" i="4"/>
  <c r="B43" i="3"/>
  <c r="B43" i="2"/>
  <c r="B43" i="8"/>
  <c r="C43" i="8"/>
  <c r="B36" i="11"/>
  <c r="B46" i="11"/>
  <c r="B41" i="11"/>
  <c r="B40" i="11"/>
  <c r="B38" i="11"/>
  <c r="B35" i="11"/>
  <c r="B45" i="11" s="1"/>
  <c r="J16" i="11"/>
  <c r="J15" i="11"/>
  <c r="J10" i="11"/>
  <c r="J9" i="11"/>
  <c r="J8" i="11"/>
  <c r="J7" i="11"/>
  <c r="J6" i="11"/>
  <c r="J5" i="11"/>
  <c r="J4" i="11"/>
  <c r="J3" i="11"/>
  <c r="J2" i="11"/>
  <c r="J1" i="11"/>
  <c r="B35" i="10"/>
  <c r="B45" i="10"/>
  <c r="B37" i="10" s="1"/>
  <c r="B46" i="10"/>
  <c r="B41" i="10"/>
  <c r="B40" i="10"/>
  <c r="B38" i="10"/>
  <c r="B36" i="10"/>
  <c r="B46" i="9"/>
  <c r="B41" i="9"/>
  <c r="B40" i="9"/>
  <c r="B38" i="9"/>
  <c r="B36" i="9"/>
  <c r="B35" i="9"/>
  <c r="B41" i="8"/>
  <c r="B46" i="8"/>
  <c r="B40" i="8"/>
  <c r="B38" i="8"/>
  <c r="B36" i="8"/>
  <c r="B39" i="8" s="1"/>
  <c r="B35" i="8"/>
  <c r="B45" i="8" s="1"/>
  <c r="B40" i="7"/>
  <c r="B46" i="7"/>
  <c r="B47" i="7" s="1"/>
  <c r="B48" i="7" s="1"/>
  <c r="B41" i="7"/>
  <c r="B39" i="7"/>
  <c r="B38" i="7"/>
  <c r="B37" i="7"/>
  <c r="B36" i="7"/>
  <c r="B35" i="7"/>
  <c r="B40" i="6"/>
  <c r="B46" i="6"/>
  <c r="B41" i="6"/>
  <c r="B38" i="6"/>
  <c r="B36" i="6"/>
  <c r="B39" i="6" s="1"/>
  <c r="B35" i="6"/>
  <c r="B45" i="6" s="1"/>
  <c r="B40" i="5"/>
  <c r="B46" i="5"/>
  <c r="B41" i="5"/>
  <c r="B38" i="5"/>
  <c r="B36" i="5"/>
  <c r="B39" i="5" s="1"/>
  <c r="B35" i="5"/>
  <c r="B40" i="4"/>
  <c r="B46" i="4"/>
  <c r="B47" i="4" s="1"/>
  <c r="B48" i="4" s="1"/>
  <c r="B41" i="4"/>
  <c r="B39" i="4"/>
  <c r="B38" i="4"/>
  <c r="B37" i="4"/>
  <c r="B36" i="4"/>
  <c r="B35" i="4"/>
  <c r="B40" i="3"/>
  <c r="B46" i="3"/>
  <c r="B41" i="3"/>
  <c r="B38" i="3"/>
  <c r="B36" i="3"/>
  <c r="B39" i="3" s="1"/>
  <c r="B35" i="3"/>
  <c r="B45" i="3" s="1"/>
  <c r="B40" i="2"/>
  <c r="B46" i="2"/>
  <c r="B45" i="2"/>
  <c r="B47" i="2" s="1"/>
  <c r="B48" i="2" s="1"/>
  <c r="B41" i="2"/>
  <c r="B38" i="2"/>
  <c r="B37" i="2"/>
  <c r="B36" i="2"/>
  <c r="B39" i="2" s="1"/>
  <c r="B35" i="2"/>
  <c r="D18" i="1"/>
  <c r="D16" i="1"/>
  <c r="D17" i="1" s="1"/>
  <c r="B5" i="1"/>
  <c r="B39" i="11" l="1"/>
  <c r="J13" i="11" s="1"/>
  <c r="B47" i="11"/>
  <c r="B48" i="11" s="1"/>
  <c r="J18" i="11" s="1"/>
  <c r="B37" i="11"/>
  <c r="J14" i="11"/>
  <c r="J17" i="11"/>
  <c r="B47" i="10"/>
  <c r="B48" i="10" s="1"/>
  <c r="B39" i="10"/>
  <c r="B39" i="9"/>
  <c r="B47" i="8"/>
  <c r="B48" i="8" s="1"/>
  <c r="B37" i="8"/>
  <c r="B42" i="7"/>
  <c r="B44" i="7" s="1"/>
  <c r="B47" i="6"/>
  <c r="B48" i="6" s="1"/>
  <c r="B37" i="6"/>
  <c r="B45" i="5"/>
  <c r="B42" i="4"/>
  <c r="B44" i="4" s="1"/>
  <c r="B53" i="4" s="1"/>
  <c r="B47" i="3"/>
  <c r="B48" i="3" s="1"/>
  <c r="B37" i="3"/>
  <c r="B42" i="2"/>
  <c r="B44" i="2" s="1"/>
  <c r="B52" i="2" s="1"/>
  <c r="B54" i="7" l="1"/>
  <c r="B53" i="2"/>
  <c r="B52" i="4"/>
  <c r="B52" i="7"/>
  <c r="B42" i="11"/>
  <c r="B42" i="10"/>
  <c r="B44" i="10" s="1"/>
  <c r="B54" i="10" s="1"/>
  <c r="B47" i="9"/>
  <c r="B48" i="9" s="1"/>
  <c r="B37" i="9"/>
  <c r="B42" i="8"/>
  <c r="B44" i="8" s="1"/>
  <c r="B54" i="2"/>
  <c r="B54" i="4"/>
  <c r="B53" i="7"/>
  <c r="B42" i="6"/>
  <c r="B44" i="6" s="1"/>
  <c r="B47" i="5"/>
  <c r="B48" i="5" s="1"/>
  <c r="B37" i="5"/>
  <c r="B42" i="3"/>
  <c r="B44" i="3" s="1"/>
  <c r="B52" i="10" l="1"/>
  <c r="B44" i="11"/>
  <c r="B53" i="11" s="1"/>
  <c r="J20" i="11" s="1"/>
  <c r="B53" i="10"/>
  <c r="B42" i="9"/>
  <c r="B44" i="9" s="1"/>
  <c r="B53" i="8"/>
  <c r="B52" i="8"/>
  <c r="B54" i="8"/>
  <c r="B52" i="6"/>
  <c r="B53" i="6"/>
  <c r="B52" i="3"/>
  <c r="B54" i="6"/>
  <c r="B54" i="3"/>
  <c r="B53" i="3"/>
  <c r="B42" i="5"/>
  <c r="B44" i="5" s="1"/>
  <c r="B54" i="11" l="1"/>
  <c r="B52" i="11"/>
  <c r="J19" i="11" s="1"/>
  <c r="J11" i="11"/>
  <c r="B54" i="9"/>
  <c r="B53" i="9"/>
  <c r="B52" i="9"/>
  <c r="B54" i="5"/>
  <c r="B52" i="5"/>
  <c r="B53" i="5"/>
</calcChain>
</file>

<file path=xl/sharedStrings.xml><?xml version="1.0" encoding="utf-8"?>
<sst xmlns="http://schemas.openxmlformats.org/spreadsheetml/2006/main" count="1046" uniqueCount="122">
  <si>
    <t>General Assumptions</t>
  </si>
  <si>
    <t>Value</t>
  </si>
  <si>
    <t>Explanation</t>
  </si>
  <si>
    <t>crate</t>
  </si>
  <si>
    <t>5% interest rate</t>
  </si>
  <si>
    <t>mrate</t>
  </si>
  <si>
    <t>10% cost of equity</t>
  </si>
  <si>
    <t>mult buffer</t>
  </si>
  <si>
    <t>Assuming the current 2-year estimation of downside covering 40% (0.52 sigma), then 95% (1.96 sigma) of the time, the investigated entity is still profitable after interest.</t>
  </si>
  <si>
    <t>INFLATION</t>
  </si>
  <si>
    <t>3% inflation rate</t>
  </si>
  <si>
    <t>POPULATION</t>
  </si>
  <si>
    <t>Genetic economic growth due to population growth</t>
  </si>
  <si>
    <t>EFFICIENCY</t>
  </si>
  <si>
    <t>Efficiency improvement (only assumed for mature sector)</t>
  </si>
  <si>
    <t>Norminal</t>
  </si>
  <si>
    <t>Normal growth = Inflation + Efficiency + Efficiency</t>
  </si>
  <si>
    <t>Expanding</t>
  </si>
  <si>
    <t>Assumed revenue growth rate for expanding sectors.</t>
  </si>
  <si>
    <t>Sector Assumptions</t>
  </si>
  <si>
    <t>SECTOR - Simiplified - 3 types are defined out of specific sectors in previous versions.</t>
  </si>
  <si>
    <t>Code</t>
  </si>
  <si>
    <t>Near</t>
  </si>
  <si>
    <t>Long-term</t>
  </si>
  <si>
    <t>Traditional</t>
  </si>
  <si>
    <t>Stable &amp; Mature Markets</t>
  </si>
  <si>
    <t>Trad</t>
  </si>
  <si>
    <t>Evolving</t>
  </si>
  <si>
    <t>New modes in traditional sectors</t>
  </si>
  <si>
    <t>Evol</t>
  </si>
  <si>
    <t>New bussiness model</t>
  </si>
  <si>
    <t>Exp</t>
  </si>
  <si>
    <t>code</t>
  </si>
  <si>
    <t>CRM</t>
  </si>
  <si>
    <t>index</t>
  </si>
  <si>
    <t>price</t>
  </si>
  <si>
    <t>i_cost</t>
  </si>
  <si>
    <t>o</t>
  </si>
  <si>
    <t>financials</t>
  </si>
  <si>
    <t>i</t>
  </si>
  <si>
    <t>Year 2023</t>
  </si>
  <si>
    <t>ii_low</t>
  </si>
  <si>
    <t>net income</t>
  </si>
  <si>
    <t>million</t>
  </si>
  <si>
    <t>ii_med</t>
  </si>
  <si>
    <t>EBIT</t>
  </si>
  <si>
    <t>ii_high</t>
  </si>
  <si>
    <t>gross income</t>
  </si>
  <si>
    <t>iii_low</t>
  </si>
  <si>
    <t>revenue</t>
  </si>
  <si>
    <t>iii_med</t>
  </si>
  <si>
    <t>share</t>
  </si>
  <si>
    <t>iii_high</t>
  </si>
  <si>
    <t>asset</t>
  </si>
  <si>
    <t>iv_rate</t>
  </si>
  <si>
    <t>equity</t>
  </si>
  <si>
    <t>iv_up</t>
  </si>
  <si>
    <t>debt</t>
  </si>
  <si>
    <t>iv_do</t>
  </si>
  <si>
    <t>dividend</t>
  </si>
  <si>
    <t>per share</t>
  </si>
  <si>
    <t>iv_cap</t>
  </si>
  <si>
    <t>x_div</t>
  </si>
  <si>
    <t>analysis</t>
  </si>
  <si>
    <t>x_rate</t>
  </si>
  <si>
    <t>EPS</t>
  </si>
  <si>
    <t>x_roe</t>
  </si>
  <si>
    <t>trailing</t>
  </si>
  <si>
    <t>billion</t>
  </si>
  <si>
    <t>per</t>
  </si>
  <si>
    <t>forward - low</t>
  </si>
  <si>
    <t>low</t>
  </si>
  <si>
    <t>forward - mid</t>
  </si>
  <si>
    <t>mid</t>
  </si>
  <si>
    <t>forward - high</t>
  </si>
  <si>
    <t>next - low</t>
  </si>
  <si>
    <t>next - mid</t>
  </si>
  <si>
    <t>next - high</t>
  </si>
  <si>
    <t>growth estimates</t>
  </si>
  <si>
    <t>value</t>
  </si>
  <si>
    <t>past 5 years</t>
  </si>
  <si>
    <t>next 5 years</t>
  </si>
  <si>
    <t>current</t>
  </si>
  <si>
    <t>next</t>
  </si>
  <si>
    <t>yz estimates</t>
  </si>
  <si>
    <t>ROE</t>
  </si>
  <si>
    <t>current ROE</t>
  </si>
  <si>
    <t>ROA - before interest</t>
  </si>
  <si>
    <t>current EBIT/asset</t>
  </si>
  <si>
    <t>WACC</t>
  </si>
  <si>
    <t>current WACC</t>
  </si>
  <si>
    <t>downside potential</t>
  </si>
  <si>
    <t>normalised using next year estimates</t>
  </si>
  <si>
    <t>leverage health</t>
  </si>
  <si>
    <t>Check whether current leverage rate is sustainable (i.e. profitability if the downside is x times next EPS)</t>
  </si>
  <si>
    <t>growth - sector</t>
  </si>
  <si>
    <t>growth - revenue</t>
  </si>
  <si>
    <t>growth - profitability</t>
  </si>
  <si>
    <t>* using ROE in 10 years for this case due to expected improvement in ROE</t>
  </si>
  <si>
    <t>growth - market</t>
  </si>
  <si>
    <t>growth - average</t>
  </si>
  <si>
    <t>ROE in 10 years</t>
  </si>
  <si>
    <t>* average of current and a cap of 30%</t>
  </si>
  <si>
    <t>Growth in 10 years</t>
  </si>
  <si>
    <t>PE in 10 years</t>
  </si>
  <si>
    <t>PE adjusted</t>
  </si>
  <si>
    <t>yz calculation</t>
  </si>
  <si>
    <t>medium</t>
  </si>
  <si>
    <t>high</t>
  </si>
  <si>
    <t>ADBE</t>
  </si>
  <si>
    <t>MSFT</t>
  </si>
  <si>
    <t>* capped at 30%</t>
  </si>
  <si>
    <t>GOOG</t>
  </si>
  <si>
    <t>AMZN</t>
  </si>
  <si>
    <t>AAPL</t>
  </si>
  <si>
    <t>META</t>
  </si>
  <si>
    <t>MCO</t>
  </si>
  <si>
    <t>* a cap of 30%</t>
  </si>
  <si>
    <t>SPGI</t>
  </si>
  <si>
    <t>UBER</t>
  </si>
  <si>
    <t>* need to check why a significant portion of income is not operating</t>
  </si>
  <si>
    <t>* instead of the average maybe try 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</si>
</sst>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"/>
    <numFmt numFmtId="165" formatCode="0.0%"/>
    <numFmt numFmtId="166" formatCode="_-&quot;$&quot;* #,##0_-;\-&quot;$&quot;* #,##0_-;_-&quot;$&quot;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ucida Calligraphy"/>
      <family val="4"/>
    </font>
    <font>
      <sz val="11"/>
      <color theme="1"/>
      <name val="Algerian"/>
      <family val="5"/>
    </font>
    <font>
      <u/>
      <sz val="11"/>
      <color theme="1"/>
      <name val="Lucida Calligraphy"/>
      <family val="4"/>
    </font>
    <font>
      <sz val="11"/>
      <color rgb="FFFF0000"/>
      <name val="Lucida Calligraphy"/>
      <family val="4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left" vertical="center"/>
    </xf>
    <xf numFmtId="166" fontId="2" fillId="0" borderId="0" xfId="2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2" borderId="0" xfId="3" applyNumberFormat="1" applyFont="1" applyFill="1" applyAlignment="1">
      <alignment horizontal="center"/>
    </xf>
    <xf numFmtId="9" fontId="2" fillId="3" borderId="0" xfId="3" applyFont="1" applyFill="1" applyAlignment="1">
      <alignment horizontal="center"/>
    </xf>
    <xf numFmtId="9" fontId="2" fillId="4" borderId="0" xfId="3" applyFont="1" applyFill="1" applyAlignment="1">
      <alignment horizontal="center"/>
    </xf>
    <xf numFmtId="9" fontId="5" fillId="4" borderId="0" xfId="3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5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2" fontId="2" fillId="7" borderId="0" xfId="3" applyNumberFormat="1" applyFont="1" applyFill="1" applyAlignment="1">
      <alignment horizontal="center"/>
    </xf>
    <xf numFmtId="2" fontId="2" fillId="8" borderId="0" xfId="3" applyNumberFormat="1" applyFont="1" applyFill="1" applyAlignment="1">
      <alignment horizontal="center"/>
    </xf>
    <xf numFmtId="166" fontId="5" fillId="0" borderId="0" xfId="2" applyNumberFormat="1" applyFont="1" applyAlignment="1">
      <alignment horizontal="center" vertical="center"/>
    </xf>
    <xf numFmtId="2" fontId="2" fillId="9" borderId="0" xfId="3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melbcloud-my.sharepoint.com/personal/yimin_zhang1_unimelb_edu_au/Documents/Documents/Local%20Files/Optimisation_w_gp/optimisation_w_gp/mannual/Summary/2024_11_Summary.xlsx" TargetMode="External"/><Relationship Id="rId1" Type="http://schemas.openxmlformats.org/officeDocument/2006/relationships/externalLinkPath" Target="2024_11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G"/>
      <sheetName val="Assumptions"/>
    </sheetNames>
    <sheetDataSet>
      <sheetData sheetId="1">
        <row r="3">
          <cell r="B3">
            <v>0.05</v>
          </cell>
        </row>
        <row r="4">
          <cell r="B4">
            <v>0.1</v>
          </cell>
        </row>
        <row r="5">
          <cell r="B5">
            <v>3.7692307692307692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B18" sqref="B18"/>
    </sheetView>
  </sheetViews>
  <sheetFormatPr defaultRowHeight="14.4" x14ac:dyDescent="0.3"/>
  <cols>
    <col min="1" max="1" width="25.21875" customWidth="1"/>
    <col min="2" max="2" width="36.88671875" bestFit="1" customWidth="1"/>
  </cols>
  <sheetData>
    <row r="1" spans="1:5" ht="15" x14ac:dyDescent="0.35">
      <c r="A1" s="1" t="s">
        <v>0</v>
      </c>
      <c r="B1" s="2"/>
      <c r="C1" s="1"/>
      <c r="D1" s="1"/>
      <c r="E1" s="1"/>
    </row>
    <row r="2" spans="1:5" ht="15" x14ac:dyDescent="0.35">
      <c r="A2" s="1"/>
      <c r="B2" s="2" t="s">
        <v>1</v>
      </c>
      <c r="C2" s="1" t="s">
        <v>2</v>
      </c>
      <c r="D2" s="1"/>
      <c r="E2" s="1"/>
    </row>
    <row r="3" spans="1:5" ht="15" x14ac:dyDescent="0.35">
      <c r="A3" s="1" t="s">
        <v>3</v>
      </c>
      <c r="B3" s="3">
        <v>0.05</v>
      </c>
      <c r="C3" s="1" t="s">
        <v>4</v>
      </c>
      <c r="D3" s="1"/>
      <c r="E3" s="1"/>
    </row>
    <row r="4" spans="1:5" ht="15" x14ac:dyDescent="0.35">
      <c r="A4" s="1" t="s">
        <v>5</v>
      </c>
      <c r="B4" s="3">
        <v>0.1</v>
      </c>
      <c r="C4" s="1" t="s">
        <v>6</v>
      </c>
      <c r="D4" s="1"/>
      <c r="E4" s="1"/>
    </row>
    <row r="5" spans="1:5" ht="15" x14ac:dyDescent="0.35">
      <c r="A5" s="1" t="s">
        <v>7</v>
      </c>
      <c r="B5" s="4">
        <f>1.96/0.52</f>
        <v>3.7692307692307692</v>
      </c>
      <c r="C5" s="1" t="s">
        <v>8</v>
      </c>
      <c r="D5" s="1"/>
      <c r="E5" s="1"/>
    </row>
    <row r="6" spans="1:5" ht="15" x14ac:dyDescent="0.35">
      <c r="A6" s="1" t="s">
        <v>9</v>
      </c>
      <c r="B6" s="5">
        <v>0.03</v>
      </c>
      <c r="C6" s="1" t="s">
        <v>10</v>
      </c>
      <c r="D6" s="1"/>
      <c r="E6" s="1"/>
    </row>
    <row r="7" spans="1:5" ht="15" x14ac:dyDescent="0.35">
      <c r="A7" s="1" t="s">
        <v>11</v>
      </c>
      <c r="B7" s="5">
        <v>0.01</v>
      </c>
      <c r="C7" s="1" t="s">
        <v>12</v>
      </c>
      <c r="D7" s="1"/>
      <c r="E7" s="1"/>
    </row>
    <row r="8" spans="1:5" ht="15" x14ac:dyDescent="0.35">
      <c r="A8" s="1" t="s">
        <v>13</v>
      </c>
      <c r="B8" s="5">
        <v>0.02</v>
      </c>
      <c r="C8" s="1" t="s">
        <v>14</v>
      </c>
      <c r="D8" s="1"/>
      <c r="E8" s="1"/>
    </row>
    <row r="9" spans="1:5" ht="15" x14ac:dyDescent="0.35">
      <c r="A9" s="1" t="s">
        <v>15</v>
      </c>
      <c r="B9" s="5">
        <v>0.06</v>
      </c>
      <c r="C9" s="1" t="s">
        <v>16</v>
      </c>
      <c r="D9" s="1"/>
      <c r="E9" s="1"/>
    </row>
    <row r="10" spans="1:5" ht="15" x14ac:dyDescent="0.35">
      <c r="A10" s="1" t="s">
        <v>17</v>
      </c>
      <c r="B10" s="5">
        <v>0.08</v>
      </c>
      <c r="C10" s="1" t="s">
        <v>18</v>
      </c>
      <c r="D10" s="1"/>
      <c r="E10" s="1"/>
    </row>
    <row r="11" spans="1:5" ht="15" x14ac:dyDescent="0.35">
      <c r="A11" s="1"/>
      <c r="B11" s="2"/>
      <c r="C11" s="1"/>
      <c r="D11" s="1"/>
      <c r="E11" s="1"/>
    </row>
    <row r="12" spans="1:5" ht="15" x14ac:dyDescent="0.35">
      <c r="A12" s="1"/>
      <c r="B12" s="2"/>
      <c r="C12" s="1"/>
      <c r="D12" s="1"/>
      <c r="E12" s="1"/>
    </row>
    <row r="13" spans="1:5" ht="15" x14ac:dyDescent="0.35">
      <c r="A13" s="1" t="s">
        <v>19</v>
      </c>
      <c r="B13" s="2"/>
      <c r="C13" s="1"/>
      <c r="D13" s="1"/>
      <c r="E13" s="1"/>
    </row>
    <row r="14" spans="1:5" ht="15" x14ac:dyDescent="0.35">
      <c r="A14" s="1"/>
      <c r="B14" s="2"/>
      <c r="C14" s="1"/>
      <c r="D14" s="1"/>
      <c r="E14" s="1"/>
    </row>
    <row r="15" spans="1:5" ht="15" x14ac:dyDescent="0.35">
      <c r="A15" s="1" t="s">
        <v>20</v>
      </c>
      <c r="B15" s="1"/>
      <c r="C15" s="1" t="s">
        <v>21</v>
      </c>
      <c r="D15" s="2" t="s">
        <v>22</v>
      </c>
      <c r="E15" s="2" t="s">
        <v>23</v>
      </c>
    </row>
    <row r="16" spans="1:5" ht="15" x14ac:dyDescent="0.35">
      <c r="A16" s="1" t="s">
        <v>24</v>
      </c>
      <c r="B16" s="1" t="s">
        <v>25</v>
      </c>
      <c r="C16" s="1" t="s">
        <v>26</v>
      </c>
      <c r="D16" s="6">
        <f>SUM(B6:B8)</f>
        <v>0.06</v>
      </c>
      <c r="E16" s="6">
        <v>0.06</v>
      </c>
    </row>
    <row r="17" spans="1:5" ht="15" x14ac:dyDescent="0.35">
      <c r="A17" s="1" t="s">
        <v>27</v>
      </c>
      <c r="B17" s="1" t="s">
        <v>28</v>
      </c>
      <c r="C17" s="1" t="s">
        <v>29</v>
      </c>
      <c r="D17" s="6">
        <f>(D16+D18)/2</f>
        <v>0.08</v>
      </c>
      <c r="E17" s="6">
        <v>0.06</v>
      </c>
    </row>
    <row r="18" spans="1:5" ht="15" x14ac:dyDescent="0.35">
      <c r="A18" s="1" t="s">
        <v>17</v>
      </c>
      <c r="B18" s="1" t="s">
        <v>30</v>
      </c>
      <c r="C18" s="1" t="s">
        <v>31</v>
      </c>
      <c r="D18" s="6">
        <f>B10+B8</f>
        <v>0.1</v>
      </c>
      <c r="E18" s="6">
        <v>0.06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96C5-7910-47E3-B40E-26C6C808D0DA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118</v>
      </c>
      <c r="I1" s="1" t="s">
        <v>34</v>
      </c>
      <c r="J1" s="1" t="str">
        <f>B1</f>
        <v>SPGI</v>
      </c>
      <c r="K1" s="1" t="s">
        <v>118</v>
      </c>
    </row>
    <row r="2" spans="1:11" x14ac:dyDescent="0.35">
      <c r="A2" s="7" t="s">
        <v>35</v>
      </c>
      <c r="B2" s="2">
        <v>503</v>
      </c>
      <c r="I2" s="1" t="s">
        <v>36</v>
      </c>
      <c r="J2" s="1">
        <f>B2</f>
        <v>503</v>
      </c>
      <c r="K2" s="1">
        <v>503</v>
      </c>
    </row>
    <row r="3" spans="1:11" x14ac:dyDescent="0.35">
      <c r="I3" s="1" t="s">
        <v>37</v>
      </c>
      <c r="J3" s="8">
        <f>B28</f>
        <v>6.2700000000000006E-2</v>
      </c>
      <c r="K3" s="1">
        <v>6.2700000000000006E-2</v>
      </c>
    </row>
    <row r="4" spans="1:11" x14ac:dyDescent="0.35">
      <c r="A4" s="7" t="s">
        <v>38</v>
      </c>
      <c r="I4" s="1" t="s">
        <v>39</v>
      </c>
      <c r="J4" s="1">
        <f>B18</f>
        <v>12.6</v>
      </c>
      <c r="K4" s="1">
        <v>12.6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15.2</v>
      </c>
      <c r="K5" s="1">
        <v>15.2</v>
      </c>
    </row>
    <row r="6" spans="1:11" x14ac:dyDescent="0.35">
      <c r="A6" s="9" t="s">
        <v>42</v>
      </c>
      <c r="B6" s="10">
        <v>3551</v>
      </c>
      <c r="C6" s="1" t="s">
        <v>43</v>
      </c>
      <c r="I6" s="1" t="s">
        <v>44</v>
      </c>
      <c r="J6" s="1">
        <f t="shared" si="0"/>
        <v>15.27</v>
      </c>
      <c r="K6" s="1">
        <v>15.27</v>
      </c>
    </row>
    <row r="7" spans="1:11" x14ac:dyDescent="0.35">
      <c r="A7" s="9" t="s">
        <v>45</v>
      </c>
      <c r="B7" s="10">
        <v>5107</v>
      </c>
      <c r="C7" s="1" t="s">
        <v>43</v>
      </c>
      <c r="I7" s="1" t="s">
        <v>46</v>
      </c>
      <c r="J7" s="1">
        <f t="shared" si="0"/>
        <v>15.48</v>
      </c>
      <c r="K7" s="1">
        <v>15.48</v>
      </c>
    </row>
    <row r="8" spans="1:11" x14ac:dyDescent="0.35">
      <c r="A8" s="9" t="s">
        <v>47</v>
      </c>
      <c r="B8" s="10">
        <v>9459</v>
      </c>
      <c r="C8" s="1" t="s">
        <v>43</v>
      </c>
      <c r="I8" s="1" t="s">
        <v>48</v>
      </c>
      <c r="J8" s="1">
        <f t="shared" si="0"/>
        <v>15.8</v>
      </c>
      <c r="K8" s="1">
        <v>15.8</v>
      </c>
    </row>
    <row r="9" spans="1:11" x14ac:dyDescent="0.35">
      <c r="A9" s="9" t="s">
        <v>49</v>
      </c>
      <c r="B9" s="10">
        <v>13768</v>
      </c>
      <c r="C9" s="1" t="s">
        <v>43</v>
      </c>
      <c r="I9" s="1" t="s">
        <v>50</v>
      </c>
      <c r="J9" s="1">
        <f t="shared" si="0"/>
        <v>16.809999999999999</v>
      </c>
      <c r="K9" s="1">
        <v>16.809999999999999</v>
      </c>
    </row>
    <row r="10" spans="1:11" x14ac:dyDescent="0.35">
      <c r="A10" s="9" t="s">
        <v>51</v>
      </c>
      <c r="B10" s="12">
        <v>322</v>
      </c>
      <c r="C10" s="1" t="s">
        <v>43</v>
      </c>
      <c r="I10" s="1" t="s">
        <v>52</v>
      </c>
      <c r="J10" s="1">
        <f t="shared" si="0"/>
        <v>17.510000000000002</v>
      </c>
      <c r="K10" s="1">
        <v>17.510000000000002</v>
      </c>
    </row>
    <row r="11" spans="1:11" x14ac:dyDescent="0.35">
      <c r="A11" s="9" t="s">
        <v>53</v>
      </c>
      <c r="B11" s="10">
        <v>60589</v>
      </c>
      <c r="C11" s="1" t="s">
        <v>43</v>
      </c>
      <c r="I11" s="1" t="s">
        <v>54</v>
      </c>
      <c r="J11" s="14">
        <f>B44*100</f>
        <v>10.590726534853138</v>
      </c>
      <c r="K11" s="1">
        <v>10.590726534853138</v>
      </c>
    </row>
    <row r="12" spans="1:11" x14ac:dyDescent="0.35">
      <c r="A12" s="9" t="s">
        <v>55</v>
      </c>
      <c r="B12" s="10">
        <v>34200</v>
      </c>
      <c r="C12" s="1" t="s">
        <v>43</v>
      </c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22489</v>
      </c>
      <c r="C13" s="1" t="s">
        <v>43</v>
      </c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3.64</v>
      </c>
      <c r="C14" s="1" t="s">
        <v>60</v>
      </c>
      <c r="I14" s="1" t="s">
        <v>61</v>
      </c>
      <c r="J14" s="1">
        <f>MAX(J12:J13)*2</f>
        <v>220</v>
      </c>
      <c r="K14" s="1">
        <v>220</v>
      </c>
    </row>
    <row r="15" spans="1:11" x14ac:dyDescent="0.35">
      <c r="I15" s="1" t="s">
        <v>62</v>
      </c>
      <c r="J15" s="14">
        <f>B14/B2*100</f>
        <v>0.72365805168986086</v>
      </c>
      <c r="K15" s="1">
        <v>0.72365805168986086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20.191520467836259</v>
      </c>
      <c r="K17" s="1">
        <v>20.191520467836259</v>
      </c>
    </row>
    <row r="18" spans="1:11" x14ac:dyDescent="0.35">
      <c r="A18" s="7" t="s">
        <v>67</v>
      </c>
      <c r="B18" s="16">
        <v>12.6</v>
      </c>
      <c r="C18" s="1" t="s">
        <v>60</v>
      </c>
      <c r="D18" s="16">
        <v>12.5</v>
      </c>
      <c r="E18" s="1" t="s">
        <v>68</v>
      </c>
      <c r="F18" s="4"/>
      <c r="I18" s="1" t="s">
        <v>69</v>
      </c>
      <c r="J18" s="14">
        <f>B48</f>
        <v>22.497257955950303</v>
      </c>
      <c r="K18" s="1">
        <v>22.497257955950303</v>
      </c>
    </row>
    <row r="19" spans="1:11" x14ac:dyDescent="0.35">
      <c r="A19" s="7" t="s">
        <v>70</v>
      </c>
      <c r="B19" s="16">
        <v>15.2</v>
      </c>
      <c r="C19" s="1" t="s">
        <v>60</v>
      </c>
      <c r="D19" s="16">
        <v>13.99</v>
      </c>
      <c r="E19" s="1" t="s">
        <v>68</v>
      </c>
      <c r="F19" s="17"/>
      <c r="I19" s="1" t="s">
        <v>71</v>
      </c>
      <c r="J19" s="14">
        <f>B52</f>
        <v>306.60975417810897</v>
      </c>
      <c r="K19" s="1">
        <v>306.60975417810897</v>
      </c>
    </row>
    <row r="20" spans="1:11" x14ac:dyDescent="0.35">
      <c r="A20" s="7" t="s">
        <v>72</v>
      </c>
      <c r="B20" s="16">
        <v>15.27</v>
      </c>
      <c r="C20" s="1" t="s">
        <v>60</v>
      </c>
      <c r="D20" s="16">
        <v>14.05</v>
      </c>
      <c r="E20" s="1" t="s">
        <v>68</v>
      </c>
      <c r="F20" s="17"/>
      <c r="I20" s="1" t="s">
        <v>73</v>
      </c>
      <c r="J20" s="14">
        <f>B53</f>
        <v>348.48613710169104</v>
      </c>
      <c r="K20" s="1">
        <v>348.48613710169104</v>
      </c>
    </row>
    <row r="21" spans="1:11" x14ac:dyDescent="0.35">
      <c r="A21" s="7" t="s">
        <v>74</v>
      </c>
      <c r="B21" s="16">
        <v>15.48</v>
      </c>
      <c r="C21" s="1" t="s">
        <v>60</v>
      </c>
      <c r="D21" s="16">
        <v>14.12</v>
      </c>
      <c r="E21" s="1" t="s">
        <v>68</v>
      </c>
      <c r="F21" s="17"/>
    </row>
    <row r="22" spans="1:11" x14ac:dyDescent="0.35">
      <c r="A22" s="7" t="s">
        <v>75</v>
      </c>
      <c r="B22" s="16">
        <v>15.8</v>
      </c>
      <c r="C22" s="1" t="s">
        <v>60</v>
      </c>
      <c r="D22" s="16">
        <v>14.55</v>
      </c>
      <c r="E22" s="1" t="s">
        <v>68</v>
      </c>
      <c r="F22" s="17"/>
    </row>
    <row r="23" spans="1:11" x14ac:dyDescent="0.35">
      <c r="A23" s="7" t="s">
        <v>76</v>
      </c>
      <c r="B23" s="16">
        <v>16.809999999999999</v>
      </c>
      <c r="C23" s="1" t="s">
        <v>60</v>
      </c>
      <c r="D23" s="16">
        <v>14.95</v>
      </c>
      <c r="E23" s="1" t="s">
        <v>68</v>
      </c>
      <c r="F23" s="17"/>
    </row>
    <row r="24" spans="1:11" x14ac:dyDescent="0.35">
      <c r="A24" s="7" t="s">
        <v>77</v>
      </c>
      <c r="B24" s="16">
        <v>17.510000000000002</v>
      </c>
      <c r="C24" s="1" t="s">
        <v>60</v>
      </c>
      <c r="D24" s="16">
        <v>15.21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6.2700000000000006E-2</v>
      </c>
    </row>
    <row r="29" spans="1:11" x14ac:dyDescent="0.35">
      <c r="A29" s="7" t="s">
        <v>81</v>
      </c>
      <c r="B29" s="5">
        <v>0.14630000000000001</v>
      </c>
    </row>
    <row r="30" spans="1:11" x14ac:dyDescent="0.35">
      <c r="A30" s="7" t="s">
        <v>82</v>
      </c>
      <c r="B30" s="5">
        <v>0.21199999999999999</v>
      </c>
    </row>
    <row r="31" spans="1:11" x14ac:dyDescent="0.35">
      <c r="A31" s="7" t="s">
        <v>83</v>
      </c>
      <c r="B31" s="5">
        <v>0.10100000000000001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0.10383040935672515</v>
      </c>
      <c r="C35" s="1" t="s">
        <v>86</v>
      </c>
    </row>
    <row r="36" spans="1:3" x14ac:dyDescent="0.35">
      <c r="A36" s="7" t="s">
        <v>87</v>
      </c>
      <c r="B36" s="3">
        <f>B7/B11</f>
        <v>8.4289227417518028E-2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0.13253148261235537</v>
      </c>
      <c r="C37" s="1" t="s">
        <v>90</v>
      </c>
    </row>
    <row r="38" spans="1:3" x14ac:dyDescent="0.35">
      <c r="A38" s="7" t="s">
        <v>91</v>
      </c>
      <c r="B38" s="3">
        <f>(B23-B22)/B23</f>
        <v>6.0083283759666754E-2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1.7963015256101793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9.3617849159385313E-2</v>
      </c>
    </row>
    <row r="42" spans="1:3" x14ac:dyDescent="0.35">
      <c r="A42" s="7" t="s">
        <v>97</v>
      </c>
      <c r="B42" s="20">
        <f>(B35-B41)/B48</f>
        <v>4.5394688620880187E-4</v>
      </c>
    </row>
    <row r="43" spans="1:3" x14ac:dyDescent="0.35">
      <c r="A43" s="7" t="s">
        <v>99</v>
      </c>
      <c r="B43" s="22">
        <f>MEDIAN(B28:B31)</f>
        <v>0.12365000000000001</v>
      </c>
    </row>
    <row r="44" spans="1:3" x14ac:dyDescent="0.35">
      <c r="A44" s="7" t="s">
        <v>100</v>
      </c>
      <c r="B44" s="23">
        <f>SUM(B40:B43)/3</f>
        <v>0.10590726534853138</v>
      </c>
    </row>
    <row r="45" spans="1:3" x14ac:dyDescent="0.35">
      <c r="A45" s="7" t="s">
        <v>101</v>
      </c>
      <c r="B45" s="24">
        <f>(B35+0.3)/2</f>
        <v>0.20191520467836258</v>
      </c>
      <c r="C45" s="1" t="s">
        <v>117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17.571138947215985</v>
      </c>
    </row>
    <row r="48" spans="1:3" x14ac:dyDescent="0.35">
      <c r="A48" s="7" t="s">
        <v>105</v>
      </c>
      <c r="B48" s="25">
        <f>(B2/B18+10+B47)/3</f>
        <v>22.497257955950303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306.60975417810897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348.48613710169104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377.50937279130255</v>
      </c>
      <c r="C54" s="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349D-CA6C-4F53-9AFA-E8ADE120ED08}">
  <dimension ref="A1:K54"/>
  <sheetViews>
    <sheetView tabSelected="1"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119</v>
      </c>
      <c r="I1" s="1" t="s">
        <v>34</v>
      </c>
      <c r="J1" s="1" t="str">
        <f>B1</f>
        <v>UBER</v>
      </c>
      <c r="K1" s="1" t="s">
        <v>119</v>
      </c>
    </row>
    <row r="2" spans="1:11" x14ac:dyDescent="0.35">
      <c r="A2" s="7" t="s">
        <v>35</v>
      </c>
      <c r="B2" s="2">
        <v>72</v>
      </c>
      <c r="I2" s="1" t="s">
        <v>36</v>
      </c>
      <c r="J2" s="1">
        <f>B2</f>
        <v>72</v>
      </c>
      <c r="K2" s="1">
        <v>72</v>
      </c>
    </row>
    <row r="3" spans="1:11" x14ac:dyDescent="0.35">
      <c r="I3" s="1" t="s">
        <v>37</v>
      </c>
      <c r="J3" s="8">
        <f>B28</f>
        <v>0</v>
      </c>
      <c r="K3" s="1">
        <v>0</v>
      </c>
    </row>
    <row r="4" spans="1:11" x14ac:dyDescent="0.35">
      <c r="A4" s="7" t="s">
        <v>38</v>
      </c>
      <c r="I4" s="1" t="s">
        <v>39</v>
      </c>
      <c r="J4" s="1">
        <f>B18</f>
        <v>0.81</v>
      </c>
      <c r="K4" s="1">
        <v>0.81</v>
      </c>
    </row>
    <row r="5" spans="1:11" x14ac:dyDescent="0.35">
      <c r="B5" s="1" t="s">
        <v>40</v>
      </c>
      <c r="I5" s="1" t="s">
        <v>41</v>
      </c>
      <c r="J5" s="1">
        <f t="shared" ref="J5:J10" si="0">B19</f>
        <v>0.9</v>
      </c>
      <c r="K5" s="1">
        <v>0.9</v>
      </c>
    </row>
    <row r="6" spans="1:11" x14ac:dyDescent="0.35">
      <c r="A6" s="9" t="s">
        <v>42</v>
      </c>
      <c r="B6" s="29">
        <v>1887</v>
      </c>
      <c r="C6" s="1" t="s">
        <v>43</v>
      </c>
      <c r="D6" s="1" t="s">
        <v>120</v>
      </c>
      <c r="I6" s="1" t="s">
        <v>44</v>
      </c>
      <c r="J6" s="1">
        <f t="shared" si="0"/>
        <v>1.78</v>
      </c>
      <c r="K6" s="1">
        <v>1.78</v>
      </c>
    </row>
    <row r="7" spans="1:11" x14ac:dyDescent="0.35">
      <c r="A7" s="9" t="s">
        <v>45</v>
      </c>
      <c r="B7" s="10">
        <v>1110</v>
      </c>
      <c r="C7" s="1" t="s">
        <v>43</v>
      </c>
      <c r="I7" s="1" t="s">
        <v>46</v>
      </c>
      <c r="J7" s="1">
        <f t="shared" si="0"/>
        <v>2.38</v>
      </c>
      <c r="K7" s="1">
        <v>2.38</v>
      </c>
    </row>
    <row r="8" spans="1:11" x14ac:dyDescent="0.35">
      <c r="A8" s="9" t="s">
        <v>47</v>
      </c>
      <c r="B8" s="10">
        <v>16481</v>
      </c>
      <c r="C8" s="1" t="s">
        <v>43</v>
      </c>
      <c r="I8" s="1" t="s">
        <v>48</v>
      </c>
      <c r="J8" s="1">
        <f t="shared" si="0"/>
        <v>1.4</v>
      </c>
      <c r="K8" s="1">
        <v>1.4</v>
      </c>
    </row>
    <row r="9" spans="1:11" x14ac:dyDescent="0.35">
      <c r="A9" s="9" t="s">
        <v>49</v>
      </c>
      <c r="B9" s="10">
        <v>41955</v>
      </c>
      <c r="C9" s="1" t="s">
        <v>43</v>
      </c>
      <c r="I9" s="1" t="s">
        <v>50</v>
      </c>
      <c r="J9" s="1">
        <f t="shared" si="0"/>
        <v>2.36</v>
      </c>
      <c r="K9" s="1">
        <v>2.36</v>
      </c>
    </row>
    <row r="10" spans="1:11" x14ac:dyDescent="0.35">
      <c r="A10" s="9" t="s">
        <v>51</v>
      </c>
      <c r="B10" s="12">
        <v>2060</v>
      </c>
      <c r="C10" s="1" t="s">
        <v>43</v>
      </c>
      <c r="I10" s="1" t="s">
        <v>52</v>
      </c>
      <c r="J10" s="1">
        <f t="shared" si="0"/>
        <v>3.32</v>
      </c>
      <c r="K10" s="1">
        <v>3.32</v>
      </c>
    </row>
    <row r="11" spans="1:11" x14ac:dyDescent="0.35">
      <c r="A11" s="9" t="s">
        <v>53</v>
      </c>
      <c r="B11" s="10">
        <v>38699</v>
      </c>
      <c r="C11" s="1" t="s">
        <v>43</v>
      </c>
      <c r="I11" s="1" t="s">
        <v>54</v>
      </c>
      <c r="J11" s="14">
        <f>B44*100</f>
        <v>24.055560363623666</v>
      </c>
      <c r="K11" s="1">
        <v>24.055560363623666</v>
      </c>
    </row>
    <row r="12" spans="1:11" x14ac:dyDescent="0.35">
      <c r="A12" s="9" t="s">
        <v>55</v>
      </c>
      <c r="B12" s="10">
        <v>11249</v>
      </c>
      <c r="C12" s="1" t="s">
        <v>43</v>
      </c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26017</v>
      </c>
      <c r="C13" s="1" t="s">
        <v>43</v>
      </c>
      <c r="I13" s="1" t="s">
        <v>58</v>
      </c>
      <c r="J13" s="1">
        <f>130+IF(B39&gt;1,-20)+IF(B39&lt;-1,20)</f>
        <v>130</v>
      </c>
      <c r="K13" s="1">
        <v>130</v>
      </c>
    </row>
    <row r="14" spans="1:11" x14ac:dyDescent="0.35">
      <c r="A14" s="7" t="s">
        <v>59</v>
      </c>
      <c r="B14" s="2">
        <v>0</v>
      </c>
      <c r="C14" s="1" t="s">
        <v>60</v>
      </c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</v>
      </c>
      <c r="K15" s="1">
        <v>0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23.387412214419058</v>
      </c>
      <c r="K17" s="1">
        <v>23.387412214419058</v>
      </c>
    </row>
    <row r="18" spans="1:11" x14ac:dyDescent="0.35">
      <c r="A18" s="7" t="s">
        <v>67</v>
      </c>
      <c r="B18" s="16">
        <v>0.81</v>
      </c>
      <c r="C18" s="1" t="s">
        <v>60</v>
      </c>
      <c r="D18" s="16">
        <v>34.799999999999997</v>
      </c>
      <c r="E18" s="1" t="s">
        <v>68</v>
      </c>
      <c r="F18" s="4"/>
      <c r="I18" s="1" t="s">
        <v>69</v>
      </c>
      <c r="J18" s="14">
        <f>B48</f>
        <v>39.158394097387195</v>
      </c>
      <c r="K18" s="1">
        <v>39.158394097387195</v>
      </c>
    </row>
    <row r="19" spans="1:11" x14ac:dyDescent="0.35">
      <c r="A19" s="7" t="s">
        <v>70</v>
      </c>
      <c r="B19" s="16">
        <v>0.9</v>
      </c>
      <c r="C19" s="1" t="s">
        <v>60</v>
      </c>
      <c r="D19" s="16">
        <v>43.3</v>
      </c>
      <c r="E19" s="1" t="s">
        <v>68</v>
      </c>
      <c r="F19" s="17"/>
      <c r="I19" s="1" t="s">
        <v>71</v>
      </c>
      <c r="J19" s="14">
        <f>B52</f>
        <v>37.263236786077414</v>
      </c>
      <c r="K19" s="1">
        <v>37.263236786077414</v>
      </c>
    </row>
    <row r="20" spans="1:11" x14ac:dyDescent="0.35">
      <c r="A20" s="7" t="s">
        <v>72</v>
      </c>
      <c r="B20" s="16">
        <v>1.78</v>
      </c>
      <c r="C20" s="1" t="s">
        <v>60</v>
      </c>
      <c r="D20" s="16">
        <v>43.8</v>
      </c>
      <c r="E20" s="1" t="s">
        <v>68</v>
      </c>
      <c r="F20" s="17"/>
      <c r="I20" s="1" t="s">
        <v>73</v>
      </c>
      <c r="J20" s="14">
        <f>B53</f>
        <v>199.86645185259707</v>
      </c>
      <c r="K20" s="1">
        <v>199.86645185259707</v>
      </c>
    </row>
    <row r="21" spans="1:11" x14ac:dyDescent="0.35">
      <c r="A21" s="7" t="s">
        <v>74</v>
      </c>
      <c r="B21" s="16">
        <v>2.38</v>
      </c>
      <c r="C21" s="1" t="s">
        <v>60</v>
      </c>
      <c r="D21" s="16">
        <v>44.2</v>
      </c>
      <c r="E21" s="1" t="s">
        <v>68</v>
      </c>
      <c r="F21" s="17"/>
    </row>
    <row r="22" spans="1:11" x14ac:dyDescent="0.35">
      <c r="A22" s="7" t="s">
        <v>75</v>
      </c>
      <c r="B22" s="16">
        <v>1.4</v>
      </c>
      <c r="C22" s="1" t="s">
        <v>60</v>
      </c>
      <c r="D22" s="16">
        <v>45.5</v>
      </c>
      <c r="E22" s="1" t="s">
        <v>68</v>
      </c>
      <c r="F22" s="17"/>
    </row>
    <row r="23" spans="1:11" x14ac:dyDescent="0.35">
      <c r="A23" s="7" t="s">
        <v>76</v>
      </c>
      <c r="B23" s="16">
        <v>2.36</v>
      </c>
      <c r="C23" s="1" t="s">
        <v>60</v>
      </c>
      <c r="D23" s="16">
        <v>50.7</v>
      </c>
      <c r="E23" s="1" t="s">
        <v>68</v>
      </c>
      <c r="F23" s="17"/>
    </row>
    <row r="24" spans="1:11" x14ac:dyDescent="0.35">
      <c r="A24" s="7" t="s">
        <v>77</v>
      </c>
      <c r="B24" s="16">
        <v>3.32</v>
      </c>
      <c r="C24" s="1" t="s">
        <v>60</v>
      </c>
      <c r="D24" s="16">
        <v>52.3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</v>
      </c>
    </row>
    <row r="29" spans="1:11" x14ac:dyDescent="0.35">
      <c r="A29" s="7" t="s">
        <v>81</v>
      </c>
      <c r="B29" s="5">
        <v>0.50529999999999997</v>
      </c>
    </row>
    <row r="30" spans="1:11" x14ac:dyDescent="0.35">
      <c r="A30" s="7" t="s">
        <v>82</v>
      </c>
      <c r="B30" s="5">
        <v>1.198</v>
      </c>
    </row>
    <row r="31" spans="1:11" x14ac:dyDescent="0.35">
      <c r="A31" s="7" t="s">
        <v>83</v>
      </c>
      <c r="B31" s="5">
        <v>0.32600000000000001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0.1677482442883812</v>
      </c>
      <c r="C35" s="1" t="s">
        <v>86</v>
      </c>
    </row>
    <row r="36" spans="1:3" x14ac:dyDescent="0.35">
      <c r="A36" s="7" t="s">
        <v>87</v>
      </c>
      <c r="B36" s="3">
        <f>B7/B11</f>
        <v>2.8682911703144784E-2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0.10159694048941832</v>
      </c>
      <c r="C37" s="1" t="s">
        <v>90</v>
      </c>
    </row>
    <row r="38" spans="1:3" x14ac:dyDescent="0.35">
      <c r="A38" s="7" t="s">
        <v>91</v>
      </c>
      <c r="B38" s="3">
        <f>(B23-B22)/B23</f>
        <v>0.40677966101694918</v>
      </c>
      <c r="C38" s="1" t="s">
        <v>92</v>
      </c>
    </row>
    <row r="39" spans="1:3" x14ac:dyDescent="0.35">
      <c r="A39" s="7" t="s">
        <v>93</v>
      </c>
      <c r="B39" s="30">
        <f>(B36-[1]Assumptions!$B$3)/B36/B38/[1]Assumptions!B5</f>
        <v>-0.48472195409695412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0.20701969815083721</v>
      </c>
    </row>
    <row r="42" spans="1:3" x14ac:dyDescent="0.35">
      <c r="A42" s="7" t="s">
        <v>97</v>
      </c>
      <c r="B42" s="20">
        <f>(B35-B41)/B48</f>
        <v>-1.002887242127132E-3</v>
      </c>
    </row>
    <row r="43" spans="1:3" x14ac:dyDescent="0.35">
      <c r="A43" s="7" t="s">
        <v>99</v>
      </c>
      <c r="B43" s="22">
        <f>MEDIAN(B28:B31)</f>
        <v>0.41564999999999996</v>
      </c>
    </row>
    <row r="44" spans="1:3" x14ac:dyDescent="0.35">
      <c r="A44" s="7" t="s">
        <v>100</v>
      </c>
      <c r="B44" s="23">
        <f>SUM(B40:B43)/3</f>
        <v>0.24055560363623665</v>
      </c>
    </row>
    <row r="45" spans="1:3" x14ac:dyDescent="0.35">
      <c r="A45" s="7" t="s">
        <v>101</v>
      </c>
      <c r="B45" s="24">
        <f>(B35+0.3)/2</f>
        <v>0.23387412214419059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18.586293403272705</v>
      </c>
    </row>
    <row r="48" spans="1:3" x14ac:dyDescent="0.35">
      <c r="A48" s="7" t="s">
        <v>105</v>
      </c>
      <c r="B48" s="25">
        <f>(B2/B18+10+B47)/3</f>
        <v>39.158394097387195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37.263236786077414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199.86645185259707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362.46966691911666</v>
      </c>
      <c r="C54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66A7-F17B-43B4-A8B6-34375A940773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33</v>
      </c>
      <c r="I1" s="1" t="s">
        <v>34</v>
      </c>
      <c r="J1" s="1" t="str">
        <f>B1</f>
        <v>CRM</v>
      </c>
      <c r="K1" s="1" t="s">
        <v>33</v>
      </c>
    </row>
    <row r="2" spans="1:11" x14ac:dyDescent="0.35">
      <c r="A2" s="7" t="s">
        <v>35</v>
      </c>
      <c r="B2" s="2">
        <v>290</v>
      </c>
      <c r="I2" s="1" t="s">
        <v>36</v>
      </c>
      <c r="J2" s="1">
        <f>B2</f>
        <v>290</v>
      </c>
      <c r="K2" s="1">
        <v>290</v>
      </c>
    </row>
    <row r="3" spans="1:11" x14ac:dyDescent="0.35">
      <c r="I3" s="1" t="s">
        <v>37</v>
      </c>
      <c r="J3" s="8">
        <f>B28</f>
        <v>0.27</v>
      </c>
      <c r="K3" s="1">
        <v>0.27</v>
      </c>
    </row>
    <row r="4" spans="1:11" x14ac:dyDescent="0.35">
      <c r="A4" s="7" t="s">
        <v>38</v>
      </c>
      <c r="I4" s="1" t="s">
        <v>39</v>
      </c>
      <c r="J4" s="1">
        <f>B18</f>
        <v>8.2200000000000006</v>
      </c>
      <c r="K4" s="1">
        <v>8.2200000000000006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10.01</v>
      </c>
      <c r="K5" s="1">
        <v>10.01</v>
      </c>
    </row>
    <row r="6" spans="1:11" x14ac:dyDescent="0.35">
      <c r="A6" s="9" t="s">
        <v>42</v>
      </c>
      <c r="B6" s="10">
        <v>4136</v>
      </c>
      <c r="C6" s="1" t="s">
        <v>43</v>
      </c>
      <c r="H6" s="11"/>
      <c r="I6" s="1" t="s">
        <v>44</v>
      </c>
      <c r="J6" s="1">
        <f t="shared" si="0"/>
        <v>10.039999999999999</v>
      </c>
      <c r="K6" s="1">
        <v>10.039999999999999</v>
      </c>
    </row>
    <row r="7" spans="1:11" x14ac:dyDescent="0.35">
      <c r="A7" s="9" t="s">
        <v>45</v>
      </c>
      <c r="B7" s="10">
        <v>5999</v>
      </c>
      <c r="C7" s="1" t="s">
        <v>43</v>
      </c>
      <c r="H7" s="11"/>
      <c r="I7" s="1" t="s">
        <v>46</v>
      </c>
      <c r="J7" s="1">
        <f t="shared" si="0"/>
        <v>10.26</v>
      </c>
      <c r="K7" s="1">
        <v>10.26</v>
      </c>
    </row>
    <row r="8" spans="1:11" x14ac:dyDescent="0.35">
      <c r="A8" s="9" t="s">
        <v>47</v>
      </c>
      <c r="B8" s="10">
        <v>26317</v>
      </c>
      <c r="C8" s="1" t="s">
        <v>43</v>
      </c>
      <c r="H8" s="11"/>
      <c r="I8" s="1" t="s">
        <v>48</v>
      </c>
      <c r="J8" s="1">
        <f t="shared" si="0"/>
        <v>10.53</v>
      </c>
      <c r="K8" s="1">
        <v>10.53</v>
      </c>
    </row>
    <row r="9" spans="1:11" x14ac:dyDescent="0.35">
      <c r="A9" s="9" t="s">
        <v>49</v>
      </c>
      <c r="B9" s="10">
        <v>34857</v>
      </c>
      <c r="C9" s="1" t="s">
        <v>43</v>
      </c>
      <c r="H9" s="11"/>
      <c r="I9" s="1" t="s">
        <v>50</v>
      </c>
      <c r="J9" s="1">
        <f t="shared" si="0"/>
        <v>11.13</v>
      </c>
      <c r="K9" s="1">
        <v>11.13</v>
      </c>
    </row>
    <row r="10" spans="1:11" x14ac:dyDescent="0.35">
      <c r="A10" s="9" t="s">
        <v>51</v>
      </c>
      <c r="B10" s="12">
        <v>984</v>
      </c>
      <c r="C10" s="1" t="s">
        <v>43</v>
      </c>
      <c r="H10" s="13"/>
      <c r="I10" s="1" t="s">
        <v>52</v>
      </c>
      <c r="J10" s="1">
        <f t="shared" si="0"/>
        <v>11.96</v>
      </c>
      <c r="K10" s="1">
        <v>11.96</v>
      </c>
    </row>
    <row r="11" spans="1:11" x14ac:dyDescent="0.35">
      <c r="A11" s="9" t="s">
        <v>53</v>
      </c>
      <c r="B11" s="10">
        <v>99823</v>
      </c>
      <c r="C11" s="1" t="s">
        <v>43</v>
      </c>
      <c r="H11" s="11"/>
      <c r="I11" s="1" t="s">
        <v>54</v>
      </c>
      <c r="J11" s="14">
        <f>B44*100</f>
        <v>12.928334226211025</v>
      </c>
      <c r="K11" s="1">
        <v>12.928334226211025</v>
      </c>
    </row>
    <row r="12" spans="1:11" x14ac:dyDescent="0.35">
      <c r="A12" s="9" t="s">
        <v>55</v>
      </c>
      <c r="B12" s="10">
        <v>59646</v>
      </c>
      <c r="C12" s="1" t="s">
        <v>43</v>
      </c>
      <c r="H12" s="11"/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40177</v>
      </c>
      <c r="C13" s="1" t="s">
        <v>43</v>
      </c>
      <c r="H13" s="11"/>
      <c r="I13" s="1" t="s">
        <v>58</v>
      </c>
      <c r="J13" s="1">
        <f>130+IF(B39&gt;1,-20)+IF(B39&lt;-1,20)</f>
        <v>130</v>
      </c>
      <c r="K13" s="1">
        <v>130</v>
      </c>
    </row>
    <row r="14" spans="1:11" x14ac:dyDescent="0.35">
      <c r="A14" s="7" t="s">
        <v>59</v>
      </c>
      <c r="B14" s="2">
        <v>1.6</v>
      </c>
      <c r="C14" s="1" t="s">
        <v>60</v>
      </c>
      <c r="H14" s="11"/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0.55172413793103448</v>
      </c>
      <c r="K15" s="1">
        <v>0.55172413793103448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18.467122690540858</v>
      </c>
      <c r="K17" s="1">
        <v>18.467122690540858</v>
      </c>
    </row>
    <row r="18" spans="1:11" x14ac:dyDescent="0.35">
      <c r="A18" s="7" t="s">
        <v>67</v>
      </c>
      <c r="B18" s="16">
        <v>8.2200000000000006</v>
      </c>
      <c r="C18" s="1" t="s">
        <v>60</v>
      </c>
      <c r="D18" s="16">
        <v>34.86</v>
      </c>
      <c r="E18" s="1" t="s">
        <v>68</v>
      </c>
      <c r="F18" s="4"/>
      <c r="H18" s="11"/>
      <c r="I18" s="1" t="s">
        <v>69</v>
      </c>
      <c r="J18" s="14">
        <f>B48</f>
        <v>20.719087417363003</v>
      </c>
      <c r="K18" s="1">
        <v>20.719087417363003</v>
      </c>
    </row>
    <row r="19" spans="1:11" x14ac:dyDescent="0.35">
      <c r="A19" s="7" t="s">
        <v>70</v>
      </c>
      <c r="B19" s="16">
        <v>10.01</v>
      </c>
      <c r="C19" s="1" t="s">
        <v>60</v>
      </c>
      <c r="D19" s="16">
        <v>37.229999999999997</v>
      </c>
      <c r="E19" s="1" t="s">
        <v>68</v>
      </c>
      <c r="F19" s="17"/>
      <c r="H19" s="11"/>
      <c r="I19" s="1" t="s">
        <v>71</v>
      </c>
      <c r="J19" s="14">
        <f>B52</f>
        <v>220.62463403449343</v>
      </c>
      <c r="K19" s="1">
        <v>220.62463403449343</v>
      </c>
    </row>
    <row r="20" spans="1:11" x14ac:dyDescent="0.35">
      <c r="A20" s="7" t="s">
        <v>72</v>
      </c>
      <c r="B20" s="16">
        <v>10.039999999999999</v>
      </c>
      <c r="C20" s="1" t="s">
        <v>60</v>
      </c>
      <c r="D20" s="16">
        <v>37.82</v>
      </c>
      <c r="E20" s="1" t="s">
        <v>68</v>
      </c>
      <c r="F20" s="17"/>
      <c r="H20" s="11"/>
      <c r="I20" s="1" t="s">
        <v>73</v>
      </c>
      <c r="J20" s="14">
        <f>B53</f>
        <v>247.28622122899418</v>
      </c>
      <c r="K20" s="1">
        <v>247.28622122899418</v>
      </c>
    </row>
    <row r="21" spans="1:11" x14ac:dyDescent="0.35">
      <c r="A21" s="7" t="s">
        <v>74</v>
      </c>
      <c r="B21" s="16">
        <v>10.26</v>
      </c>
      <c r="C21" s="1" t="s">
        <v>60</v>
      </c>
      <c r="D21" s="16">
        <v>38.07</v>
      </c>
      <c r="E21" s="1" t="s">
        <v>68</v>
      </c>
      <c r="F21" s="17"/>
      <c r="H21" s="11"/>
    </row>
    <row r="22" spans="1:11" x14ac:dyDescent="0.35">
      <c r="A22" s="7" t="s">
        <v>75</v>
      </c>
      <c r="B22" s="16">
        <v>10.53</v>
      </c>
      <c r="C22" s="1" t="s">
        <v>60</v>
      </c>
      <c r="D22" s="16">
        <v>39.090000000000003</v>
      </c>
      <c r="E22" s="1" t="s">
        <v>68</v>
      </c>
      <c r="F22" s="17"/>
      <c r="H22" s="11"/>
    </row>
    <row r="23" spans="1:11" x14ac:dyDescent="0.35">
      <c r="A23" s="7" t="s">
        <v>76</v>
      </c>
      <c r="B23" s="16">
        <v>11.13</v>
      </c>
      <c r="C23" s="1" t="s">
        <v>60</v>
      </c>
      <c r="D23" s="16">
        <v>41.28</v>
      </c>
      <c r="E23" s="1" t="s">
        <v>68</v>
      </c>
      <c r="F23" s="17"/>
      <c r="H23" s="11"/>
    </row>
    <row r="24" spans="1:11" x14ac:dyDescent="0.35">
      <c r="A24" s="7" t="s">
        <v>77</v>
      </c>
      <c r="B24" s="16">
        <v>11.96</v>
      </c>
      <c r="C24" s="1" t="s">
        <v>60</v>
      </c>
      <c r="D24" s="16">
        <v>42.64</v>
      </c>
      <c r="E24" s="1" t="s">
        <v>68</v>
      </c>
      <c r="F24" s="17"/>
      <c r="H24" s="11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0.27</v>
      </c>
    </row>
    <row r="29" spans="1:11" x14ac:dyDescent="0.35">
      <c r="A29" s="7" t="s">
        <v>81</v>
      </c>
      <c r="B29" s="5">
        <v>0.16</v>
      </c>
    </row>
    <row r="30" spans="1:11" x14ac:dyDescent="0.35">
      <c r="A30" s="7" t="s">
        <v>82</v>
      </c>
      <c r="B30" s="5">
        <v>0.23</v>
      </c>
    </row>
    <row r="31" spans="1:11" x14ac:dyDescent="0.35">
      <c r="A31" s="7" t="s">
        <v>83</v>
      </c>
      <c r="B31" s="5">
        <v>0.1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6.9342453810817148E-2</v>
      </c>
      <c r="C35" s="1" t="s">
        <v>86</v>
      </c>
    </row>
    <row r="36" spans="1:3" x14ac:dyDescent="0.35">
      <c r="A36" s="7" t="s">
        <v>87</v>
      </c>
      <c r="B36" s="3">
        <f>B7/B11</f>
        <v>6.0096370575919378E-2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0.1304684291195416</v>
      </c>
      <c r="C37" s="1" t="s">
        <v>90</v>
      </c>
    </row>
    <row r="38" spans="1:3" x14ac:dyDescent="0.35">
      <c r="A38" s="7" t="s">
        <v>91</v>
      </c>
      <c r="B38" s="3">
        <f>(B23-B22)/B23</f>
        <v>5.3908355795148369E-2</v>
      </c>
      <c r="C38" s="1" t="s">
        <v>92</v>
      </c>
    </row>
    <row r="39" spans="1:3" x14ac:dyDescent="0.35">
      <c r="A39" s="7" t="s">
        <v>93</v>
      </c>
      <c r="B39" s="18">
        <f>(B36-[1]Assumptions!$B$3)/B36/B38/[1]Assumptions!B5</f>
        <v>0.82681476674683674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8.8193563828606436E-2</v>
      </c>
    </row>
    <row r="42" spans="1:3" x14ac:dyDescent="0.35">
      <c r="A42" s="7" t="s">
        <v>97</v>
      </c>
      <c r="B42" s="21">
        <f>(B45-B41)/B48</f>
        <v>4.6564629577242845E-3</v>
      </c>
      <c r="C42" s="1" t="s">
        <v>98</v>
      </c>
    </row>
    <row r="43" spans="1:3" x14ac:dyDescent="0.35">
      <c r="A43" s="7" t="s">
        <v>99</v>
      </c>
      <c r="B43" s="22">
        <f>MEDIAN(B28:B31)</f>
        <v>0.19500000000000001</v>
      </c>
    </row>
    <row r="44" spans="1:3" x14ac:dyDescent="0.35">
      <c r="A44" s="7" t="s">
        <v>100</v>
      </c>
      <c r="B44" s="23">
        <f>SUM(B40:B43)/3</f>
        <v>0.12928334226211025</v>
      </c>
    </row>
    <row r="45" spans="1:3" x14ac:dyDescent="0.35">
      <c r="A45" s="7" t="s">
        <v>101</v>
      </c>
      <c r="B45" s="24">
        <f>(B35+0.3)/2</f>
        <v>0.18467122690540858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16.877456899290955</v>
      </c>
    </row>
    <row r="48" spans="1:3" x14ac:dyDescent="0.35">
      <c r="A48" s="7" t="s">
        <v>105</v>
      </c>
      <c r="B48" s="25">
        <f>(B2/B18+10+B47)/3</f>
        <v>20.719087417363003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220.62463403449343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247.28622122899418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284.16808351472025</v>
      </c>
      <c r="C5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1F73-AE5B-4618-8A31-1DE9AEB0C13F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109</v>
      </c>
      <c r="I1" s="1" t="s">
        <v>34</v>
      </c>
      <c r="J1" s="1" t="str">
        <f>B1</f>
        <v>ADBE</v>
      </c>
      <c r="K1" s="1" t="s">
        <v>109</v>
      </c>
    </row>
    <row r="2" spans="1:11" x14ac:dyDescent="0.35">
      <c r="A2" s="7" t="s">
        <v>35</v>
      </c>
      <c r="B2" s="2">
        <v>485</v>
      </c>
      <c r="I2" s="1" t="s">
        <v>36</v>
      </c>
      <c r="J2" s="1">
        <f>B2</f>
        <v>485</v>
      </c>
      <c r="K2" s="1">
        <v>485</v>
      </c>
    </row>
    <row r="3" spans="1:11" x14ac:dyDescent="0.35">
      <c r="I3" s="1" t="s">
        <v>37</v>
      </c>
      <c r="J3" s="8">
        <f>B28</f>
        <v>0.18</v>
      </c>
      <c r="K3" s="8">
        <v>0.18</v>
      </c>
    </row>
    <row r="4" spans="1:11" x14ac:dyDescent="0.35">
      <c r="A4" s="7" t="s">
        <v>38</v>
      </c>
      <c r="I4" s="1" t="s">
        <v>39</v>
      </c>
      <c r="J4" s="1">
        <f>B18</f>
        <v>14.81</v>
      </c>
      <c r="K4" s="1">
        <v>14.81</v>
      </c>
    </row>
    <row r="5" spans="1:11" x14ac:dyDescent="0.35">
      <c r="B5" s="1" t="s">
        <v>40</v>
      </c>
      <c r="I5" s="1" t="s">
        <v>41</v>
      </c>
      <c r="J5" s="1">
        <f t="shared" ref="J5:K10" si="0">B19</f>
        <v>18.239999999999998</v>
      </c>
      <c r="K5" s="1">
        <v>18.239999999999998</v>
      </c>
    </row>
    <row r="6" spans="1:11" x14ac:dyDescent="0.35">
      <c r="A6" s="9" t="s">
        <v>42</v>
      </c>
      <c r="B6" s="10">
        <v>4756</v>
      </c>
      <c r="C6" s="1" t="s">
        <v>43</v>
      </c>
      <c r="D6" s="11"/>
      <c r="I6" s="1" t="s">
        <v>44</v>
      </c>
      <c r="J6" s="1">
        <f t="shared" si="0"/>
        <v>18.28</v>
      </c>
      <c r="K6" s="1">
        <v>18.28</v>
      </c>
    </row>
    <row r="7" spans="1:11" x14ac:dyDescent="0.35">
      <c r="A7" s="9" t="s">
        <v>45</v>
      </c>
      <c r="B7" s="10">
        <v>6098</v>
      </c>
      <c r="C7" s="1" t="s">
        <v>43</v>
      </c>
      <c r="D7" s="11"/>
      <c r="I7" s="1" t="s">
        <v>46</v>
      </c>
      <c r="J7" s="1">
        <f t="shared" si="0"/>
        <v>18.329999999999998</v>
      </c>
      <c r="K7" s="1">
        <v>18.329999999999998</v>
      </c>
    </row>
    <row r="8" spans="1:11" x14ac:dyDescent="0.35">
      <c r="A8" s="9" t="s">
        <v>47</v>
      </c>
      <c r="B8" s="10">
        <v>15441</v>
      </c>
      <c r="C8" s="1" t="s">
        <v>43</v>
      </c>
      <c r="D8" s="11"/>
      <c r="I8" s="1" t="s">
        <v>48</v>
      </c>
      <c r="J8" s="1">
        <f t="shared" si="0"/>
        <v>19.98</v>
      </c>
      <c r="K8" s="1">
        <v>19.98</v>
      </c>
    </row>
    <row r="9" spans="1:11" x14ac:dyDescent="0.35">
      <c r="A9" s="9" t="s">
        <v>49</v>
      </c>
      <c r="B9" s="10">
        <v>17606</v>
      </c>
      <c r="C9" s="1" t="s">
        <v>43</v>
      </c>
      <c r="D9" s="11"/>
      <c r="I9" s="1" t="s">
        <v>50</v>
      </c>
      <c r="J9" s="1">
        <f t="shared" si="0"/>
        <v>20.55</v>
      </c>
      <c r="K9" s="1">
        <v>20.55</v>
      </c>
    </row>
    <row r="10" spans="1:11" x14ac:dyDescent="0.35">
      <c r="A10" s="9" t="s">
        <v>51</v>
      </c>
      <c r="B10" s="12">
        <v>459</v>
      </c>
      <c r="C10" s="1" t="s">
        <v>43</v>
      </c>
      <c r="D10" s="11"/>
      <c r="I10" s="1" t="s">
        <v>52</v>
      </c>
      <c r="J10" s="1">
        <f t="shared" si="0"/>
        <v>21.14</v>
      </c>
      <c r="K10" s="1">
        <v>21.14</v>
      </c>
    </row>
    <row r="11" spans="1:11" x14ac:dyDescent="0.35">
      <c r="A11" s="9" t="s">
        <v>53</v>
      </c>
      <c r="B11" s="10">
        <v>29779</v>
      </c>
      <c r="C11" s="1" t="s">
        <v>43</v>
      </c>
      <c r="D11" s="11"/>
      <c r="I11" s="1" t="s">
        <v>54</v>
      </c>
      <c r="J11" s="14">
        <f>B44*100</f>
        <v>13.987337657146877</v>
      </c>
      <c r="K11" s="14">
        <v>13.987337657146877</v>
      </c>
    </row>
    <row r="12" spans="1:11" x14ac:dyDescent="0.35">
      <c r="A12" s="9" t="s">
        <v>55</v>
      </c>
      <c r="B12" s="10">
        <v>16518</v>
      </c>
      <c r="C12" s="1" t="s">
        <v>43</v>
      </c>
      <c r="D12" s="11"/>
      <c r="I12" s="1" t="s">
        <v>56</v>
      </c>
      <c r="J12" s="14">
        <v>110</v>
      </c>
      <c r="K12" s="14">
        <v>110</v>
      </c>
    </row>
    <row r="13" spans="1:11" x14ac:dyDescent="0.35">
      <c r="A13" s="9" t="s">
        <v>57</v>
      </c>
      <c r="B13" s="10">
        <v>13261</v>
      </c>
      <c r="C13" s="1" t="s">
        <v>43</v>
      </c>
      <c r="D13" s="11"/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0</v>
      </c>
      <c r="C14" s="1" t="s">
        <v>60</v>
      </c>
      <c r="D14" s="13"/>
      <c r="I14" s="1" t="s">
        <v>61</v>
      </c>
      <c r="J14" s="1">
        <f>MAX(J12:J13)*2</f>
        <v>220</v>
      </c>
      <c r="K14" s="1">
        <v>220</v>
      </c>
    </row>
    <row r="15" spans="1:11" x14ac:dyDescent="0.35">
      <c r="I15" s="1" t="s">
        <v>62</v>
      </c>
      <c r="J15" s="14">
        <f>B14/B2*100</f>
        <v>0</v>
      </c>
      <c r="K15" s="14">
        <v>0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4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29.396416030996487</v>
      </c>
      <c r="K17" s="14">
        <v>29.396416030996487</v>
      </c>
    </row>
    <row r="18" spans="1:11" x14ac:dyDescent="0.35">
      <c r="A18" s="7" t="s">
        <v>67</v>
      </c>
      <c r="B18" s="16">
        <v>14.81</v>
      </c>
      <c r="C18" s="1" t="s">
        <v>60</v>
      </c>
      <c r="D18" s="26">
        <v>17.89</v>
      </c>
      <c r="E18" s="1" t="s">
        <v>68</v>
      </c>
      <c r="F18" s="4"/>
      <c r="H18" s="11"/>
      <c r="I18" s="1" t="s">
        <v>69</v>
      </c>
      <c r="J18" s="14">
        <f>B48</f>
        <v>20.881826765558682</v>
      </c>
      <c r="K18" s="14">
        <v>20.881826765558682</v>
      </c>
    </row>
    <row r="19" spans="1:11" x14ac:dyDescent="0.35">
      <c r="A19" s="7" t="s">
        <v>70</v>
      </c>
      <c r="B19" s="16">
        <v>18.239999999999998</v>
      </c>
      <c r="C19" s="1" t="s">
        <v>60</v>
      </c>
      <c r="D19" s="26">
        <v>21.41</v>
      </c>
      <c r="E19" s="1" t="s">
        <v>68</v>
      </c>
      <c r="F19" s="17"/>
      <c r="H19" s="11"/>
      <c r="I19" s="1" t="s">
        <v>71</v>
      </c>
      <c r="J19" s="14">
        <f>B52</f>
        <v>445.36907103214207</v>
      </c>
      <c r="K19" s="14">
        <v>445.36907103214207</v>
      </c>
    </row>
    <row r="20" spans="1:11" x14ac:dyDescent="0.35">
      <c r="A20" s="7" t="s">
        <v>72</v>
      </c>
      <c r="B20" s="16">
        <v>18.28</v>
      </c>
      <c r="C20" s="1" t="s">
        <v>60</v>
      </c>
      <c r="D20" s="26">
        <v>21.44</v>
      </c>
      <c r="E20" s="1" t="s">
        <v>68</v>
      </c>
      <c r="F20" s="17"/>
      <c r="H20" s="11"/>
      <c r="I20" s="1" t="s">
        <v>73</v>
      </c>
      <c r="J20" s="14">
        <f>B53</f>
        <v>471.52675990265431</v>
      </c>
      <c r="K20" s="14">
        <v>471.52675990265431</v>
      </c>
    </row>
    <row r="21" spans="1:11" x14ac:dyDescent="0.35">
      <c r="A21" s="7" t="s">
        <v>74</v>
      </c>
      <c r="B21" s="16">
        <v>18.329999999999998</v>
      </c>
      <c r="C21" s="1" t="s">
        <v>60</v>
      </c>
      <c r="D21" s="26">
        <v>21.48</v>
      </c>
      <c r="E21" s="1" t="s">
        <v>68</v>
      </c>
      <c r="F21" s="17"/>
      <c r="H21" s="11"/>
    </row>
    <row r="22" spans="1:11" x14ac:dyDescent="0.35">
      <c r="A22" s="7" t="s">
        <v>75</v>
      </c>
      <c r="B22" s="16">
        <v>19.98</v>
      </c>
      <c r="C22" s="1" t="s">
        <v>60</v>
      </c>
      <c r="D22" s="26">
        <v>23.44</v>
      </c>
      <c r="E22" s="1" t="s">
        <v>68</v>
      </c>
      <c r="F22" s="17"/>
      <c r="H22" s="11"/>
    </row>
    <row r="23" spans="1:11" x14ac:dyDescent="0.35">
      <c r="A23" s="7" t="s">
        <v>76</v>
      </c>
      <c r="B23" s="16">
        <v>20.55</v>
      </c>
      <c r="C23" s="1" t="s">
        <v>60</v>
      </c>
      <c r="D23" s="26">
        <v>23.79</v>
      </c>
      <c r="E23" s="1" t="s">
        <v>68</v>
      </c>
      <c r="F23" s="17"/>
      <c r="H23" s="11"/>
    </row>
    <row r="24" spans="1:11" x14ac:dyDescent="0.35">
      <c r="A24" s="7" t="s">
        <v>77</v>
      </c>
      <c r="B24" s="16">
        <v>21.14</v>
      </c>
      <c r="C24" s="1" t="s">
        <v>60</v>
      </c>
      <c r="D24" s="26">
        <v>24.15</v>
      </c>
      <c r="E24" s="1" t="s">
        <v>68</v>
      </c>
      <c r="F24" s="17"/>
      <c r="H24" s="11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0.18</v>
      </c>
    </row>
    <row r="29" spans="1:11" x14ac:dyDescent="0.35">
      <c r="A29" s="7" t="s">
        <v>81</v>
      </c>
      <c r="B29" s="5">
        <v>0.14000000000000001</v>
      </c>
    </row>
    <row r="30" spans="1:11" x14ac:dyDescent="0.35">
      <c r="A30" s="7" t="s">
        <v>82</v>
      </c>
      <c r="B30" s="5">
        <v>0.23</v>
      </c>
    </row>
    <row r="31" spans="1:11" x14ac:dyDescent="0.35">
      <c r="A31" s="7" t="s">
        <v>83</v>
      </c>
      <c r="B31" s="5">
        <v>0.12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0.28792832061992979</v>
      </c>
      <c r="C35" s="1" t="s">
        <v>86</v>
      </c>
    </row>
    <row r="36" spans="1:3" x14ac:dyDescent="0.35">
      <c r="A36" s="7" t="s">
        <v>87</v>
      </c>
      <c r="B36" s="3">
        <f>B7/B11</f>
        <v>0.2047751771382518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0.18532355015279223</v>
      </c>
      <c r="C37" s="1" t="s">
        <v>90</v>
      </c>
    </row>
    <row r="38" spans="1:3" x14ac:dyDescent="0.35">
      <c r="A38" s="7" t="s">
        <v>91</v>
      </c>
      <c r="B38" s="3">
        <f>(B23-B22)/B23</f>
        <v>2.7737226277372275E-2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7.2294996704383321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0.1531665883764548</v>
      </c>
    </row>
    <row r="42" spans="1:3" x14ac:dyDescent="0.35">
      <c r="A42" s="7" t="s">
        <v>97</v>
      </c>
      <c r="B42" s="20">
        <f>(B35-B41)/B48</f>
        <v>6.4535413379514985E-3</v>
      </c>
    </row>
    <row r="43" spans="1:3" x14ac:dyDescent="0.35">
      <c r="A43" s="7" t="s">
        <v>99</v>
      </c>
      <c r="B43" s="22">
        <f>MEDIAN(B28:B31)</f>
        <v>0.16</v>
      </c>
    </row>
    <row r="44" spans="1:3" x14ac:dyDescent="0.35">
      <c r="A44" s="7" t="s">
        <v>100</v>
      </c>
      <c r="B44" s="23">
        <f>SUM(B40:B43)/3</f>
        <v>0.13987337657146878</v>
      </c>
    </row>
    <row r="45" spans="1:3" x14ac:dyDescent="0.35">
      <c r="A45" s="7" t="s">
        <v>101</v>
      </c>
      <c r="B45" s="24">
        <f>(B35+0.3)/2</f>
        <v>0.29396416030996486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19.897337150153422</v>
      </c>
    </row>
    <row r="48" spans="1:3" x14ac:dyDescent="0.35">
      <c r="A48" s="7" t="s">
        <v>105</v>
      </c>
      <c r="B48" s="25">
        <f>(B2/B18+10+B47)/3</f>
        <v>20.881826765558682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445.36907103214207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471.52675990265431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498.60226241774592</v>
      </c>
      <c r="C54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6CF5-F4DB-4EE3-B437-AFC9E6B10437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110</v>
      </c>
      <c r="I1" s="1" t="s">
        <v>34</v>
      </c>
      <c r="J1" s="1" t="str">
        <f>B1</f>
        <v>MSFT</v>
      </c>
      <c r="K1" s="1" t="s">
        <v>110</v>
      </c>
    </row>
    <row r="2" spans="1:11" x14ac:dyDescent="0.35">
      <c r="A2" s="7" t="s">
        <v>35</v>
      </c>
      <c r="B2" s="2">
        <v>428</v>
      </c>
      <c r="I2" s="1" t="s">
        <v>36</v>
      </c>
      <c r="J2" s="1">
        <f>B2</f>
        <v>428</v>
      </c>
      <c r="K2" s="1">
        <v>428</v>
      </c>
    </row>
    <row r="3" spans="1:11" x14ac:dyDescent="0.35">
      <c r="I3" s="1" t="s">
        <v>37</v>
      </c>
      <c r="J3" s="8">
        <f>B28</f>
        <v>0.19</v>
      </c>
      <c r="K3" s="1">
        <v>0.19</v>
      </c>
    </row>
    <row r="4" spans="1:11" x14ac:dyDescent="0.35">
      <c r="A4" s="7" t="s">
        <v>38</v>
      </c>
      <c r="I4" s="1" t="s">
        <v>39</v>
      </c>
      <c r="J4" s="1">
        <f>B18</f>
        <v>11.8</v>
      </c>
      <c r="K4" s="1">
        <v>11.8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12.52</v>
      </c>
      <c r="K5" s="1">
        <v>12.52</v>
      </c>
    </row>
    <row r="6" spans="1:11" x14ac:dyDescent="0.35">
      <c r="A6" s="9" t="s">
        <v>42</v>
      </c>
      <c r="B6" s="10">
        <v>72361</v>
      </c>
      <c r="C6" s="1" t="s">
        <v>43</v>
      </c>
      <c r="E6" s="11"/>
      <c r="I6" s="1" t="s">
        <v>44</v>
      </c>
      <c r="J6" s="1">
        <f t="shared" si="0"/>
        <v>13</v>
      </c>
      <c r="K6" s="1">
        <v>13</v>
      </c>
    </row>
    <row r="7" spans="1:11" x14ac:dyDescent="0.35">
      <c r="A7" s="9" t="s">
        <v>45</v>
      </c>
      <c r="B7" s="10">
        <v>88523</v>
      </c>
      <c r="C7" s="1" t="s">
        <v>43</v>
      </c>
      <c r="E7" s="11"/>
      <c r="I7" s="1" t="s">
        <v>46</v>
      </c>
      <c r="J7" s="1">
        <f t="shared" si="0"/>
        <v>13.64</v>
      </c>
      <c r="K7" s="1">
        <v>13.64</v>
      </c>
    </row>
    <row r="8" spans="1:11" x14ac:dyDescent="0.35">
      <c r="A8" s="9" t="s">
        <v>47</v>
      </c>
      <c r="B8" s="10">
        <v>146052</v>
      </c>
      <c r="C8" s="1" t="s">
        <v>43</v>
      </c>
      <c r="E8" s="11"/>
      <c r="I8" s="1" t="s">
        <v>48</v>
      </c>
      <c r="J8" s="1">
        <f t="shared" si="0"/>
        <v>13.99</v>
      </c>
      <c r="K8" s="1">
        <v>13.99</v>
      </c>
    </row>
    <row r="9" spans="1:11" x14ac:dyDescent="0.35">
      <c r="A9" s="9" t="s">
        <v>49</v>
      </c>
      <c r="B9" s="10">
        <v>211915</v>
      </c>
      <c r="C9" s="1" t="s">
        <v>43</v>
      </c>
      <c r="E9" s="11"/>
      <c r="I9" s="1" t="s">
        <v>50</v>
      </c>
      <c r="J9" s="1">
        <f t="shared" si="0"/>
        <v>15.04</v>
      </c>
      <c r="K9" s="1">
        <v>15.04</v>
      </c>
    </row>
    <row r="10" spans="1:11" x14ac:dyDescent="0.35">
      <c r="A10" s="9" t="s">
        <v>51</v>
      </c>
      <c r="B10" s="12">
        <v>7472</v>
      </c>
      <c r="C10" s="1" t="s">
        <v>43</v>
      </c>
      <c r="E10" s="13"/>
      <c r="I10" s="1" t="s">
        <v>52</v>
      </c>
      <c r="J10" s="1">
        <f t="shared" si="0"/>
        <v>16.260000000000002</v>
      </c>
      <c r="K10" s="1">
        <v>16.260000000000002</v>
      </c>
    </row>
    <row r="11" spans="1:11" x14ac:dyDescent="0.35">
      <c r="A11" s="9" t="s">
        <v>53</v>
      </c>
      <c r="B11" s="10">
        <v>411976</v>
      </c>
      <c r="C11" s="1" t="s">
        <v>43</v>
      </c>
      <c r="E11" s="11"/>
      <c r="I11" s="1" t="s">
        <v>54</v>
      </c>
      <c r="J11" s="14">
        <f>B44*100</f>
        <v>13.518938207632081</v>
      </c>
      <c r="K11" s="1">
        <v>13.518938207632081</v>
      </c>
    </row>
    <row r="12" spans="1:11" x14ac:dyDescent="0.35">
      <c r="A12" s="9" t="s">
        <v>55</v>
      </c>
      <c r="B12" s="10">
        <v>206223</v>
      </c>
      <c r="C12" s="1" t="s">
        <v>43</v>
      </c>
      <c r="E12" s="11"/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205753</v>
      </c>
      <c r="C13" s="1" t="s">
        <v>43</v>
      </c>
      <c r="E13" s="11"/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3</v>
      </c>
      <c r="C14" s="1" t="s">
        <v>60</v>
      </c>
      <c r="E14" s="11"/>
      <c r="I14" s="1" t="s">
        <v>61</v>
      </c>
      <c r="J14" s="1">
        <f>MAX(J12:J13)*2</f>
        <v>220</v>
      </c>
      <c r="K14" s="1">
        <v>220</v>
      </c>
    </row>
    <row r="15" spans="1:11" x14ac:dyDescent="0.35">
      <c r="I15" s="1" t="s">
        <v>62</v>
      </c>
      <c r="J15" s="14">
        <f>B14/B2*100</f>
        <v>0.7009345794392523</v>
      </c>
      <c r="K15" s="1">
        <v>0.7009345794392523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30</v>
      </c>
      <c r="K17" s="1">
        <v>30</v>
      </c>
    </row>
    <row r="18" spans="1:11" x14ac:dyDescent="0.35">
      <c r="A18" s="7" t="s">
        <v>67</v>
      </c>
      <c r="B18" s="16">
        <v>11.8</v>
      </c>
      <c r="C18" s="1" t="s">
        <v>60</v>
      </c>
      <c r="D18" s="16">
        <v>245</v>
      </c>
      <c r="E18" s="1" t="s">
        <v>68</v>
      </c>
      <c r="F18" s="4"/>
      <c r="I18" s="1" t="s">
        <v>69</v>
      </c>
      <c r="J18" s="14">
        <f>B48</f>
        <v>22.09039548022599</v>
      </c>
      <c r="K18" s="1">
        <v>22.09039548022599</v>
      </c>
    </row>
    <row r="19" spans="1:11" x14ac:dyDescent="0.35">
      <c r="A19" s="7" t="s">
        <v>70</v>
      </c>
      <c r="B19" s="16">
        <v>12.52</v>
      </c>
      <c r="C19" s="1" t="s">
        <v>60</v>
      </c>
      <c r="D19" s="16">
        <v>273</v>
      </c>
      <c r="E19" s="1" t="s">
        <v>68</v>
      </c>
      <c r="F19" s="17"/>
      <c r="I19" s="1" t="s">
        <v>71</v>
      </c>
      <c r="J19" s="14">
        <f>B52</f>
        <v>323.98122660932768</v>
      </c>
      <c r="K19" s="1">
        <v>323.98122660932768</v>
      </c>
    </row>
    <row r="20" spans="1:11" x14ac:dyDescent="0.35">
      <c r="A20" s="7" t="s">
        <v>72</v>
      </c>
      <c r="B20" s="16">
        <v>13</v>
      </c>
      <c r="C20" s="1" t="s">
        <v>60</v>
      </c>
      <c r="D20" s="16">
        <v>279</v>
      </c>
      <c r="E20" s="1" t="s">
        <v>68</v>
      </c>
      <c r="F20" s="17"/>
      <c r="I20" s="1" t="s">
        <v>73</v>
      </c>
      <c r="J20" s="14">
        <f>B53</f>
        <v>376.55932366339158</v>
      </c>
      <c r="K20" s="1">
        <v>376.55932366339158</v>
      </c>
    </row>
    <row r="21" spans="1:11" x14ac:dyDescent="0.35">
      <c r="A21" s="7" t="s">
        <v>74</v>
      </c>
      <c r="B21" s="16">
        <v>13.64</v>
      </c>
      <c r="C21" s="1" t="s">
        <v>60</v>
      </c>
      <c r="D21" s="16">
        <v>288</v>
      </c>
      <c r="E21" s="1" t="s">
        <v>68</v>
      </c>
      <c r="F21" s="17"/>
    </row>
    <row r="22" spans="1:11" x14ac:dyDescent="0.35">
      <c r="A22" s="7" t="s">
        <v>75</v>
      </c>
      <c r="B22" s="16">
        <v>13.99</v>
      </c>
      <c r="C22" s="1" t="s">
        <v>60</v>
      </c>
      <c r="D22" s="16">
        <v>299</v>
      </c>
      <c r="E22" s="1" t="s">
        <v>68</v>
      </c>
      <c r="F22" s="17"/>
    </row>
    <row r="23" spans="1:11" x14ac:dyDescent="0.35">
      <c r="A23" s="7" t="s">
        <v>76</v>
      </c>
      <c r="B23" s="16">
        <v>15.04</v>
      </c>
      <c r="C23" s="1" t="s">
        <v>60</v>
      </c>
      <c r="D23" s="16">
        <v>319</v>
      </c>
      <c r="E23" s="1" t="s">
        <v>68</v>
      </c>
      <c r="F23" s="17"/>
    </row>
    <row r="24" spans="1:11" x14ac:dyDescent="0.35">
      <c r="A24" s="7" t="s">
        <v>77</v>
      </c>
      <c r="B24" s="16">
        <v>16.260000000000002</v>
      </c>
      <c r="C24" s="1" t="s">
        <v>60</v>
      </c>
      <c r="D24" s="16">
        <v>329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0.19</v>
      </c>
    </row>
    <row r="29" spans="1:11" x14ac:dyDescent="0.35">
      <c r="A29" s="7" t="s">
        <v>81</v>
      </c>
      <c r="B29" s="5">
        <v>0.15</v>
      </c>
    </row>
    <row r="30" spans="1:11" x14ac:dyDescent="0.35">
      <c r="A30" s="7" t="s">
        <v>82</v>
      </c>
      <c r="B30" s="5">
        <v>0.11</v>
      </c>
    </row>
    <row r="31" spans="1:11" x14ac:dyDescent="0.35">
      <c r="A31" s="7" t="s">
        <v>83</v>
      </c>
      <c r="B31" s="5">
        <v>0.16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0.35088714643856406</v>
      </c>
      <c r="C35" s="1" t="s">
        <v>86</v>
      </c>
    </row>
    <row r="36" spans="1:3" x14ac:dyDescent="0.35">
      <c r="A36" s="7" t="s">
        <v>87</v>
      </c>
      <c r="B36" s="3">
        <f>B7/B11</f>
        <v>0.21487416742722876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0.17514260539448898</v>
      </c>
      <c r="C37" s="1" t="s">
        <v>90</v>
      </c>
    </row>
    <row r="38" spans="1:3" x14ac:dyDescent="0.35">
      <c r="A38" s="7" t="s">
        <v>91</v>
      </c>
      <c r="B38" s="3">
        <f>(B23-B22)/B23</f>
        <v>6.981382978723398E-2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2.9159106896796034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0.14107003129804907</v>
      </c>
    </row>
    <row r="42" spans="1:3" x14ac:dyDescent="0.35">
      <c r="A42" s="7" t="s">
        <v>97</v>
      </c>
      <c r="B42" s="20">
        <f>(B35-B41)/B48</f>
        <v>9.4981149309133379E-3</v>
      </c>
    </row>
    <row r="43" spans="1:3" x14ac:dyDescent="0.35">
      <c r="A43" s="7" t="s">
        <v>99</v>
      </c>
      <c r="B43" s="22">
        <f>MEDIAN(B28:B31)</f>
        <v>0.155</v>
      </c>
    </row>
    <row r="44" spans="1:3" x14ac:dyDescent="0.35">
      <c r="A44" s="7" t="s">
        <v>100</v>
      </c>
      <c r="B44" s="23">
        <f>SUM(B40:B43)/3</f>
        <v>0.13518938207632081</v>
      </c>
    </row>
    <row r="45" spans="1:3" x14ac:dyDescent="0.35">
      <c r="A45" s="7" t="s">
        <v>101</v>
      </c>
      <c r="B45" s="24">
        <v>0.3</v>
      </c>
      <c r="C45" s="1" t="s">
        <v>111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19.999999999999996</v>
      </c>
    </row>
    <row r="48" spans="1:3" x14ac:dyDescent="0.35">
      <c r="A48" s="7" t="s">
        <v>105</v>
      </c>
      <c r="B48" s="25">
        <f>(B2/B18+10+B47)/3</f>
        <v>22.09039548022599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323.98122660932768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376.55932366339158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437.65006500239946</v>
      </c>
      <c r="C54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FE2C2-11C2-4FEB-A4C0-F89219FF49F0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112</v>
      </c>
      <c r="I1" s="1" t="s">
        <v>34</v>
      </c>
      <c r="J1" s="1" t="str">
        <f>B1</f>
        <v>GOOG</v>
      </c>
      <c r="K1" s="1" t="s">
        <v>112</v>
      </c>
    </row>
    <row r="2" spans="1:11" x14ac:dyDescent="0.35">
      <c r="A2" s="7" t="s">
        <v>35</v>
      </c>
      <c r="B2" s="2">
        <v>168</v>
      </c>
      <c r="I2" s="1" t="s">
        <v>36</v>
      </c>
      <c r="J2" s="1">
        <f>B2</f>
        <v>168</v>
      </c>
      <c r="K2" s="1">
        <v>168</v>
      </c>
    </row>
    <row r="3" spans="1:11" x14ac:dyDescent="0.35">
      <c r="I3" s="1" t="s">
        <v>37</v>
      </c>
      <c r="J3" s="8">
        <f>B28</f>
        <v>0.24</v>
      </c>
      <c r="K3" s="1">
        <v>0.24</v>
      </c>
    </row>
    <row r="4" spans="1:11" x14ac:dyDescent="0.35">
      <c r="A4" s="7" t="s">
        <v>38</v>
      </c>
      <c r="I4" s="1" t="s">
        <v>39</v>
      </c>
      <c r="J4" s="1">
        <f>B18</f>
        <v>5.8</v>
      </c>
      <c r="K4" s="1">
        <v>5.8</v>
      </c>
    </row>
    <row r="5" spans="1:11" x14ac:dyDescent="0.35">
      <c r="B5" s="1" t="s">
        <v>40</v>
      </c>
      <c r="I5" s="1" t="s">
        <v>41</v>
      </c>
      <c r="J5" s="1">
        <f t="shared" ref="J5:K10" si="0">B19</f>
        <v>7.24</v>
      </c>
      <c r="K5" s="1">
        <v>7.24</v>
      </c>
    </row>
    <row r="6" spans="1:11" x14ac:dyDescent="0.35">
      <c r="A6" s="9" t="s">
        <v>42</v>
      </c>
      <c r="B6" s="10">
        <v>73795</v>
      </c>
      <c r="C6" s="1" t="s">
        <v>43</v>
      </c>
      <c r="I6" s="1" t="s">
        <v>44</v>
      </c>
      <c r="J6" s="1">
        <f t="shared" si="0"/>
        <v>7.66</v>
      </c>
      <c r="K6" s="1">
        <v>7.66</v>
      </c>
    </row>
    <row r="7" spans="1:11" x14ac:dyDescent="0.35">
      <c r="A7" s="9" t="s">
        <v>45</v>
      </c>
      <c r="B7" s="10">
        <v>84293</v>
      </c>
      <c r="C7" s="1" t="s">
        <v>43</v>
      </c>
      <c r="I7" s="1" t="s">
        <v>46</v>
      </c>
      <c r="J7" s="1">
        <f t="shared" si="0"/>
        <v>7.98</v>
      </c>
      <c r="K7" s="1">
        <v>7.98</v>
      </c>
    </row>
    <row r="8" spans="1:11" x14ac:dyDescent="0.35">
      <c r="A8" s="9" t="s">
        <v>47</v>
      </c>
      <c r="B8" s="10">
        <v>174062</v>
      </c>
      <c r="C8" s="1" t="s">
        <v>43</v>
      </c>
      <c r="I8" s="1" t="s">
        <v>48</v>
      </c>
      <c r="J8" s="1">
        <f t="shared" si="0"/>
        <v>8.02</v>
      </c>
      <c r="K8" s="1">
        <v>8.02</v>
      </c>
    </row>
    <row r="9" spans="1:11" x14ac:dyDescent="0.35">
      <c r="A9" s="9" t="s">
        <v>49</v>
      </c>
      <c r="B9" s="10">
        <v>307394</v>
      </c>
      <c r="C9" s="1" t="s">
        <v>43</v>
      </c>
      <c r="I9" s="1" t="s">
        <v>50</v>
      </c>
      <c r="J9" s="1">
        <f t="shared" si="0"/>
        <v>8.69</v>
      </c>
      <c r="K9" s="1">
        <v>8.69</v>
      </c>
    </row>
    <row r="10" spans="1:11" x14ac:dyDescent="0.35">
      <c r="A10" s="9" t="s">
        <v>51</v>
      </c>
      <c r="B10" s="12">
        <v>12722</v>
      </c>
      <c r="C10" s="1" t="s">
        <v>43</v>
      </c>
      <c r="I10" s="1" t="s">
        <v>52</v>
      </c>
      <c r="J10" s="1">
        <f t="shared" si="0"/>
        <v>9.8000000000000007</v>
      </c>
      <c r="K10" s="1">
        <v>9.8000000000000007</v>
      </c>
    </row>
    <row r="11" spans="1:11" x14ac:dyDescent="0.35">
      <c r="A11" s="9" t="s">
        <v>53</v>
      </c>
      <c r="B11" s="10">
        <v>402392</v>
      </c>
      <c r="C11" s="1" t="s">
        <v>43</v>
      </c>
      <c r="I11" s="1" t="s">
        <v>54</v>
      </c>
      <c r="J11" s="14">
        <f>B44*100</f>
        <v>14.947556680103061</v>
      </c>
      <c r="K11" s="1">
        <v>14.947556680103061</v>
      </c>
    </row>
    <row r="12" spans="1:11" x14ac:dyDescent="0.35">
      <c r="A12" s="9" t="s">
        <v>55</v>
      </c>
      <c r="B12" s="10">
        <v>283379</v>
      </c>
      <c r="C12" s="1" t="s">
        <v>43</v>
      </c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119013</v>
      </c>
      <c r="C13" s="1" t="s">
        <v>43</v>
      </c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0.8</v>
      </c>
      <c r="C14" s="1" t="s">
        <v>60</v>
      </c>
      <c r="I14" s="1" t="s">
        <v>61</v>
      </c>
      <c r="J14" s="1">
        <f>MAX(J12:J13)*2</f>
        <v>220</v>
      </c>
      <c r="K14" s="1">
        <v>220</v>
      </c>
    </row>
    <row r="15" spans="1:11" x14ac:dyDescent="0.35">
      <c r="I15" s="1" t="s">
        <v>62</v>
      </c>
      <c r="J15" s="14">
        <f>B14/B2*100</f>
        <v>0.47619047619047622</v>
      </c>
      <c r="K15" s="1">
        <v>0.47619047619047622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28.020548452778787</v>
      </c>
      <c r="K17" s="1">
        <v>28.020548452778787</v>
      </c>
    </row>
    <row r="18" spans="1:11" x14ac:dyDescent="0.35">
      <c r="A18" s="7" t="s">
        <v>67</v>
      </c>
      <c r="B18" s="16">
        <v>5.8</v>
      </c>
      <c r="C18" s="1" t="s">
        <v>60</v>
      </c>
      <c r="D18" s="16">
        <v>307</v>
      </c>
      <c r="E18" s="1" t="s">
        <v>68</v>
      </c>
      <c r="F18" s="4"/>
      <c r="I18" s="1" t="s">
        <v>69</v>
      </c>
      <c r="J18" s="14">
        <f>B48</f>
        <v>19.537434321778409</v>
      </c>
      <c r="K18" s="1">
        <v>19.537434321778409</v>
      </c>
    </row>
    <row r="19" spans="1:11" x14ac:dyDescent="0.35">
      <c r="A19" s="7" t="s">
        <v>70</v>
      </c>
      <c r="B19" s="16">
        <v>7.24</v>
      </c>
      <c r="C19" s="1" t="s">
        <v>60</v>
      </c>
      <c r="D19" s="16">
        <v>336</v>
      </c>
      <c r="E19" s="1" t="s">
        <v>68</v>
      </c>
      <c r="F19" s="17"/>
      <c r="I19" s="1" t="s">
        <v>71</v>
      </c>
      <c r="J19" s="14">
        <f>B52</f>
        <v>176.22495656933322</v>
      </c>
      <c r="K19" s="1">
        <v>176.22495656933322</v>
      </c>
    </row>
    <row r="20" spans="1:11" x14ac:dyDescent="0.35">
      <c r="A20" s="7" t="s">
        <v>72</v>
      </c>
      <c r="B20" s="16">
        <v>7.66</v>
      </c>
      <c r="C20" s="1" t="s">
        <v>60</v>
      </c>
      <c r="D20" s="16">
        <v>347</v>
      </c>
      <c r="E20" s="1" t="s">
        <v>68</v>
      </c>
      <c r="F20" s="17"/>
      <c r="I20" s="1" t="s">
        <v>73</v>
      </c>
      <c r="J20" s="14">
        <f>B53</f>
        <v>208.3530438894565</v>
      </c>
      <c r="K20" s="1">
        <v>208.3530438894565</v>
      </c>
    </row>
    <row r="21" spans="1:11" x14ac:dyDescent="0.35">
      <c r="A21" s="7" t="s">
        <v>74</v>
      </c>
      <c r="B21" s="16">
        <v>7.98</v>
      </c>
      <c r="C21" s="1" t="s">
        <v>60</v>
      </c>
      <c r="D21" s="16">
        <v>350</v>
      </c>
      <c r="E21" s="1" t="s">
        <v>68</v>
      </c>
      <c r="F21" s="17"/>
    </row>
    <row r="22" spans="1:11" x14ac:dyDescent="0.35">
      <c r="A22" s="7" t="s">
        <v>75</v>
      </c>
      <c r="B22" s="16">
        <v>8.02</v>
      </c>
      <c r="C22" s="1" t="s">
        <v>60</v>
      </c>
      <c r="D22" s="16">
        <v>368</v>
      </c>
      <c r="E22" s="1" t="s">
        <v>68</v>
      </c>
      <c r="F22" s="17"/>
    </row>
    <row r="23" spans="1:11" x14ac:dyDescent="0.35">
      <c r="A23" s="7" t="s">
        <v>76</v>
      </c>
      <c r="B23" s="16">
        <v>8.69</v>
      </c>
      <c r="C23" s="1" t="s">
        <v>60</v>
      </c>
      <c r="D23" s="16">
        <v>386</v>
      </c>
      <c r="E23" s="1" t="s">
        <v>68</v>
      </c>
      <c r="F23" s="17"/>
    </row>
    <row r="24" spans="1:11" x14ac:dyDescent="0.35">
      <c r="A24" s="7" t="s">
        <v>77</v>
      </c>
      <c r="B24" s="16">
        <v>9.8000000000000007</v>
      </c>
      <c r="C24" s="1" t="s">
        <v>60</v>
      </c>
      <c r="D24" s="16">
        <v>400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0.24</v>
      </c>
    </row>
    <row r="29" spans="1:11" x14ac:dyDescent="0.35">
      <c r="A29" s="7" t="s">
        <v>81</v>
      </c>
      <c r="B29" s="5">
        <v>0.2</v>
      </c>
    </row>
    <row r="30" spans="1:11" x14ac:dyDescent="0.35">
      <c r="A30" s="7" t="s">
        <v>82</v>
      </c>
      <c r="B30" s="5">
        <v>0.32</v>
      </c>
    </row>
    <row r="31" spans="1:11" x14ac:dyDescent="0.35">
      <c r="A31" s="7" t="s">
        <v>83</v>
      </c>
      <c r="B31" s="5">
        <v>0.13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0.26041096905557576</v>
      </c>
      <c r="C35" s="1" t="s">
        <v>86</v>
      </c>
    </row>
    <row r="36" spans="1:3" x14ac:dyDescent="0.35">
      <c r="A36" s="7" t="s">
        <v>87</v>
      </c>
      <c r="B36" s="3">
        <f>B7/B11</f>
        <v>0.2094798107318237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0.21211902821129644</v>
      </c>
      <c r="C37" s="1" t="s">
        <v>90</v>
      </c>
    </row>
    <row r="38" spans="1:3" x14ac:dyDescent="0.35">
      <c r="A38" s="7" t="s">
        <v>91</v>
      </c>
      <c r="B38" s="3">
        <f>(B23-B22)/B23</f>
        <v>7.7100115074798609E-2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2.619725483669388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0.12130682251915914</v>
      </c>
    </row>
    <row r="42" spans="1:3" x14ac:dyDescent="0.35">
      <c r="A42" s="7" t="s">
        <v>97</v>
      </c>
      <c r="B42" s="20">
        <f>(B35-B41)/B48</f>
        <v>7.1198778839326408E-3</v>
      </c>
    </row>
    <row r="43" spans="1:3" x14ac:dyDescent="0.35">
      <c r="A43" s="7" t="s">
        <v>99</v>
      </c>
      <c r="B43" s="22">
        <f>MEDIAN(B28:B31)</f>
        <v>0.22</v>
      </c>
    </row>
    <row r="44" spans="1:3" x14ac:dyDescent="0.35">
      <c r="A44" s="7" t="s">
        <v>100</v>
      </c>
      <c r="B44" s="23">
        <f>SUM(B40:B43)/3</f>
        <v>0.14947556680103061</v>
      </c>
    </row>
    <row r="45" spans="1:3" x14ac:dyDescent="0.35">
      <c r="A45" s="7" t="s">
        <v>101</v>
      </c>
      <c r="B45" s="24">
        <f>(B35+0.3)/2</f>
        <v>0.28020548452778787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19.646785723955926</v>
      </c>
    </row>
    <row r="48" spans="1:3" x14ac:dyDescent="0.35">
      <c r="A48" s="7" t="s">
        <v>105</v>
      </c>
      <c r="B48" s="25">
        <f>(B2/B18+10+B47)/3</f>
        <v>19.537434321778409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176.22495656933322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208.3530438894565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261.58017362876541</v>
      </c>
      <c r="C54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ED9D-A36F-425B-933E-3519ABCF3127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113</v>
      </c>
      <c r="I1" s="1" t="s">
        <v>34</v>
      </c>
      <c r="J1" s="1" t="str">
        <f>B1</f>
        <v>AMZN</v>
      </c>
      <c r="K1" s="1" t="s">
        <v>113</v>
      </c>
    </row>
    <row r="2" spans="1:11" x14ac:dyDescent="0.35">
      <c r="A2" s="7" t="s">
        <v>35</v>
      </c>
      <c r="B2" s="2">
        <v>196</v>
      </c>
      <c r="I2" s="1" t="s">
        <v>36</v>
      </c>
      <c r="J2" s="1">
        <f>B2</f>
        <v>196</v>
      </c>
      <c r="K2" s="1">
        <v>196</v>
      </c>
    </row>
    <row r="3" spans="1:11" x14ac:dyDescent="0.35">
      <c r="I3" s="1" t="s">
        <v>37</v>
      </c>
      <c r="J3" s="8">
        <f>B28</f>
        <v>0.1797</v>
      </c>
      <c r="K3" s="1">
        <v>0.1797</v>
      </c>
    </row>
    <row r="4" spans="1:11" x14ac:dyDescent="0.35">
      <c r="A4" s="7" t="s">
        <v>38</v>
      </c>
      <c r="I4" s="1" t="s">
        <v>39</v>
      </c>
      <c r="J4" s="1">
        <f>B18</f>
        <v>2.9</v>
      </c>
      <c r="K4" s="1">
        <v>2.9</v>
      </c>
    </row>
    <row r="5" spans="1:11" x14ac:dyDescent="0.35">
      <c r="B5" s="1" t="s">
        <v>40</v>
      </c>
      <c r="I5" s="1" t="s">
        <v>41</v>
      </c>
      <c r="J5" s="1">
        <f t="shared" ref="J5:K10" si="0">B19</f>
        <v>4.42</v>
      </c>
      <c r="K5" s="1">
        <v>4.42</v>
      </c>
    </row>
    <row r="6" spans="1:11" x14ac:dyDescent="0.35">
      <c r="A6" s="9" t="s">
        <v>42</v>
      </c>
      <c r="B6" s="10">
        <v>30425</v>
      </c>
      <c r="C6" s="1" t="s">
        <v>43</v>
      </c>
      <c r="I6" s="1" t="s">
        <v>44</v>
      </c>
      <c r="J6" s="1">
        <f t="shared" si="0"/>
        <v>4.99</v>
      </c>
      <c r="K6" s="1">
        <v>4.99</v>
      </c>
    </row>
    <row r="7" spans="1:11" x14ac:dyDescent="0.35">
      <c r="A7" s="9" t="s">
        <v>45</v>
      </c>
      <c r="B7" s="10">
        <v>36852</v>
      </c>
      <c r="C7" s="1" t="s">
        <v>43</v>
      </c>
      <c r="I7" s="1" t="s">
        <v>46</v>
      </c>
      <c r="J7" s="1">
        <f t="shared" si="0"/>
        <v>5.49</v>
      </c>
      <c r="K7" s="1">
        <v>5.49</v>
      </c>
    </row>
    <row r="8" spans="1:11" x14ac:dyDescent="0.35">
      <c r="A8" s="9" t="s">
        <v>47</v>
      </c>
      <c r="B8" s="10">
        <v>93805</v>
      </c>
      <c r="C8" s="1" t="s">
        <v>43</v>
      </c>
      <c r="I8" s="1" t="s">
        <v>48</v>
      </c>
      <c r="J8" s="1">
        <f t="shared" si="0"/>
        <v>4.88</v>
      </c>
      <c r="K8" s="1">
        <v>4.88</v>
      </c>
    </row>
    <row r="9" spans="1:11" x14ac:dyDescent="0.35">
      <c r="A9" s="9" t="s">
        <v>49</v>
      </c>
      <c r="B9" s="10">
        <v>574785</v>
      </c>
      <c r="C9" s="1" t="s">
        <v>43</v>
      </c>
      <c r="I9" s="1" t="s">
        <v>50</v>
      </c>
      <c r="J9" s="1">
        <f t="shared" si="0"/>
        <v>5.99</v>
      </c>
      <c r="K9" s="1">
        <v>5.99</v>
      </c>
    </row>
    <row r="10" spans="1:11" x14ac:dyDescent="0.35">
      <c r="A10" s="9" t="s">
        <v>51</v>
      </c>
      <c r="B10" s="12">
        <v>10492</v>
      </c>
      <c r="C10" s="1" t="s">
        <v>43</v>
      </c>
      <c r="I10" s="1" t="s">
        <v>52</v>
      </c>
      <c r="J10" s="1">
        <f t="shared" si="0"/>
        <v>6.86</v>
      </c>
      <c r="K10" s="1">
        <v>6.86</v>
      </c>
    </row>
    <row r="11" spans="1:11" x14ac:dyDescent="0.35">
      <c r="A11" s="9" t="s">
        <v>53</v>
      </c>
      <c r="B11" s="10">
        <v>527854</v>
      </c>
      <c r="C11" s="1" t="s">
        <v>43</v>
      </c>
      <c r="I11" s="1" t="s">
        <v>54</v>
      </c>
      <c r="J11" s="14">
        <f>B44*100</f>
        <v>15.771536572268221</v>
      </c>
      <c r="K11" s="1">
        <v>15.771536572268221</v>
      </c>
    </row>
    <row r="12" spans="1:11" x14ac:dyDescent="0.35">
      <c r="A12" s="9" t="s">
        <v>55</v>
      </c>
      <c r="B12" s="10">
        <v>201875</v>
      </c>
      <c r="C12" s="1" t="s">
        <v>43</v>
      </c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325979</v>
      </c>
      <c r="C13" s="1" t="s">
        <v>43</v>
      </c>
      <c r="I13" s="1" t="s">
        <v>58</v>
      </c>
      <c r="J13" s="1">
        <f>130+IF(B39&gt;1,-20)+IF(B39&lt;-1,20)</f>
        <v>130</v>
      </c>
      <c r="K13" s="1">
        <v>130</v>
      </c>
    </row>
    <row r="14" spans="1:11" x14ac:dyDescent="0.35">
      <c r="A14" s="7" t="s">
        <v>59</v>
      </c>
      <c r="B14" s="2">
        <v>0</v>
      </c>
      <c r="C14" s="1" t="s">
        <v>60</v>
      </c>
      <c r="I14" s="1" t="s">
        <v>61</v>
      </c>
      <c r="J14" s="1">
        <f>MAX(J12:J13)*2</f>
        <v>260</v>
      </c>
      <c r="K14" s="1">
        <v>260</v>
      </c>
    </row>
    <row r="15" spans="1:11" x14ac:dyDescent="0.35">
      <c r="I15" s="1" t="s">
        <v>62</v>
      </c>
      <c r="J15" s="14">
        <f>B14/B2*100</f>
        <v>0</v>
      </c>
      <c r="K15" s="1">
        <v>0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22.535603715170279</v>
      </c>
      <c r="K17" s="1">
        <v>22.535603715170279</v>
      </c>
    </row>
    <row r="18" spans="1:11" x14ac:dyDescent="0.35">
      <c r="A18" s="7" t="s">
        <v>67</v>
      </c>
      <c r="B18" s="16">
        <v>2.9</v>
      </c>
      <c r="C18" s="1" t="s">
        <v>60</v>
      </c>
      <c r="D18" s="16">
        <v>575</v>
      </c>
      <c r="E18" s="1" t="s">
        <v>68</v>
      </c>
      <c r="F18" s="4"/>
      <c r="I18" s="1" t="s">
        <v>69</v>
      </c>
      <c r="J18" s="14">
        <f>B48</f>
        <v>31.976690937399827</v>
      </c>
      <c r="K18" s="1">
        <v>31.976690937399827</v>
      </c>
    </row>
    <row r="19" spans="1:11" x14ac:dyDescent="0.35">
      <c r="A19" s="7" t="s">
        <v>70</v>
      </c>
      <c r="B19" s="16">
        <v>4.42</v>
      </c>
      <c r="C19" s="1" t="s">
        <v>60</v>
      </c>
      <c r="D19" s="16">
        <v>630</v>
      </c>
      <c r="E19" s="1" t="s">
        <v>68</v>
      </c>
      <c r="F19" s="17"/>
      <c r="I19" s="1" t="s">
        <v>71</v>
      </c>
      <c r="J19" s="14">
        <f>B52</f>
        <v>149.99003203022613</v>
      </c>
      <c r="K19" s="1">
        <v>149.99003203022613</v>
      </c>
    </row>
    <row r="20" spans="1:11" x14ac:dyDescent="0.35">
      <c r="A20" s="7" t="s">
        <v>72</v>
      </c>
      <c r="B20" s="16">
        <v>4.99</v>
      </c>
      <c r="C20" s="1" t="s">
        <v>60</v>
      </c>
      <c r="D20" s="16">
        <v>637</v>
      </c>
      <c r="E20" s="1" t="s">
        <v>68</v>
      </c>
      <c r="F20" s="17"/>
      <c r="I20" s="1" t="s">
        <v>73</v>
      </c>
      <c r="J20" s="14">
        <f>B53</f>
        <v>238.31307476420545</v>
      </c>
      <c r="K20" s="1">
        <v>238.31307476420545</v>
      </c>
    </row>
    <row r="21" spans="1:11" x14ac:dyDescent="0.35">
      <c r="A21" s="7" t="s">
        <v>74</v>
      </c>
      <c r="B21" s="16">
        <v>5.49</v>
      </c>
      <c r="C21" s="1" t="s">
        <v>60</v>
      </c>
      <c r="D21" s="16">
        <v>644</v>
      </c>
      <c r="E21" s="1" t="s">
        <v>68</v>
      </c>
      <c r="F21" s="17"/>
    </row>
    <row r="22" spans="1:11" x14ac:dyDescent="0.35">
      <c r="A22" s="7" t="s">
        <v>75</v>
      </c>
      <c r="B22" s="16">
        <v>4.88</v>
      </c>
      <c r="C22" s="1" t="s">
        <v>60</v>
      </c>
      <c r="D22" s="16">
        <v>687</v>
      </c>
      <c r="E22" s="1" t="s">
        <v>68</v>
      </c>
      <c r="F22" s="17"/>
    </row>
    <row r="23" spans="1:11" x14ac:dyDescent="0.35">
      <c r="A23" s="7" t="s">
        <v>76</v>
      </c>
      <c r="B23" s="16">
        <v>5.99</v>
      </c>
      <c r="C23" s="1" t="s">
        <v>60</v>
      </c>
      <c r="D23" s="16">
        <v>705</v>
      </c>
      <c r="E23" s="1" t="s">
        <v>68</v>
      </c>
      <c r="F23" s="17"/>
    </row>
    <row r="24" spans="1:11" x14ac:dyDescent="0.35">
      <c r="A24" s="7" t="s">
        <v>77</v>
      </c>
      <c r="B24" s="16">
        <v>6.86</v>
      </c>
      <c r="C24" s="1" t="s">
        <v>60</v>
      </c>
      <c r="D24" s="16">
        <v>720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0.1797</v>
      </c>
    </row>
    <row r="29" spans="1:11" x14ac:dyDescent="0.35">
      <c r="A29" s="7" t="s">
        <v>81</v>
      </c>
      <c r="B29" s="5">
        <v>0.32900000000000001</v>
      </c>
    </row>
    <row r="30" spans="1:11" x14ac:dyDescent="0.35">
      <c r="A30" s="7" t="s">
        <v>82</v>
      </c>
      <c r="B30" s="5">
        <v>0.72099999999999997</v>
      </c>
    </row>
    <row r="31" spans="1:11" x14ac:dyDescent="0.35">
      <c r="A31" s="7" t="s">
        <v>83</v>
      </c>
      <c r="B31" s="5">
        <v>0.2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0.15071207430340558</v>
      </c>
      <c r="C35" s="1" t="s">
        <v>86</v>
      </c>
    </row>
    <row r="36" spans="1:3" x14ac:dyDescent="0.35">
      <c r="A36" s="7" t="s">
        <v>87</v>
      </c>
      <c r="B36" s="3">
        <f>B7/B11</f>
        <v>6.9814759384223671E-2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0.11706399875723211</v>
      </c>
      <c r="C37" s="1" t="s">
        <v>90</v>
      </c>
    </row>
    <row r="38" spans="1:3" x14ac:dyDescent="0.35">
      <c r="A38" s="7" t="s">
        <v>91</v>
      </c>
      <c r="B38" s="3">
        <f>(B23-B22)/B23</f>
        <v>0.18530884808013359</v>
      </c>
      <c r="C38" s="1" t="s">
        <v>92</v>
      </c>
    </row>
    <row r="39" spans="1:3" x14ac:dyDescent="0.35">
      <c r="A39" s="7" t="s">
        <v>93</v>
      </c>
      <c r="B39" s="28">
        <f>(B36-[1]Assumptions!$B$3)/B36/B38/[1]Assumptions!B5</f>
        <v>0.40634289766610548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0.10728810908531794</v>
      </c>
    </row>
    <row r="42" spans="1:3" x14ac:dyDescent="0.35">
      <c r="A42" s="7" t="s">
        <v>97</v>
      </c>
      <c r="B42" s="20">
        <f>(B35-B41)/B48</f>
        <v>1.3579880827286955E-3</v>
      </c>
    </row>
    <row r="43" spans="1:3" x14ac:dyDescent="0.35">
      <c r="A43" s="7" t="s">
        <v>99</v>
      </c>
      <c r="B43" s="22">
        <f>MEDIAN(B28:B31)</f>
        <v>0.26450000000000001</v>
      </c>
    </row>
    <row r="44" spans="1:3" x14ac:dyDescent="0.35">
      <c r="A44" s="7" t="s">
        <v>100</v>
      </c>
      <c r="B44" s="23">
        <f>SUM(B40:B43)/3</f>
        <v>0.15771536572268222</v>
      </c>
    </row>
    <row r="45" spans="1:3" x14ac:dyDescent="0.35">
      <c r="A45" s="7" t="s">
        <v>101</v>
      </c>
      <c r="B45" s="24">
        <f>(B35+0.3)/2</f>
        <v>0.22535603715170277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18.343865915647751</v>
      </c>
    </row>
    <row r="48" spans="1:3" x14ac:dyDescent="0.35">
      <c r="A48" s="7" t="s">
        <v>105</v>
      </c>
      <c r="B48" s="25">
        <f>(B2/B18+10+B47)/3</f>
        <v>31.976690937399827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149.99003203022613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238.31307476420545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307.53924339354057</v>
      </c>
      <c r="C54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637E6-F03D-4F18-BDAC-DC3135EC8D9F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114</v>
      </c>
      <c r="I1" s="1" t="s">
        <v>34</v>
      </c>
      <c r="J1" s="1" t="str">
        <f>B1</f>
        <v>AAPL</v>
      </c>
      <c r="K1" s="1" t="s">
        <v>114</v>
      </c>
    </row>
    <row r="2" spans="1:11" x14ac:dyDescent="0.35">
      <c r="A2" s="7" t="s">
        <v>35</v>
      </c>
      <c r="B2" s="2">
        <v>230</v>
      </c>
      <c r="I2" s="1" t="s">
        <v>36</v>
      </c>
      <c r="J2" s="1">
        <f>B2</f>
        <v>230</v>
      </c>
      <c r="K2" s="1">
        <v>230</v>
      </c>
    </row>
    <row r="3" spans="1:11" x14ac:dyDescent="0.35">
      <c r="I3" s="1" t="s">
        <v>37</v>
      </c>
      <c r="J3" s="8">
        <f>B28</f>
        <v>0.2</v>
      </c>
      <c r="K3" s="1">
        <v>0.2</v>
      </c>
    </row>
    <row r="4" spans="1:11" x14ac:dyDescent="0.35">
      <c r="A4" s="7" t="s">
        <v>38</v>
      </c>
      <c r="I4" s="1" t="s">
        <v>39</v>
      </c>
      <c r="J4" s="1">
        <f>B18</f>
        <v>5.73</v>
      </c>
      <c r="K4" s="1">
        <v>5.73</v>
      </c>
    </row>
    <row r="5" spans="1:11" x14ac:dyDescent="0.35">
      <c r="B5" s="1" t="s">
        <v>40</v>
      </c>
      <c r="I5" s="1" t="s">
        <v>41</v>
      </c>
      <c r="J5" s="1">
        <f t="shared" ref="J5:J10" si="0">B19</f>
        <v>6.46</v>
      </c>
      <c r="K5" s="1">
        <v>6.46</v>
      </c>
    </row>
    <row r="6" spans="1:11" x14ac:dyDescent="0.35">
      <c r="A6" s="9" t="s">
        <v>42</v>
      </c>
      <c r="B6" s="10">
        <v>96995</v>
      </c>
      <c r="C6" s="1" t="s">
        <v>43</v>
      </c>
      <c r="D6" s="11"/>
      <c r="I6" s="1" t="s">
        <v>44</v>
      </c>
      <c r="J6" s="1">
        <f t="shared" si="0"/>
        <v>6.59</v>
      </c>
      <c r="K6" s="1">
        <v>6.59</v>
      </c>
    </row>
    <row r="7" spans="1:11" x14ac:dyDescent="0.35">
      <c r="A7" s="9" t="s">
        <v>45</v>
      </c>
      <c r="B7" s="10">
        <v>114301</v>
      </c>
      <c r="C7" s="1" t="s">
        <v>43</v>
      </c>
      <c r="D7" s="11"/>
      <c r="I7" s="1" t="s">
        <v>46</v>
      </c>
      <c r="J7" s="1">
        <f t="shared" si="0"/>
        <v>6.92</v>
      </c>
      <c r="K7" s="1">
        <v>6.92</v>
      </c>
    </row>
    <row r="8" spans="1:11" x14ac:dyDescent="0.35">
      <c r="A8" s="9" t="s">
        <v>47</v>
      </c>
      <c r="B8" s="10">
        <v>169148</v>
      </c>
      <c r="C8" s="1" t="s">
        <v>43</v>
      </c>
      <c r="D8" s="11"/>
      <c r="I8" s="1" t="s">
        <v>48</v>
      </c>
      <c r="J8" s="1">
        <f t="shared" si="0"/>
        <v>6.4</v>
      </c>
      <c r="K8" s="1">
        <v>6.4</v>
      </c>
    </row>
    <row r="9" spans="1:11" x14ac:dyDescent="0.35">
      <c r="A9" s="9" t="s">
        <v>49</v>
      </c>
      <c r="B9" s="10">
        <v>383285</v>
      </c>
      <c r="C9" s="1" t="s">
        <v>43</v>
      </c>
      <c r="D9" s="11"/>
      <c r="I9" s="1" t="s">
        <v>50</v>
      </c>
      <c r="J9" s="1">
        <f t="shared" si="0"/>
        <v>7.29</v>
      </c>
      <c r="K9" s="1">
        <v>7.29</v>
      </c>
    </row>
    <row r="10" spans="1:11" x14ac:dyDescent="0.35">
      <c r="A10" s="9" t="s">
        <v>51</v>
      </c>
      <c r="B10" s="12">
        <v>15813</v>
      </c>
      <c r="C10" s="1" t="s">
        <v>43</v>
      </c>
      <c r="D10" s="13"/>
      <c r="I10" s="1" t="s">
        <v>52</v>
      </c>
      <c r="J10" s="1">
        <f t="shared" si="0"/>
        <v>8.1</v>
      </c>
      <c r="K10" s="1">
        <v>8.1</v>
      </c>
    </row>
    <row r="11" spans="1:11" x14ac:dyDescent="0.35">
      <c r="A11" s="9" t="s">
        <v>53</v>
      </c>
      <c r="B11" s="10">
        <v>352583</v>
      </c>
      <c r="C11" s="1" t="s">
        <v>43</v>
      </c>
      <c r="D11" s="11"/>
      <c r="I11" s="1" t="s">
        <v>54</v>
      </c>
      <c r="J11" s="14">
        <f>B44*100</f>
        <v>12.639902853961138</v>
      </c>
      <c r="K11" s="1">
        <v>12.639902853961138</v>
      </c>
    </row>
    <row r="12" spans="1:11" x14ac:dyDescent="0.35">
      <c r="A12" s="9" t="s">
        <v>55</v>
      </c>
      <c r="B12" s="10">
        <v>62146</v>
      </c>
      <c r="C12" s="1" t="s">
        <v>43</v>
      </c>
      <c r="D12" s="11"/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290437</v>
      </c>
      <c r="C13" s="1" t="s">
        <v>43</v>
      </c>
      <c r="D13" s="11"/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1</v>
      </c>
      <c r="C14" s="1" t="s">
        <v>60</v>
      </c>
      <c r="D14" s="11"/>
      <c r="I14" s="1" t="s">
        <v>61</v>
      </c>
      <c r="J14" s="1">
        <f>MAX(J12:J13)*2</f>
        <v>220</v>
      </c>
      <c r="K14" s="1">
        <v>220</v>
      </c>
    </row>
    <row r="15" spans="1:11" x14ac:dyDescent="0.35">
      <c r="I15" s="1" t="s">
        <v>62</v>
      </c>
      <c r="J15" s="14">
        <f>B14/B2*100</f>
        <v>0.43478260869565216</v>
      </c>
      <c r="K15" s="1">
        <v>0.43478260869565216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30</v>
      </c>
      <c r="K17" s="1">
        <v>30</v>
      </c>
    </row>
    <row r="18" spans="1:11" x14ac:dyDescent="0.35">
      <c r="A18" s="7" t="s">
        <v>67</v>
      </c>
      <c r="B18" s="16">
        <v>5.73</v>
      </c>
      <c r="C18" s="1" t="s">
        <v>60</v>
      </c>
      <c r="D18" s="26">
        <v>358.03</v>
      </c>
      <c r="E18" s="1" t="s">
        <v>68</v>
      </c>
      <c r="F18" s="4"/>
      <c r="H18" s="11"/>
      <c r="I18" s="1" t="s">
        <v>69</v>
      </c>
      <c r="J18" s="14">
        <f>B48</f>
        <v>23.379872018615472</v>
      </c>
      <c r="K18" s="1">
        <v>23.379872018615472</v>
      </c>
    </row>
    <row r="19" spans="1:11" x14ac:dyDescent="0.35">
      <c r="A19" s="7" t="s">
        <v>70</v>
      </c>
      <c r="B19" s="16">
        <v>6.46</v>
      </c>
      <c r="C19" s="1" t="s">
        <v>60</v>
      </c>
      <c r="D19" s="26">
        <v>382.01</v>
      </c>
      <c r="E19" s="1" t="s">
        <v>68</v>
      </c>
      <c r="F19" s="17"/>
      <c r="H19" s="11"/>
      <c r="I19" s="1" t="s">
        <v>71</v>
      </c>
      <c r="J19" s="14">
        <f>B52</f>
        <v>133.9074742976276</v>
      </c>
      <c r="K19" s="1">
        <v>133.9074742976276</v>
      </c>
    </row>
    <row r="20" spans="1:11" x14ac:dyDescent="0.35">
      <c r="A20" s="7" t="s">
        <v>72</v>
      </c>
      <c r="B20" s="16">
        <v>6.59</v>
      </c>
      <c r="C20" s="1" t="s">
        <v>60</v>
      </c>
      <c r="D20" s="26">
        <v>386.98</v>
      </c>
      <c r="E20" s="1" t="s">
        <v>68</v>
      </c>
      <c r="F20" s="17"/>
      <c r="H20" s="11"/>
      <c r="I20" s="1" t="s">
        <v>73</v>
      </c>
      <c r="J20" s="14">
        <f>B53</f>
        <v>177.16615020502815</v>
      </c>
      <c r="K20" s="1">
        <v>177.16615020502815</v>
      </c>
    </row>
    <row r="21" spans="1:11" x14ac:dyDescent="0.35">
      <c r="A21" s="7" t="s">
        <v>74</v>
      </c>
      <c r="B21" s="16">
        <v>6.92</v>
      </c>
      <c r="C21" s="1" t="s">
        <v>60</v>
      </c>
      <c r="D21" s="26">
        <v>393.73</v>
      </c>
      <c r="E21" s="1" t="s">
        <v>68</v>
      </c>
      <c r="F21" s="17"/>
      <c r="H21" s="11"/>
    </row>
    <row r="22" spans="1:11" x14ac:dyDescent="0.35">
      <c r="A22" s="7" t="s">
        <v>75</v>
      </c>
      <c r="B22" s="16">
        <v>6.4</v>
      </c>
      <c r="C22" s="1" t="s">
        <v>60</v>
      </c>
      <c r="D22" s="26">
        <v>382.08</v>
      </c>
      <c r="E22" s="1" t="s">
        <v>68</v>
      </c>
      <c r="F22" s="17"/>
      <c r="H22" s="11"/>
    </row>
    <row r="23" spans="1:11" x14ac:dyDescent="0.35">
      <c r="A23" s="7" t="s">
        <v>76</v>
      </c>
      <c r="B23" s="16">
        <v>7.29</v>
      </c>
      <c r="C23" s="1" t="s">
        <v>60</v>
      </c>
      <c r="D23" s="26">
        <v>414.27</v>
      </c>
      <c r="E23" s="1" t="s">
        <v>68</v>
      </c>
      <c r="F23" s="17"/>
      <c r="H23" s="11"/>
    </row>
    <row r="24" spans="1:11" x14ac:dyDescent="0.35">
      <c r="A24" s="7" t="s">
        <v>77</v>
      </c>
      <c r="B24" s="16">
        <v>8.1</v>
      </c>
      <c r="C24" s="1" t="s">
        <v>60</v>
      </c>
      <c r="D24" s="26">
        <v>442.97</v>
      </c>
      <c r="E24" s="1" t="s">
        <v>68</v>
      </c>
      <c r="F24" s="17"/>
      <c r="H24" s="11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0.2</v>
      </c>
    </row>
    <row r="29" spans="1:11" x14ac:dyDescent="0.35">
      <c r="A29" s="7" t="s">
        <v>81</v>
      </c>
      <c r="B29" s="5">
        <v>0.1</v>
      </c>
    </row>
    <row r="30" spans="1:11" x14ac:dyDescent="0.35">
      <c r="A30" s="7" t="s">
        <v>82</v>
      </c>
      <c r="B30" s="5">
        <v>0.16</v>
      </c>
    </row>
    <row r="31" spans="1:11" x14ac:dyDescent="0.35">
      <c r="A31" s="7" t="s">
        <v>83</v>
      </c>
      <c r="B31" s="5">
        <v>0.12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1.5607601454639075</v>
      </c>
      <c r="C35" s="1" t="s">
        <v>86</v>
      </c>
    </row>
    <row r="36" spans="1:3" x14ac:dyDescent="0.35">
      <c r="A36" s="7" t="s">
        <v>87</v>
      </c>
      <c r="B36" s="3">
        <f>B7/B11</f>
        <v>0.32418182385424144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9.4064801762989148E-2</v>
      </c>
      <c r="C37" s="1" t="s">
        <v>90</v>
      </c>
    </row>
    <row r="38" spans="1:3" x14ac:dyDescent="0.35">
      <c r="A38" s="7" t="s">
        <v>91</v>
      </c>
      <c r="B38" s="3">
        <f>(B23-B22)/B23</f>
        <v>0.12208504801097389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1.8379546600208843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7.5677372071651039E-2</v>
      </c>
    </row>
    <row r="42" spans="1:3" x14ac:dyDescent="0.35">
      <c r="A42" s="7" t="s">
        <v>97</v>
      </c>
      <c r="B42" s="20">
        <f>(B35-B41)/B48</f>
        <v>6.351971354718311E-2</v>
      </c>
    </row>
    <row r="43" spans="1:3" x14ac:dyDescent="0.35">
      <c r="A43" s="7" t="s">
        <v>99</v>
      </c>
      <c r="B43" s="22">
        <f>MEDIAN(B28:B31)</f>
        <v>0.14000000000000001</v>
      </c>
    </row>
    <row r="44" spans="1:3" x14ac:dyDescent="0.35">
      <c r="A44" s="7" t="s">
        <v>100</v>
      </c>
      <c r="B44" s="23">
        <f>SUM(B40:B43)/3</f>
        <v>0.12639902853961138</v>
      </c>
    </row>
    <row r="45" spans="1:3" x14ac:dyDescent="0.35">
      <c r="A45" s="7" t="s">
        <v>101</v>
      </c>
      <c r="B45" s="24">
        <v>0.3</v>
      </c>
      <c r="C45" s="1" t="s">
        <v>102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19.999999999999996</v>
      </c>
    </row>
    <row r="48" spans="1:3" x14ac:dyDescent="0.35">
      <c r="A48" s="7" t="s">
        <v>105</v>
      </c>
      <c r="B48" s="25">
        <f>(B2/B18+10+B47)/3</f>
        <v>23.379872018615472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133.9074742976276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177.16615020502815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216.53640580614555</v>
      </c>
      <c r="C54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55E3-3B53-48E6-852D-902A3872440B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115</v>
      </c>
      <c r="I1" s="1" t="s">
        <v>34</v>
      </c>
      <c r="J1" s="1" t="str">
        <f>B1</f>
        <v>META</v>
      </c>
      <c r="K1" s="1" t="s">
        <v>115</v>
      </c>
    </row>
    <row r="2" spans="1:11" x14ac:dyDescent="0.35">
      <c r="A2" s="7" t="s">
        <v>35</v>
      </c>
      <c r="B2" s="2">
        <v>590</v>
      </c>
      <c r="I2" s="1" t="s">
        <v>36</v>
      </c>
      <c r="J2" s="1">
        <f>B2</f>
        <v>590</v>
      </c>
      <c r="K2" s="1">
        <v>590</v>
      </c>
    </row>
    <row r="3" spans="1:11" x14ac:dyDescent="0.35">
      <c r="I3" s="1" t="s">
        <v>37</v>
      </c>
      <c r="J3" s="8">
        <f>B28</f>
        <v>0.1641</v>
      </c>
      <c r="K3" s="1">
        <v>0.1641</v>
      </c>
    </row>
    <row r="4" spans="1:11" x14ac:dyDescent="0.35">
      <c r="A4" s="7" t="s">
        <v>38</v>
      </c>
      <c r="I4" s="1" t="s">
        <v>39</v>
      </c>
      <c r="J4" s="1">
        <f>B18</f>
        <v>14.87</v>
      </c>
      <c r="K4" s="1">
        <v>14.87</v>
      </c>
    </row>
    <row r="5" spans="1:11" x14ac:dyDescent="0.35">
      <c r="B5" s="1" t="s">
        <v>40</v>
      </c>
      <c r="I5" s="1" t="s">
        <v>41</v>
      </c>
      <c r="J5" s="1">
        <f t="shared" ref="J5:J10" si="0">B19</f>
        <v>20.6</v>
      </c>
      <c r="K5" s="1">
        <v>20.6</v>
      </c>
    </row>
    <row r="6" spans="1:11" x14ac:dyDescent="0.35">
      <c r="A6" s="9" t="s">
        <v>42</v>
      </c>
      <c r="B6" s="10">
        <v>39098</v>
      </c>
      <c r="C6" s="1" t="s">
        <v>43</v>
      </c>
      <c r="I6" s="1" t="s">
        <v>44</v>
      </c>
      <c r="J6" s="1">
        <f t="shared" si="0"/>
        <v>22.59</v>
      </c>
      <c r="K6" s="1">
        <v>22.59</v>
      </c>
    </row>
    <row r="7" spans="1:11" x14ac:dyDescent="0.35">
      <c r="A7" s="9" t="s">
        <v>45</v>
      </c>
      <c r="B7" s="10">
        <v>46751</v>
      </c>
      <c r="C7" s="1" t="s">
        <v>43</v>
      </c>
      <c r="I7" s="1" t="s">
        <v>46</v>
      </c>
      <c r="J7" s="1">
        <f t="shared" si="0"/>
        <v>27.35</v>
      </c>
      <c r="K7" s="1">
        <v>27.35</v>
      </c>
    </row>
    <row r="8" spans="1:11" x14ac:dyDescent="0.35">
      <c r="A8" s="9" t="s">
        <v>47</v>
      </c>
      <c r="B8" s="10">
        <v>108943</v>
      </c>
      <c r="C8" s="1" t="s">
        <v>43</v>
      </c>
      <c r="I8" s="1" t="s">
        <v>48</v>
      </c>
      <c r="J8" s="1">
        <f t="shared" si="0"/>
        <v>22</v>
      </c>
      <c r="K8" s="1">
        <v>22</v>
      </c>
    </row>
    <row r="9" spans="1:11" x14ac:dyDescent="0.35">
      <c r="A9" s="9" t="s">
        <v>49</v>
      </c>
      <c r="B9" s="10">
        <v>134902</v>
      </c>
      <c r="C9" s="1" t="s">
        <v>43</v>
      </c>
      <c r="I9" s="1" t="s">
        <v>50</v>
      </c>
      <c r="J9" s="1">
        <f t="shared" si="0"/>
        <v>25.3</v>
      </c>
      <c r="K9" s="1">
        <v>25.3</v>
      </c>
    </row>
    <row r="10" spans="1:11" x14ac:dyDescent="0.35">
      <c r="A10" s="9" t="s">
        <v>51</v>
      </c>
      <c r="B10" s="12">
        <v>2629</v>
      </c>
      <c r="C10" s="1" t="s">
        <v>43</v>
      </c>
      <c r="I10" s="1" t="s">
        <v>52</v>
      </c>
      <c r="J10" s="1">
        <f t="shared" si="0"/>
        <v>29.72</v>
      </c>
      <c r="K10" s="1">
        <v>29.72</v>
      </c>
    </row>
    <row r="11" spans="1:11" x14ac:dyDescent="0.35">
      <c r="A11" s="9" t="s">
        <v>53</v>
      </c>
      <c r="B11" s="10">
        <v>229623</v>
      </c>
      <c r="C11" s="1" t="s">
        <v>43</v>
      </c>
      <c r="I11" s="1" t="s">
        <v>54</v>
      </c>
      <c r="J11" s="14">
        <f>B44*100</f>
        <v>14.938267886586912</v>
      </c>
      <c r="K11" s="1">
        <v>14.938267886586912</v>
      </c>
    </row>
    <row r="12" spans="1:11" x14ac:dyDescent="0.35">
      <c r="A12" s="9" t="s">
        <v>55</v>
      </c>
      <c r="B12" s="10">
        <v>153168</v>
      </c>
      <c r="C12" s="1" t="s">
        <v>43</v>
      </c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76455</v>
      </c>
      <c r="C13" s="1" t="s">
        <v>43</v>
      </c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2</v>
      </c>
      <c r="C14" s="1" t="s">
        <v>60</v>
      </c>
      <c r="I14" s="1" t="s">
        <v>61</v>
      </c>
      <c r="J14" s="1">
        <f>MAX(J12:J13)*2</f>
        <v>220</v>
      </c>
      <c r="K14" s="1">
        <v>220</v>
      </c>
    </row>
    <row r="15" spans="1:11" x14ac:dyDescent="0.35">
      <c r="I15" s="1" t="s">
        <v>62</v>
      </c>
      <c r="J15" s="14">
        <f>B14/B2*100</f>
        <v>0.33898305084745761</v>
      </c>
      <c r="K15" s="1">
        <v>0.33898305084745761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27.763109787945261</v>
      </c>
      <c r="K17" s="1">
        <v>27.763109787945261</v>
      </c>
    </row>
    <row r="18" spans="1:11" x14ac:dyDescent="0.35">
      <c r="A18" s="7" t="s">
        <v>67</v>
      </c>
      <c r="B18" s="16">
        <v>14.87</v>
      </c>
      <c r="C18" s="1" t="s">
        <v>60</v>
      </c>
      <c r="D18" s="16">
        <v>134.9</v>
      </c>
      <c r="E18" s="1" t="s">
        <v>68</v>
      </c>
      <c r="F18" s="4"/>
      <c r="I18" s="1" t="s">
        <v>69</v>
      </c>
      <c r="J18" s="14">
        <f>B48</f>
        <v>23.091449819085884</v>
      </c>
      <c r="K18" s="1">
        <v>23.091449819085884</v>
      </c>
    </row>
    <row r="19" spans="1:11" x14ac:dyDescent="0.35">
      <c r="A19" s="7" t="s">
        <v>70</v>
      </c>
      <c r="B19" s="16">
        <v>20.6</v>
      </c>
      <c r="C19" s="1" t="s">
        <v>60</v>
      </c>
      <c r="D19" s="16">
        <v>160.30000000000001</v>
      </c>
      <c r="E19" s="1" t="s">
        <v>68</v>
      </c>
      <c r="F19" s="17"/>
      <c r="I19" s="1" t="s">
        <v>71</v>
      </c>
      <c r="J19" s="14">
        <f>B52</f>
        <v>522.98267495490029</v>
      </c>
      <c r="K19" s="1">
        <v>522.98267495490029</v>
      </c>
    </row>
    <row r="20" spans="1:11" x14ac:dyDescent="0.35">
      <c r="A20" s="7" t="s">
        <v>72</v>
      </c>
      <c r="B20" s="16">
        <v>22.59</v>
      </c>
      <c r="C20" s="1" t="s">
        <v>60</v>
      </c>
      <c r="D20" s="16">
        <v>163.1</v>
      </c>
      <c r="E20" s="1" t="s">
        <v>68</v>
      </c>
      <c r="F20" s="17"/>
      <c r="I20" s="1" t="s">
        <v>73</v>
      </c>
      <c r="J20" s="14">
        <f>B53</f>
        <v>707.56479552721805</v>
      </c>
      <c r="K20" s="1">
        <v>707.56479552721805</v>
      </c>
    </row>
    <row r="21" spans="1:11" x14ac:dyDescent="0.35">
      <c r="A21" s="7" t="s">
        <v>74</v>
      </c>
      <c r="B21" s="16">
        <v>27.35</v>
      </c>
      <c r="C21" s="1" t="s">
        <v>60</v>
      </c>
      <c r="D21" s="16">
        <v>164.1</v>
      </c>
      <c r="E21" s="1" t="s">
        <v>68</v>
      </c>
      <c r="F21" s="17"/>
    </row>
    <row r="22" spans="1:11" x14ac:dyDescent="0.35">
      <c r="A22" s="7" t="s">
        <v>75</v>
      </c>
      <c r="B22" s="16">
        <v>22</v>
      </c>
      <c r="C22" s="1" t="s">
        <v>60</v>
      </c>
      <c r="D22" s="16">
        <v>179.8</v>
      </c>
      <c r="E22" s="1" t="s">
        <v>68</v>
      </c>
      <c r="F22" s="17"/>
    </row>
    <row r="23" spans="1:11" x14ac:dyDescent="0.35">
      <c r="A23" s="7" t="s">
        <v>76</v>
      </c>
      <c r="B23" s="16">
        <v>25.3</v>
      </c>
      <c r="C23" s="1" t="s">
        <v>60</v>
      </c>
      <c r="D23" s="16">
        <v>187</v>
      </c>
      <c r="E23" s="1" t="s">
        <v>68</v>
      </c>
      <c r="F23" s="17"/>
    </row>
    <row r="24" spans="1:11" x14ac:dyDescent="0.35">
      <c r="A24" s="7" t="s">
        <v>77</v>
      </c>
      <c r="B24" s="16">
        <v>29.72</v>
      </c>
      <c r="C24" s="1" t="s">
        <v>60</v>
      </c>
      <c r="D24" s="16">
        <v>196.3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0.1641</v>
      </c>
    </row>
    <row r="29" spans="1:11" x14ac:dyDescent="0.35">
      <c r="A29" s="7" t="s">
        <v>81</v>
      </c>
      <c r="B29" s="5">
        <v>0.17069999999999999</v>
      </c>
    </row>
    <row r="30" spans="1:11" x14ac:dyDescent="0.35">
      <c r="A30" s="7" t="s">
        <v>82</v>
      </c>
      <c r="B30" s="5">
        <v>0.51900000000000002</v>
      </c>
    </row>
    <row r="31" spans="1:11" x14ac:dyDescent="0.35">
      <c r="A31" s="7" t="s">
        <v>83</v>
      </c>
      <c r="B31" s="5">
        <v>0.12</v>
      </c>
    </row>
    <row r="32" spans="1:11" x14ac:dyDescent="0.35">
      <c r="B32" s="2"/>
    </row>
    <row r="33" spans="1:4" x14ac:dyDescent="0.35">
      <c r="A33" s="7" t="s">
        <v>84</v>
      </c>
      <c r="B33" s="2"/>
    </row>
    <row r="34" spans="1:4" x14ac:dyDescent="0.35">
      <c r="B34" s="2" t="s">
        <v>79</v>
      </c>
    </row>
    <row r="35" spans="1:4" x14ac:dyDescent="0.35">
      <c r="A35" s="7" t="s">
        <v>85</v>
      </c>
      <c r="B35" s="3">
        <f>B6/B12</f>
        <v>0.25526219575890524</v>
      </c>
      <c r="C35" s="1" t="s">
        <v>86</v>
      </c>
    </row>
    <row r="36" spans="1:4" x14ac:dyDescent="0.35">
      <c r="A36" s="7" t="s">
        <v>87</v>
      </c>
      <c r="B36" s="3">
        <f>B7/B11</f>
        <v>0.20359894261463354</v>
      </c>
      <c r="C36" s="1" t="s">
        <v>88</v>
      </c>
    </row>
    <row r="37" spans="1:4" x14ac:dyDescent="0.35">
      <c r="A37" s="7" t="s">
        <v>89</v>
      </c>
      <c r="B37" s="3">
        <f>(B45*B12+B13*[1]Assumptions!B3)/B11</f>
        <v>0.20183931923195847</v>
      </c>
      <c r="C37" s="1" t="s">
        <v>90</v>
      </c>
    </row>
    <row r="38" spans="1:4" x14ac:dyDescent="0.35">
      <c r="A38" s="7" t="s">
        <v>91</v>
      </c>
      <c r="B38" s="3">
        <f>(B23-B22)/B23</f>
        <v>0.13043478260869568</v>
      </c>
      <c r="C38" s="1" t="s">
        <v>92</v>
      </c>
    </row>
    <row r="39" spans="1:4" x14ac:dyDescent="0.35">
      <c r="A39" s="7" t="s">
        <v>93</v>
      </c>
      <c r="B39" s="27">
        <f>(B36-[1]Assumptions!$B$3)/B36/B38/[1]Assumptions!B5</f>
        <v>1.534498829156697</v>
      </c>
      <c r="C39" s="1" t="s">
        <v>94</v>
      </c>
    </row>
    <row r="40" spans="1:4" x14ac:dyDescent="0.35">
      <c r="A40" s="7" t="s">
        <v>95</v>
      </c>
      <c r="B40" s="19">
        <f>Assumptions!D18</f>
        <v>0.1</v>
      </c>
    </row>
    <row r="41" spans="1:4" x14ac:dyDescent="0.35">
      <c r="A41" s="7" t="s">
        <v>96</v>
      </c>
      <c r="B41" s="20">
        <f>(D23/D18)^0.5-1</f>
        <v>0.1773750502263407</v>
      </c>
    </row>
    <row r="42" spans="1:4" x14ac:dyDescent="0.35">
      <c r="A42" s="7" t="s">
        <v>97</v>
      </c>
      <c r="B42" s="20">
        <f>(B35-B41)/B48</f>
        <v>3.3729863712666543E-3</v>
      </c>
    </row>
    <row r="43" spans="1:4" x14ac:dyDescent="0.35">
      <c r="A43" s="7" t="s">
        <v>99</v>
      </c>
      <c r="B43" s="22">
        <f>MEDIAN(B28:B31)</f>
        <v>0.16739999999999999</v>
      </c>
      <c r="C43" s="22">
        <f>AVERAGE(B28:B31)</f>
        <v>0.24345</v>
      </c>
      <c r="D43" s="1" t="s">
        <v>121</v>
      </c>
    </row>
    <row r="44" spans="1:4" x14ac:dyDescent="0.35">
      <c r="A44" s="7" t="s">
        <v>100</v>
      </c>
      <c r="B44" s="23">
        <f>SUM(B40:B43)/3</f>
        <v>0.14938267886586912</v>
      </c>
    </row>
    <row r="45" spans="1:4" x14ac:dyDescent="0.35">
      <c r="A45" s="7" t="s">
        <v>101</v>
      </c>
      <c r="B45" s="24">
        <f>(B35+0.3)/2</f>
        <v>0.27763109787945262</v>
      </c>
      <c r="C45" s="1" t="s">
        <v>102</v>
      </c>
    </row>
    <row r="46" spans="1:4" x14ac:dyDescent="0.35">
      <c r="A46" s="7" t="s">
        <v>103</v>
      </c>
      <c r="B46" s="3">
        <f>Assumptions!E18</f>
        <v>0.06</v>
      </c>
    </row>
    <row r="47" spans="1:4" x14ac:dyDescent="0.35">
      <c r="A47" s="7" t="s">
        <v>104</v>
      </c>
      <c r="B47" s="25">
        <f>(B45-B46)/([1]Assumptions!B4-B46)/B45</f>
        <v>19.59714703627581</v>
      </c>
    </row>
    <row r="48" spans="1:4" x14ac:dyDescent="0.35">
      <c r="A48" s="7" t="s">
        <v>105</v>
      </c>
      <c r="B48" s="25">
        <f>(B2/B18+10+B47)/3</f>
        <v>23.091449819085884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522.98267495490029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707.56479552721805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954.79296914226188</v>
      </c>
      <c r="C54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0054-C98A-4683-9386-F14DFF32B1BE}">
  <dimension ref="A1:K54"/>
  <sheetViews>
    <sheetView topLeftCell="F1" workbookViewId="0">
      <selection activeCell="K1" sqref="K1:K20"/>
    </sheetView>
  </sheetViews>
  <sheetFormatPr defaultColWidth="8.88671875" defaultRowHeight="15" x14ac:dyDescent="0.35"/>
  <cols>
    <col min="1" max="1" width="30.6640625" style="7" customWidth="1"/>
    <col min="2" max="18" width="20.6640625" style="1" customWidth="1"/>
    <col min="19" max="16384" width="8.88671875" style="1"/>
  </cols>
  <sheetData>
    <row r="1" spans="1:11" x14ac:dyDescent="0.35">
      <c r="A1" s="7" t="s">
        <v>32</v>
      </c>
      <c r="B1" s="2" t="s">
        <v>116</v>
      </c>
      <c r="I1" s="1" t="s">
        <v>34</v>
      </c>
      <c r="J1" s="1" t="str">
        <f>B1</f>
        <v>MCO</v>
      </c>
      <c r="K1" s="1" t="s">
        <v>116</v>
      </c>
    </row>
    <row r="2" spans="1:11" x14ac:dyDescent="0.35">
      <c r="A2" s="7" t="s">
        <v>35</v>
      </c>
      <c r="B2" s="2">
        <v>477</v>
      </c>
      <c r="I2" s="1" t="s">
        <v>36</v>
      </c>
      <c r="J2" s="1">
        <f>B2</f>
        <v>477</v>
      </c>
      <c r="K2" s="1">
        <v>477</v>
      </c>
    </row>
    <row r="3" spans="1:11" x14ac:dyDescent="0.35">
      <c r="I3" s="1" t="s">
        <v>37</v>
      </c>
      <c r="J3" s="8">
        <f>B28</f>
        <v>2.4199999999999999E-2</v>
      </c>
      <c r="K3" s="1">
        <v>2.4199999999999999E-2</v>
      </c>
    </row>
    <row r="4" spans="1:11" x14ac:dyDescent="0.35">
      <c r="A4" s="7" t="s">
        <v>38</v>
      </c>
      <c r="I4" s="1" t="s">
        <v>39</v>
      </c>
      <c r="J4" s="1">
        <f>B18</f>
        <v>9.9</v>
      </c>
      <c r="K4" s="1">
        <v>9.9</v>
      </c>
    </row>
    <row r="5" spans="1:11" x14ac:dyDescent="0.35">
      <c r="B5" s="1" t="s">
        <v>40</v>
      </c>
      <c r="I5" s="1" t="s">
        <v>41</v>
      </c>
      <c r="J5" s="1">
        <f t="shared" ref="J5:J10" si="0">B19</f>
        <v>12</v>
      </c>
      <c r="K5" s="1">
        <v>12</v>
      </c>
    </row>
    <row r="6" spans="1:11" x14ac:dyDescent="0.35">
      <c r="A6" s="9" t="s">
        <v>42</v>
      </c>
      <c r="B6" s="10">
        <v>2003</v>
      </c>
      <c r="C6" s="1" t="s">
        <v>43</v>
      </c>
      <c r="I6" s="1" t="s">
        <v>44</v>
      </c>
      <c r="J6" s="1">
        <f t="shared" si="0"/>
        <v>12.11</v>
      </c>
      <c r="K6" s="1">
        <v>12.11</v>
      </c>
    </row>
    <row r="7" spans="1:11" x14ac:dyDescent="0.35">
      <c r="A7" s="9" t="s">
        <v>45</v>
      </c>
      <c r="B7" s="10">
        <v>2891</v>
      </c>
      <c r="C7" s="1" t="s">
        <v>43</v>
      </c>
      <c r="I7" s="1" t="s">
        <v>46</v>
      </c>
      <c r="J7" s="1">
        <f t="shared" si="0"/>
        <v>12.5</v>
      </c>
      <c r="K7" s="1">
        <v>12.5</v>
      </c>
    </row>
    <row r="8" spans="1:11" x14ac:dyDescent="0.35">
      <c r="A8" s="9" t="s">
        <v>47</v>
      </c>
      <c r="B8" s="10">
        <v>6896</v>
      </c>
      <c r="C8" s="1" t="s">
        <v>43</v>
      </c>
      <c r="I8" s="1" t="s">
        <v>48</v>
      </c>
      <c r="J8" s="1">
        <f t="shared" si="0"/>
        <v>12.08</v>
      </c>
      <c r="K8" s="1">
        <v>12.08</v>
      </c>
    </row>
    <row r="9" spans="1:11" x14ac:dyDescent="0.35">
      <c r="A9" s="9" t="s">
        <v>49</v>
      </c>
      <c r="B9" s="10">
        <v>6896</v>
      </c>
      <c r="C9" s="1" t="s">
        <v>43</v>
      </c>
      <c r="I9" s="1" t="s">
        <v>50</v>
      </c>
      <c r="J9" s="1">
        <f t="shared" si="0"/>
        <v>13.32</v>
      </c>
      <c r="K9" s="1">
        <v>13.32</v>
      </c>
    </row>
    <row r="10" spans="1:11" x14ac:dyDescent="0.35">
      <c r="A10" s="9" t="s">
        <v>51</v>
      </c>
      <c r="B10" s="12">
        <v>184</v>
      </c>
      <c r="C10" s="1" t="s">
        <v>43</v>
      </c>
      <c r="I10" s="1" t="s">
        <v>52</v>
      </c>
      <c r="J10" s="1">
        <f t="shared" si="0"/>
        <v>14.55</v>
      </c>
      <c r="K10" s="1">
        <v>14.55</v>
      </c>
    </row>
    <row r="11" spans="1:11" x14ac:dyDescent="0.35">
      <c r="A11" s="9" t="s">
        <v>53</v>
      </c>
      <c r="B11" s="10">
        <v>14349</v>
      </c>
      <c r="C11" s="1" t="s">
        <v>43</v>
      </c>
      <c r="I11" s="1" t="s">
        <v>54</v>
      </c>
      <c r="J11" s="14">
        <f>B44*100</f>
        <v>12.776484620891903</v>
      </c>
      <c r="K11" s="1">
        <v>12.776484620891903</v>
      </c>
    </row>
    <row r="12" spans="1:11" x14ac:dyDescent="0.35">
      <c r="A12" s="9" t="s">
        <v>55</v>
      </c>
      <c r="B12" s="10">
        <v>2519</v>
      </c>
      <c r="C12" s="1" t="s">
        <v>43</v>
      </c>
      <c r="I12" s="1" t="s">
        <v>56</v>
      </c>
      <c r="J12" s="14">
        <v>110</v>
      </c>
      <c r="K12" s="1">
        <v>110</v>
      </c>
    </row>
    <row r="13" spans="1:11" x14ac:dyDescent="0.35">
      <c r="A13" s="9" t="s">
        <v>57</v>
      </c>
      <c r="B13" s="10">
        <v>11660</v>
      </c>
      <c r="C13" s="1" t="s">
        <v>43</v>
      </c>
      <c r="I13" s="1" t="s">
        <v>58</v>
      </c>
      <c r="J13" s="1">
        <f>130+IF(B39&gt;1,-20)+IF(B39&lt;-1,20)</f>
        <v>110</v>
      </c>
      <c r="K13" s="1">
        <v>110</v>
      </c>
    </row>
    <row r="14" spans="1:11" x14ac:dyDescent="0.35">
      <c r="A14" s="7" t="s">
        <v>59</v>
      </c>
      <c r="B14" s="2">
        <v>3.4</v>
      </c>
      <c r="C14" s="1" t="s">
        <v>60</v>
      </c>
      <c r="I14" s="1" t="s">
        <v>61</v>
      </c>
      <c r="J14" s="1">
        <f>MAX(J12:J13)*2</f>
        <v>220</v>
      </c>
      <c r="K14" s="1">
        <v>220</v>
      </c>
    </row>
    <row r="15" spans="1:11" x14ac:dyDescent="0.35">
      <c r="I15" s="1" t="s">
        <v>62</v>
      </c>
      <c r="J15" s="14">
        <f>B14/B2*100</f>
        <v>0.71278825995807127</v>
      </c>
      <c r="K15" s="1">
        <v>0.71278825995807127</v>
      </c>
    </row>
    <row r="16" spans="1:11" x14ac:dyDescent="0.35">
      <c r="A16" s="1" t="s">
        <v>63</v>
      </c>
      <c r="I16" s="1" t="s">
        <v>64</v>
      </c>
      <c r="J16" s="14">
        <f>B46*100</f>
        <v>6</v>
      </c>
      <c r="K16" s="1">
        <v>6</v>
      </c>
    </row>
    <row r="17" spans="1:11" x14ac:dyDescent="0.35">
      <c r="B17" s="1" t="s">
        <v>65</v>
      </c>
      <c r="D17" s="1" t="s">
        <v>49</v>
      </c>
      <c r="F17" s="15"/>
      <c r="I17" s="1" t="s">
        <v>66</v>
      </c>
      <c r="J17" s="14">
        <f>B45*100</f>
        <v>30</v>
      </c>
      <c r="K17" s="1">
        <v>30</v>
      </c>
    </row>
    <row r="18" spans="1:11" x14ac:dyDescent="0.35">
      <c r="A18" s="7" t="s">
        <v>67</v>
      </c>
      <c r="B18" s="16">
        <v>9.9</v>
      </c>
      <c r="C18" s="1" t="s">
        <v>60</v>
      </c>
      <c r="D18" s="16">
        <v>5.9</v>
      </c>
      <c r="E18" s="1" t="s">
        <v>68</v>
      </c>
      <c r="F18" s="4"/>
      <c r="I18" s="1" t="s">
        <v>69</v>
      </c>
      <c r="J18" s="14">
        <f>B48</f>
        <v>26.060606060606059</v>
      </c>
      <c r="K18" s="1">
        <v>26.060606060606059</v>
      </c>
    </row>
    <row r="19" spans="1:11" x14ac:dyDescent="0.35">
      <c r="A19" s="7" t="s">
        <v>70</v>
      </c>
      <c r="B19" s="16">
        <v>12</v>
      </c>
      <c r="C19" s="1" t="s">
        <v>60</v>
      </c>
      <c r="D19" s="16">
        <v>6.85</v>
      </c>
      <c r="E19" s="1" t="s">
        <v>68</v>
      </c>
      <c r="F19" s="17"/>
      <c r="I19" s="1" t="s">
        <v>71</v>
      </c>
      <c r="J19" s="14">
        <f>B52</f>
        <v>304.13665039806347</v>
      </c>
      <c r="K19" s="1">
        <v>304.13665039806347</v>
      </c>
    </row>
    <row r="20" spans="1:11" x14ac:dyDescent="0.35">
      <c r="A20" s="7" t="s">
        <v>72</v>
      </c>
      <c r="B20" s="16">
        <v>12.11</v>
      </c>
      <c r="C20" s="1" t="s">
        <v>60</v>
      </c>
      <c r="D20" s="16">
        <v>7</v>
      </c>
      <c r="E20" s="1" t="s">
        <v>68</v>
      </c>
      <c r="F20" s="17"/>
      <c r="I20" s="1" t="s">
        <v>73</v>
      </c>
      <c r="J20" s="14">
        <f>B53</f>
        <v>373.71772908691935</v>
      </c>
      <c r="K20" s="1">
        <v>373.71772908691935</v>
      </c>
    </row>
    <row r="21" spans="1:11" x14ac:dyDescent="0.35">
      <c r="A21" s="7" t="s">
        <v>74</v>
      </c>
      <c r="B21" s="16">
        <v>12.5</v>
      </c>
      <c r="C21" s="1" t="s">
        <v>60</v>
      </c>
      <c r="D21" s="16">
        <v>7.1</v>
      </c>
      <c r="E21" s="1" t="s">
        <v>68</v>
      </c>
      <c r="F21" s="17"/>
    </row>
    <row r="22" spans="1:11" x14ac:dyDescent="0.35">
      <c r="A22" s="7" t="s">
        <v>75</v>
      </c>
      <c r="B22" s="16">
        <v>12.08</v>
      </c>
      <c r="C22" s="1" t="s">
        <v>60</v>
      </c>
      <c r="D22" s="16">
        <v>7.07</v>
      </c>
      <c r="E22" s="1" t="s">
        <v>68</v>
      </c>
      <c r="F22" s="17"/>
    </row>
    <row r="23" spans="1:11" x14ac:dyDescent="0.35">
      <c r="A23" s="7" t="s">
        <v>76</v>
      </c>
      <c r="B23" s="16">
        <v>13.32</v>
      </c>
      <c r="C23" s="1" t="s">
        <v>60</v>
      </c>
      <c r="D23" s="16">
        <v>7.46</v>
      </c>
      <c r="E23" s="1" t="s">
        <v>68</v>
      </c>
      <c r="F23" s="17"/>
    </row>
    <row r="24" spans="1:11" x14ac:dyDescent="0.35">
      <c r="A24" s="7" t="s">
        <v>77</v>
      </c>
      <c r="B24" s="16">
        <v>14.55</v>
      </c>
      <c r="C24" s="1" t="s">
        <v>60</v>
      </c>
      <c r="D24" s="16">
        <v>7.79</v>
      </c>
      <c r="E24" s="1" t="s">
        <v>68</v>
      </c>
      <c r="F24" s="17"/>
    </row>
    <row r="26" spans="1:11" x14ac:dyDescent="0.35">
      <c r="A26" s="7" t="s">
        <v>78</v>
      </c>
    </row>
    <row r="27" spans="1:11" x14ac:dyDescent="0.35">
      <c r="B27" s="2" t="s">
        <v>79</v>
      </c>
    </row>
    <row r="28" spans="1:11" x14ac:dyDescent="0.35">
      <c r="A28" s="7" t="s">
        <v>80</v>
      </c>
      <c r="B28" s="5">
        <v>2.4199999999999999E-2</v>
      </c>
    </row>
    <row r="29" spans="1:11" x14ac:dyDescent="0.35">
      <c r="A29" s="7" t="s">
        <v>81</v>
      </c>
      <c r="B29" s="5">
        <v>0.16619999999999999</v>
      </c>
    </row>
    <row r="30" spans="1:11" x14ac:dyDescent="0.35">
      <c r="A30" s="7" t="s">
        <v>82</v>
      </c>
      <c r="B30" s="5">
        <v>0.223</v>
      </c>
    </row>
    <row r="31" spans="1:11" x14ac:dyDescent="0.35">
      <c r="A31" s="7" t="s">
        <v>83</v>
      </c>
      <c r="B31" s="5">
        <v>0.1</v>
      </c>
    </row>
    <row r="32" spans="1:11" x14ac:dyDescent="0.35">
      <c r="B32" s="2"/>
    </row>
    <row r="33" spans="1:3" x14ac:dyDescent="0.35">
      <c r="A33" s="7" t="s">
        <v>84</v>
      </c>
      <c r="B33" s="2"/>
    </row>
    <row r="34" spans="1:3" x14ac:dyDescent="0.35">
      <c r="B34" s="2" t="s">
        <v>79</v>
      </c>
    </row>
    <row r="35" spans="1:3" x14ac:dyDescent="0.35">
      <c r="A35" s="7" t="s">
        <v>85</v>
      </c>
      <c r="B35" s="3">
        <f>B6/B12</f>
        <v>0.79515680825724488</v>
      </c>
      <c r="C35" s="1" t="s">
        <v>86</v>
      </c>
    </row>
    <row r="36" spans="1:3" x14ac:dyDescent="0.35">
      <c r="A36" s="7" t="s">
        <v>87</v>
      </c>
      <c r="B36" s="3">
        <f>B7/B11</f>
        <v>0.20147745487490418</v>
      </c>
      <c r="C36" s="1" t="s">
        <v>88</v>
      </c>
    </row>
    <row r="37" spans="1:3" x14ac:dyDescent="0.35">
      <c r="A37" s="7" t="s">
        <v>89</v>
      </c>
      <c r="B37" s="3">
        <f>(B45*B12+B13*[1]Assumptions!B3)/B11</f>
        <v>9.3295700048783875E-2</v>
      </c>
      <c r="C37" s="1" t="s">
        <v>90</v>
      </c>
    </row>
    <row r="38" spans="1:3" x14ac:dyDescent="0.35">
      <c r="A38" s="7" t="s">
        <v>91</v>
      </c>
      <c r="B38" s="3">
        <f>(B23-B22)/B23</f>
        <v>9.3093093093093104E-2</v>
      </c>
      <c r="C38" s="1" t="s">
        <v>92</v>
      </c>
    </row>
    <row r="39" spans="1:3" x14ac:dyDescent="0.35">
      <c r="A39" s="7" t="s">
        <v>93</v>
      </c>
      <c r="B39" s="27">
        <f>(B36-[1]Assumptions!$B$3)/B36/B38/[1]Assumptions!B5</f>
        <v>2.1426505927797073</v>
      </c>
      <c r="C39" s="1" t="s">
        <v>94</v>
      </c>
    </row>
    <row r="40" spans="1:3" x14ac:dyDescent="0.35">
      <c r="A40" s="7" t="s">
        <v>95</v>
      </c>
      <c r="B40" s="19">
        <f>Assumptions!D18</f>
        <v>0.1</v>
      </c>
    </row>
    <row r="41" spans="1:3" x14ac:dyDescent="0.35">
      <c r="A41" s="7" t="s">
        <v>96</v>
      </c>
      <c r="B41" s="20">
        <f>(D23/D18)^0.5-1</f>
        <v>0.12445843838757198</v>
      </c>
    </row>
    <row r="42" spans="1:3" x14ac:dyDescent="0.35">
      <c r="A42" s="7" t="s">
        <v>97</v>
      </c>
      <c r="B42" s="20">
        <f>(B35-B41)/B48</f>
        <v>2.5736100239185124E-2</v>
      </c>
    </row>
    <row r="43" spans="1:3" x14ac:dyDescent="0.35">
      <c r="A43" s="7" t="s">
        <v>99</v>
      </c>
      <c r="B43" s="22">
        <f>MEDIAN(B28:B31)</f>
        <v>0.1331</v>
      </c>
    </row>
    <row r="44" spans="1:3" x14ac:dyDescent="0.35">
      <c r="A44" s="7" t="s">
        <v>100</v>
      </c>
      <c r="B44" s="23">
        <f>SUM(B40:B43)/3</f>
        <v>0.12776484620891904</v>
      </c>
    </row>
    <row r="45" spans="1:3" x14ac:dyDescent="0.35">
      <c r="A45" s="7" t="s">
        <v>101</v>
      </c>
      <c r="B45" s="24">
        <v>0.3</v>
      </c>
      <c r="C45" s="1" t="s">
        <v>117</v>
      </c>
    </row>
    <row r="46" spans="1:3" x14ac:dyDescent="0.35">
      <c r="A46" s="7" t="s">
        <v>103</v>
      </c>
      <c r="B46" s="3">
        <f>Assumptions!E18</f>
        <v>0.06</v>
      </c>
    </row>
    <row r="47" spans="1:3" x14ac:dyDescent="0.35">
      <c r="A47" s="7" t="s">
        <v>104</v>
      </c>
      <c r="B47" s="25">
        <f>(B45-B46)/([1]Assumptions!B4-B46)/B45</f>
        <v>19.999999999999996</v>
      </c>
    </row>
    <row r="48" spans="1:3" x14ac:dyDescent="0.35">
      <c r="A48" s="7" t="s">
        <v>105</v>
      </c>
      <c r="B48" s="25">
        <f>(B2/B18+10+B47)/3</f>
        <v>26.060606060606059</v>
      </c>
    </row>
    <row r="50" spans="1:3" x14ac:dyDescent="0.35">
      <c r="A50" s="7" t="s">
        <v>106</v>
      </c>
    </row>
    <row r="51" spans="1:3" x14ac:dyDescent="0.35">
      <c r="B51" s="2" t="s">
        <v>79</v>
      </c>
      <c r="C51" s="2"/>
    </row>
    <row r="52" spans="1:3" x14ac:dyDescent="0.35">
      <c r="A52" s="7" t="s">
        <v>71</v>
      </c>
      <c r="B52" s="25">
        <f>(B22*2-B$23)*(1+B$44)^8*B$48/(1+[1]Assumptions!B$4-B$14/B$2)^10</f>
        <v>304.13665039806347</v>
      </c>
      <c r="C52" s="25"/>
    </row>
    <row r="53" spans="1:3" x14ac:dyDescent="0.35">
      <c r="A53" s="7" t="s">
        <v>107</v>
      </c>
      <c r="B53" s="25">
        <f>(B23*2-B$23)*(1+B$44)^8*B$48/(1+[1]Assumptions!B$4-B$14/B$2)^10</f>
        <v>373.71772908691935</v>
      </c>
      <c r="C53" s="25"/>
    </row>
    <row r="54" spans="1:3" x14ac:dyDescent="0.35">
      <c r="A54" s="7" t="s">
        <v>108</v>
      </c>
      <c r="B54" s="25">
        <f>(B24*2-B$23)*(1+B$44)^8*B$48/(1+[1]Assumptions!B$4-B$14/B$2)^10</f>
        <v>442.73767004441345</v>
      </c>
      <c r="C5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Assumptions</vt:lpstr>
      <vt:lpstr>CRM</vt:lpstr>
      <vt:lpstr>ADBE</vt:lpstr>
      <vt:lpstr>MSFT</vt:lpstr>
      <vt:lpstr>GOOG</vt:lpstr>
      <vt:lpstr>AMZN</vt:lpstr>
      <vt:lpstr>AAPL</vt:lpstr>
      <vt:lpstr>META</vt:lpstr>
      <vt:lpstr>MCO</vt:lpstr>
      <vt:lpstr>SPGI</vt:lpstr>
      <vt:lpstr>UBER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Zhang</dc:creator>
  <cp:lastModifiedBy>Yimin Zhang</cp:lastModifiedBy>
  <dcterms:created xsi:type="dcterms:W3CDTF">2015-06-05T18:17:20Z</dcterms:created>
  <dcterms:modified xsi:type="dcterms:W3CDTF">2024-11-13T09:07:41Z</dcterms:modified>
</cp:coreProperties>
</file>