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Y:\Documents\Personal\"/>
    </mc:Choice>
  </mc:AlternateContent>
  <xr:revisionPtr revIDLastSave="0" documentId="13_ncr:1_{F311DAF6-B114-4D31-84DA-C17B9C45B02D}" xr6:coauthVersionLast="47" xr6:coauthVersionMax="47" xr10:uidLastSave="{00000000-0000-0000-0000-000000000000}"/>
  <bookViews>
    <workbookView xWindow="19095" yWindow="0" windowWidth="19410" windowHeight="20985" firstSheet="6" activeTab="13" xr2:uid="{00000000-000D-0000-FFFF-FFFF00000000}"/>
  </bookViews>
  <sheets>
    <sheet name="2012" sheetId="1" r:id="rId1"/>
    <sheet name="2013" sheetId="2" r:id="rId2"/>
    <sheet name="2014" sheetId="3" r:id="rId3"/>
    <sheet name="2015" sheetId="5" r:id="rId4"/>
    <sheet name="2016" sheetId="6" r:id="rId5"/>
    <sheet name="2017" sheetId="7" r:id="rId6"/>
    <sheet name="2018" sheetId="8" r:id="rId7"/>
    <sheet name="2019" sheetId="9" r:id="rId8"/>
    <sheet name="2020" sheetId="10" r:id="rId9"/>
    <sheet name="2021" sheetId="11" r:id="rId10"/>
    <sheet name="2022" sheetId="12" r:id="rId11"/>
    <sheet name="2023" sheetId="13" r:id="rId12"/>
    <sheet name="2024" sheetId="14" r:id="rId13"/>
    <sheet name="2025" sheetId="15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15" l="1"/>
  <c r="J36" i="15"/>
  <c r="J61" i="15"/>
  <c r="J50" i="15"/>
  <c r="J63" i="15"/>
  <c r="I36" i="15"/>
  <c r="I67" i="15"/>
  <c r="I61" i="15"/>
  <c r="H14" i="15"/>
  <c r="H19" i="15"/>
  <c r="H36" i="15"/>
  <c r="H67" i="15"/>
  <c r="H65" i="15"/>
  <c r="H61" i="15"/>
  <c r="H50" i="15"/>
  <c r="H63" i="15"/>
  <c r="G36" i="15"/>
  <c r="G26" i="15"/>
  <c r="G69" i="15"/>
  <c r="G67" i="15"/>
  <c r="G65" i="15"/>
  <c r="G61" i="15"/>
  <c r="G50" i="15"/>
  <c r="G63" i="15"/>
  <c r="F36" i="15"/>
  <c r="F65" i="15"/>
  <c r="F67" i="15"/>
  <c r="F61" i="15"/>
  <c r="E36" i="15"/>
  <c r="E61" i="15"/>
  <c r="E67" i="15"/>
  <c r="E50" i="15"/>
  <c r="E63" i="15"/>
  <c r="D36" i="15"/>
  <c r="D50" i="15"/>
  <c r="E70" i="15"/>
  <c r="F70" i="15"/>
  <c r="G70" i="15"/>
  <c r="H70" i="15"/>
  <c r="I70" i="15"/>
  <c r="J70" i="15"/>
  <c r="K70" i="15"/>
  <c r="L70" i="15"/>
  <c r="M70" i="15"/>
  <c r="N70" i="15"/>
  <c r="O70" i="15"/>
  <c r="D70" i="15"/>
  <c r="D67" i="15"/>
  <c r="D61" i="15"/>
  <c r="D63" i="15"/>
  <c r="P69" i="15"/>
  <c r="O67" i="15"/>
  <c r="N67" i="15"/>
  <c r="M67" i="15"/>
  <c r="L67" i="15"/>
  <c r="K67" i="15"/>
  <c r="N65" i="15"/>
  <c r="K65" i="15"/>
  <c r="K52" i="15" s="1"/>
  <c r="O63" i="15"/>
  <c r="O50" i="15" s="1"/>
  <c r="O61" i="15"/>
  <c r="O36" i="15" s="1"/>
  <c r="N61" i="15"/>
  <c r="M61" i="15"/>
  <c r="L61" i="15"/>
  <c r="K61" i="15"/>
  <c r="P59" i="15"/>
  <c r="P56" i="15"/>
  <c r="P54" i="15"/>
  <c r="K50" i="15"/>
  <c r="P50" i="15"/>
  <c r="P48" i="15"/>
  <c r="P46" i="15"/>
  <c r="P44" i="15"/>
  <c r="P42" i="15"/>
  <c r="P40" i="15"/>
  <c r="P38" i="15"/>
  <c r="M36" i="15"/>
  <c r="L36" i="15"/>
  <c r="K36" i="15"/>
  <c r="H57" i="15"/>
  <c r="O34" i="15"/>
  <c r="P34" i="15" s="1"/>
  <c r="P30" i="15"/>
  <c r="P28" i="15"/>
  <c r="P26" i="15"/>
  <c r="O24" i="15"/>
  <c r="N24" i="15"/>
  <c r="M24" i="15"/>
  <c r="L24" i="15"/>
  <c r="K24" i="15"/>
  <c r="J24" i="15"/>
  <c r="I24" i="15"/>
  <c r="H24" i="15"/>
  <c r="G24" i="15"/>
  <c r="F24" i="15"/>
  <c r="E24" i="15"/>
  <c r="P23" i="15"/>
  <c r="P24" i="15" s="1"/>
  <c r="P21" i="15"/>
  <c r="D24" i="15"/>
  <c r="O19" i="15"/>
  <c r="N19" i="15"/>
  <c r="M19" i="15"/>
  <c r="L19" i="15"/>
  <c r="K19" i="15"/>
  <c r="J19" i="15"/>
  <c r="I19" i="15"/>
  <c r="G19" i="15"/>
  <c r="F19" i="15"/>
  <c r="E19" i="15"/>
  <c r="D19" i="15"/>
  <c r="P18" i="15"/>
  <c r="P16" i="15"/>
  <c r="P14" i="15"/>
  <c r="P12" i="15"/>
  <c r="P10" i="15"/>
  <c r="P8" i="15"/>
  <c r="P6" i="15"/>
  <c r="P4" i="15"/>
  <c r="O50" i="14"/>
  <c r="O65" i="14"/>
  <c r="O36" i="14"/>
  <c r="O63" i="14"/>
  <c r="O69" i="14"/>
  <c r="N36" i="14"/>
  <c r="N69" i="14"/>
  <c r="N67" i="14"/>
  <c r="N63" i="14"/>
  <c r="M52" i="14"/>
  <c r="M36" i="14"/>
  <c r="M57" i="14" s="1"/>
  <c r="M63" i="14"/>
  <c r="M69" i="14"/>
  <c r="L52" i="14"/>
  <c r="L63" i="14"/>
  <c r="L69" i="14"/>
  <c r="L36" i="14"/>
  <c r="K72" i="14"/>
  <c r="K69" i="14"/>
  <c r="K52" i="14"/>
  <c r="K57" i="14" s="1"/>
  <c r="K36" i="14"/>
  <c r="K63" i="14"/>
  <c r="E57" i="14"/>
  <c r="F57" i="14"/>
  <c r="G57" i="14"/>
  <c r="H57" i="14"/>
  <c r="I57" i="14"/>
  <c r="J57" i="14"/>
  <c r="N57" i="14"/>
  <c r="D57" i="14"/>
  <c r="K67" i="14"/>
  <c r="K50" i="14"/>
  <c r="J69" i="14"/>
  <c r="J36" i="14" s="1"/>
  <c r="J63" i="14"/>
  <c r="J50" i="14"/>
  <c r="J65" i="14"/>
  <c r="J72" i="14" s="1"/>
  <c r="J32" i="14"/>
  <c r="J48" i="14"/>
  <c r="I69" i="14"/>
  <c r="I63" i="14"/>
  <c r="I72" i="14" s="1"/>
  <c r="I67" i="14"/>
  <c r="I36" i="14" s="1"/>
  <c r="H63" i="14"/>
  <c r="H36" i="14" s="1"/>
  <c r="H69" i="14"/>
  <c r="G63" i="14"/>
  <c r="G36" i="14" s="1"/>
  <c r="G69" i="14"/>
  <c r="G50" i="14"/>
  <c r="G65" i="14"/>
  <c r="F40" i="14"/>
  <c r="F63" i="14"/>
  <c r="F36" i="14" s="1"/>
  <c r="F69" i="14"/>
  <c r="P69" i="14" s="1"/>
  <c r="P40" i="14"/>
  <c r="F65" i="14"/>
  <c r="F48" i="14" s="1"/>
  <c r="X19" i="13"/>
  <c r="R19" i="13"/>
  <c r="F71" i="14"/>
  <c r="E26" i="14"/>
  <c r="E36" i="14"/>
  <c r="E63" i="14"/>
  <c r="E69" i="14"/>
  <c r="G72" i="14"/>
  <c r="O72" i="14"/>
  <c r="D67" i="14"/>
  <c r="D63" i="14"/>
  <c r="D69" i="14"/>
  <c r="D50" i="14"/>
  <c r="D65" i="14"/>
  <c r="P65" i="14" s="1"/>
  <c r="D48" i="14"/>
  <c r="D21" i="14"/>
  <c r="P21" i="14" s="1"/>
  <c r="P71" i="14"/>
  <c r="P67" i="14"/>
  <c r="F72" i="14"/>
  <c r="P61" i="14"/>
  <c r="P59" i="14"/>
  <c r="P56" i="14"/>
  <c r="P54" i="14"/>
  <c r="P46" i="14"/>
  <c r="P44" i="14"/>
  <c r="P42" i="14"/>
  <c r="P38" i="14"/>
  <c r="O34" i="14"/>
  <c r="P32" i="14"/>
  <c r="P30" i="14"/>
  <c r="P28" i="14"/>
  <c r="P26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P23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P18" i="14"/>
  <c r="P16" i="14"/>
  <c r="P14" i="14"/>
  <c r="P12" i="14"/>
  <c r="P10" i="14"/>
  <c r="P8" i="14"/>
  <c r="P6" i="14"/>
  <c r="P4" i="14"/>
  <c r="O65" i="13"/>
  <c r="O36" i="13"/>
  <c r="O50" i="13"/>
  <c r="O63" i="13"/>
  <c r="O61" i="13"/>
  <c r="O69" i="13"/>
  <c r="O67" i="13"/>
  <c r="O44" i="13"/>
  <c r="O48" i="13"/>
  <c r="O34" i="13"/>
  <c r="N36" i="13"/>
  <c r="N61" i="13"/>
  <c r="N67" i="13"/>
  <c r="N44" i="13"/>
  <c r="N50" i="13"/>
  <c r="N63" i="13"/>
  <c r="M67" i="13"/>
  <c r="M36" i="13"/>
  <c r="M65" i="13"/>
  <c r="M61" i="13"/>
  <c r="L72" i="13"/>
  <c r="K72" i="13"/>
  <c r="J72" i="13"/>
  <c r="I72" i="13"/>
  <c r="H72" i="13"/>
  <c r="G72" i="13"/>
  <c r="F72" i="13"/>
  <c r="E72" i="13"/>
  <c r="D72" i="13"/>
  <c r="L71" i="13"/>
  <c r="K71" i="13"/>
  <c r="J71" i="13"/>
  <c r="I71" i="13"/>
  <c r="H71" i="13"/>
  <c r="G71" i="13"/>
  <c r="F71" i="13"/>
  <c r="E71" i="13"/>
  <c r="D71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P69" i="13"/>
  <c r="P67" i="13"/>
  <c r="L67" i="13"/>
  <c r="G67" i="13"/>
  <c r="P65" i="13"/>
  <c r="L65" i="13"/>
  <c r="F65" i="13"/>
  <c r="E65" i="13"/>
  <c r="D65" i="13"/>
  <c r="P63" i="13"/>
  <c r="L63" i="13"/>
  <c r="K63" i="13"/>
  <c r="J63" i="13"/>
  <c r="I63" i="13"/>
  <c r="G63" i="13"/>
  <c r="F63" i="13"/>
  <c r="D63" i="13"/>
  <c r="P61" i="13"/>
  <c r="L61" i="13"/>
  <c r="K61" i="13"/>
  <c r="J61" i="13"/>
  <c r="I61" i="13"/>
  <c r="H61" i="13"/>
  <c r="G61" i="13"/>
  <c r="F61" i="13"/>
  <c r="E61" i="13"/>
  <c r="D61" i="13"/>
  <c r="P59" i="13"/>
  <c r="P57" i="13"/>
  <c r="N55" i="13"/>
  <c r="L55" i="13"/>
  <c r="K55" i="13"/>
  <c r="J55" i="13"/>
  <c r="I55" i="13"/>
  <c r="H55" i="13"/>
  <c r="G55" i="13"/>
  <c r="F55" i="13"/>
  <c r="E55" i="13"/>
  <c r="D55" i="13"/>
  <c r="P54" i="13"/>
  <c r="P52" i="13"/>
  <c r="H52" i="13"/>
  <c r="P50" i="13"/>
  <c r="L50" i="13"/>
  <c r="K50" i="13"/>
  <c r="I50" i="13"/>
  <c r="H50" i="13"/>
  <c r="P48" i="13"/>
  <c r="L48" i="13"/>
  <c r="J48" i="13"/>
  <c r="G48" i="13"/>
  <c r="F48" i="13"/>
  <c r="E48" i="13"/>
  <c r="D48" i="13"/>
  <c r="P46" i="13"/>
  <c r="P44" i="13"/>
  <c r="P42" i="13"/>
  <c r="P40" i="13"/>
  <c r="P38" i="13"/>
  <c r="L36" i="13"/>
  <c r="K36" i="13"/>
  <c r="J36" i="13"/>
  <c r="I36" i="13"/>
  <c r="H36" i="13"/>
  <c r="G36" i="13"/>
  <c r="F36" i="13"/>
  <c r="E36" i="13"/>
  <c r="D36" i="13"/>
  <c r="P34" i="13"/>
  <c r="P32" i="13"/>
  <c r="P30" i="13"/>
  <c r="P28" i="13"/>
  <c r="P26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P23" i="13"/>
  <c r="P24" i="13" s="1"/>
  <c r="P21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P18" i="13"/>
  <c r="P16" i="13"/>
  <c r="P14" i="13"/>
  <c r="P12" i="13"/>
  <c r="P10" i="13"/>
  <c r="P8" i="13"/>
  <c r="P6" i="13"/>
  <c r="P4" i="13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P67" i="12"/>
  <c r="M67" i="12"/>
  <c r="P65" i="12"/>
  <c r="K65" i="12"/>
  <c r="J65" i="12"/>
  <c r="P63" i="12"/>
  <c r="J63" i="12"/>
  <c r="I63" i="12"/>
  <c r="E63" i="12"/>
  <c r="P61" i="12"/>
  <c r="O61" i="12"/>
  <c r="N61" i="12"/>
  <c r="K61" i="12"/>
  <c r="J61" i="12"/>
  <c r="I61" i="12"/>
  <c r="G61" i="12"/>
  <c r="F61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P57" i="12"/>
  <c r="P55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P52" i="12"/>
  <c r="P50" i="12"/>
  <c r="P48" i="12"/>
  <c r="O48" i="12"/>
  <c r="N48" i="12"/>
  <c r="K48" i="12"/>
  <c r="J48" i="12"/>
  <c r="P46" i="12"/>
  <c r="P44" i="12"/>
  <c r="H44" i="12"/>
  <c r="P42" i="12"/>
  <c r="P40" i="12"/>
  <c r="P38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P34" i="12"/>
  <c r="P32" i="12"/>
  <c r="P30" i="12"/>
  <c r="P28" i="12"/>
  <c r="P26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P23" i="12"/>
  <c r="P21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P18" i="12"/>
  <c r="P16" i="12"/>
  <c r="P14" i="12"/>
  <c r="P12" i="12"/>
  <c r="P10" i="12"/>
  <c r="P8" i="12"/>
  <c r="P6" i="12"/>
  <c r="P4" i="12"/>
  <c r="R2" i="12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P67" i="11"/>
  <c r="P65" i="11"/>
  <c r="K65" i="11"/>
  <c r="J65" i="11"/>
  <c r="I65" i="11"/>
  <c r="H65" i="11"/>
  <c r="P63" i="11"/>
  <c r="K63" i="11"/>
  <c r="G63" i="11"/>
  <c r="E63" i="11"/>
  <c r="P61" i="11"/>
  <c r="P59" i="11"/>
  <c r="L59" i="11"/>
  <c r="K59" i="11"/>
  <c r="J59" i="11"/>
  <c r="I59" i="11"/>
  <c r="H59" i="11"/>
  <c r="P57" i="11"/>
  <c r="G57" i="11"/>
  <c r="P55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P52" i="11"/>
  <c r="P50" i="11"/>
  <c r="P48" i="11"/>
  <c r="I48" i="11"/>
  <c r="H48" i="11"/>
  <c r="G48" i="11"/>
  <c r="P46" i="11"/>
  <c r="P44" i="11"/>
  <c r="N44" i="11"/>
  <c r="P42" i="11"/>
  <c r="P40" i="11"/>
  <c r="P38" i="11"/>
  <c r="P36" i="11"/>
  <c r="O36" i="11"/>
  <c r="N36" i="11"/>
  <c r="M36" i="11"/>
  <c r="L36" i="11"/>
  <c r="K36" i="11"/>
  <c r="J36" i="11"/>
  <c r="I36" i="11"/>
  <c r="G36" i="11"/>
  <c r="F36" i="11"/>
  <c r="E36" i="11"/>
  <c r="D36" i="11"/>
  <c r="P34" i="11"/>
  <c r="P32" i="11"/>
  <c r="P30" i="11"/>
  <c r="P28" i="11"/>
  <c r="P26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P23" i="11"/>
  <c r="E23" i="11"/>
  <c r="P21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P18" i="11"/>
  <c r="P16" i="11"/>
  <c r="P14" i="11"/>
  <c r="P12" i="11"/>
  <c r="P10" i="11"/>
  <c r="P8" i="11"/>
  <c r="P6" i="11"/>
  <c r="P4" i="11"/>
  <c r="R2" i="11"/>
  <c r="P69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P65" i="10"/>
  <c r="J65" i="10"/>
  <c r="P63" i="10"/>
  <c r="H63" i="10"/>
  <c r="F63" i="10"/>
  <c r="E63" i="10"/>
  <c r="D63" i="10"/>
  <c r="P61" i="10"/>
  <c r="E61" i="10"/>
  <c r="D61" i="10"/>
  <c r="P59" i="10"/>
  <c r="P57" i="10"/>
  <c r="E57" i="10"/>
  <c r="P55" i="10"/>
  <c r="P53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P50" i="10"/>
  <c r="P46" i="10"/>
  <c r="P44" i="10"/>
  <c r="D44" i="10"/>
  <c r="P42" i="10"/>
  <c r="P40" i="10"/>
  <c r="P38" i="10"/>
  <c r="P36" i="10"/>
  <c r="O36" i="10"/>
  <c r="N36" i="10"/>
  <c r="M36" i="10"/>
  <c r="L36" i="10"/>
  <c r="K36" i="10"/>
  <c r="J36" i="10"/>
  <c r="I36" i="10"/>
  <c r="H36" i="10"/>
  <c r="G36" i="10"/>
  <c r="E36" i="10"/>
  <c r="D36" i="10"/>
  <c r="P34" i="10"/>
  <c r="P32" i="10"/>
  <c r="P28" i="10"/>
  <c r="O28" i="10"/>
  <c r="I28" i="10"/>
  <c r="E28" i="10"/>
  <c r="P26" i="10"/>
  <c r="N26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P23" i="10"/>
  <c r="P21" i="10"/>
  <c r="K21" i="10"/>
  <c r="J21" i="10"/>
  <c r="I21" i="10"/>
  <c r="H21" i="10"/>
  <c r="F21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P18" i="10"/>
  <c r="P16" i="10"/>
  <c r="P14" i="10"/>
  <c r="P12" i="10"/>
  <c r="P10" i="10"/>
  <c r="P8" i="10"/>
  <c r="P6" i="10"/>
  <c r="P4" i="10"/>
  <c r="P69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P65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P61" i="9"/>
  <c r="E61" i="9"/>
  <c r="D61" i="9"/>
  <c r="P59" i="9"/>
  <c r="J59" i="9"/>
  <c r="I59" i="9"/>
  <c r="H59" i="9"/>
  <c r="P57" i="9"/>
  <c r="P55" i="9"/>
  <c r="P53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P50" i="9"/>
  <c r="P48" i="9"/>
  <c r="P46" i="9"/>
  <c r="P44" i="9"/>
  <c r="D44" i="9"/>
  <c r="P42" i="9"/>
  <c r="P40" i="9"/>
  <c r="P38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P34" i="9"/>
  <c r="K34" i="9"/>
  <c r="J34" i="9"/>
  <c r="I34" i="9"/>
  <c r="H34" i="9"/>
  <c r="G34" i="9"/>
  <c r="P32" i="9"/>
  <c r="P30" i="9"/>
  <c r="P28" i="9"/>
  <c r="L28" i="9"/>
  <c r="J28" i="9"/>
  <c r="E28" i="9"/>
  <c r="P26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P23" i="9"/>
  <c r="P21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P18" i="9"/>
  <c r="P16" i="9"/>
  <c r="P14" i="9"/>
  <c r="P12" i="9"/>
  <c r="P10" i="9"/>
  <c r="D10" i="9"/>
  <c r="P8" i="9"/>
  <c r="P6" i="9"/>
  <c r="D6" i="9"/>
  <c r="P4" i="9"/>
  <c r="P69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P65" i="8"/>
  <c r="P63" i="8"/>
  <c r="N63" i="8"/>
  <c r="M63" i="8"/>
  <c r="L63" i="8"/>
  <c r="I63" i="8"/>
  <c r="H63" i="8"/>
  <c r="G63" i="8"/>
  <c r="F63" i="8"/>
  <c r="E63" i="8"/>
  <c r="P61" i="8"/>
  <c r="I61" i="8"/>
  <c r="G61" i="8"/>
  <c r="P59" i="8"/>
  <c r="P57" i="8"/>
  <c r="P55" i="8"/>
  <c r="P53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P50" i="8"/>
  <c r="P48" i="8"/>
  <c r="P46" i="8"/>
  <c r="P44" i="8"/>
  <c r="O44" i="8"/>
  <c r="N44" i="8"/>
  <c r="G44" i="8"/>
  <c r="F44" i="8"/>
  <c r="E44" i="8"/>
  <c r="D44" i="8"/>
  <c r="P42" i="8"/>
  <c r="P40" i="8"/>
  <c r="P38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P34" i="8"/>
  <c r="P32" i="8"/>
  <c r="P30" i="8"/>
  <c r="P28" i="8"/>
  <c r="K28" i="8"/>
  <c r="P26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P23" i="8"/>
  <c r="P21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P18" i="8"/>
  <c r="O18" i="8"/>
  <c r="P16" i="8"/>
  <c r="P14" i="8"/>
  <c r="P12" i="8"/>
  <c r="P10" i="8"/>
  <c r="P8" i="8"/>
  <c r="O8" i="8"/>
  <c r="P6" i="8"/>
  <c r="P4" i="8"/>
  <c r="O4" i="8"/>
  <c r="P67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P63" i="7"/>
  <c r="P61" i="7"/>
  <c r="O61" i="7"/>
  <c r="M61" i="7"/>
  <c r="L61" i="7"/>
  <c r="I61" i="7"/>
  <c r="P59" i="7"/>
  <c r="K59" i="7"/>
  <c r="H59" i="7"/>
  <c r="G59" i="7"/>
  <c r="F59" i="7"/>
  <c r="P57" i="7"/>
  <c r="P55" i="7"/>
  <c r="P53" i="7"/>
  <c r="D53" i="7"/>
  <c r="P51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P48" i="7"/>
  <c r="P44" i="7"/>
  <c r="O44" i="7"/>
  <c r="N44" i="7"/>
  <c r="M44" i="7"/>
  <c r="L44" i="7"/>
  <c r="K44" i="7"/>
  <c r="J44" i="7"/>
  <c r="F44" i="7"/>
  <c r="E44" i="7"/>
  <c r="D44" i="7"/>
  <c r="P42" i="7"/>
  <c r="P40" i="7"/>
  <c r="P38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P34" i="7"/>
  <c r="J34" i="7"/>
  <c r="I34" i="7"/>
  <c r="H34" i="7"/>
  <c r="P32" i="7"/>
  <c r="P30" i="7"/>
  <c r="P28" i="7"/>
  <c r="J28" i="7"/>
  <c r="P26" i="7"/>
  <c r="J26" i="7"/>
  <c r="D26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P23" i="7"/>
  <c r="P21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P18" i="7"/>
  <c r="P16" i="7"/>
  <c r="P14" i="7"/>
  <c r="P12" i="7"/>
  <c r="P10" i="7"/>
  <c r="P8" i="7"/>
  <c r="P6" i="7"/>
  <c r="P4" i="7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P61" i="6"/>
  <c r="N61" i="6"/>
  <c r="P59" i="6"/>
  <c r="O59" i="6"/>
  <c r="L59" i="6"/>
  <c r="J59" i="6"/>
  <c r="I59" i="6"/>
  <c r="P57" i="6"/>
  <c r="P55" i="6"/>
  <c r="P53" i="6"/>
  <c r="P51" i="6"/>
  <c r="D51" i="6"/>
  <c r="P49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P46" i="6"/>
  <c r="H46" i="6"/>
  <c r="G46" i="6"/>
  <c r="P44" i="6"/>
  <c r="O44" i="6"/>
  <c r="M44" i="6"/>
  <c r="L44" i="6"/>
  <c r="I44" i="6"/>
  <c r="H44" i="6"/>
  <c r="G44" i="6"/>
  <c r="E44" i="6"/>
  <c r="D44" i="6"/>
  <c r="P42" i="6"/>
  <c r="P40" i="6"/>
  <c r="G40" i="6"/>
  <c r="E40" i="6"/>
  <c r="P38" i="6"/>
  <c r="P36" i="6"/>
  <c r="O36" i="6"/>
  <c r="N36" i="6"/>
  <c r="M36" i="6"/>
  <c r="L36" i="6"/>
  <c r="P34" i="6"/>
  <c r="N34" i="6"/>
  <c r="K34" i="6"/>
  <c r="P32" i="6"/>
  <c r="J32" i="6"/>
  <c r="I32" i="6"/>
  <c r="H32" i="6"/>
  <c r="G32" i="6"/>
  <c r="F32" i="6"/>
  <c r="E32" i="6"/>
  <c r="D32" i="6"/>
  <c r="P30" i="6"/>
  <c r="M30" i="6"/>
  <c r="P28" i="6"/>
  <c r="P26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P23" i="6"/>
  <c r="H23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P18" i="6"/>
  <c r="P16" i="6"/>
  <c r="P14" i="6"/>
  <c r="P12" i="6"/>
  <c r="P10" i="6"/>
  <c r="P8" i="6"/>
  <c r="P6" i="6"/>
  <c r="P4" i="6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D56" i="5"/>
  <c r="P55" i="5"/>
  <c r="P53" i="5"/>
  <c r="P51" i="5"/>
  <c r="P49" i="5"/>
  <c r="P47" i="5"/>
  <c r="P45" i="5"/>
  <c r="D43" i="5"/>
  <c r="Q42" i="5"/>
  <c r="P42" i="5"/>
  <c r="D42" i="5"/>
  <c r="Q40" i="5"/>
  <c r="P40" i="5"/>
  <c r="N40" i="5"/>
  <c r="M40" i="5"/>
  <c r="L40" i="5"/>
  <c r="K40" i="5"/>
  <c r="I40" i="5"/>
  <c r="H40" i="5"/>
  <c r="G40" i="5"/>
  <c r="Q38" i="5"/>
  <c r="P38" i="5"/>
  <c r="Q36" i="5"/>
  <c r="P36" i="5"/>
  <c r="Q34" i="5"/>
  <c r="P34" i="5"/>
  <c r="G34" i="5"/>
  <c r="Q32" i="5"/>
  <c r="P32" i="5"/>
  <c r="O32" i="5"/>
  <c r="N32" i="5"/>
  <c r="M32" i="5"/>
  <c r="K32" i="5"/>
  <c r="J32" i="5"/>
  <c r="I32" i="5"/>
  <c r="G32" i="5"/>
  <c r="F32" i="5"/>
  <c r="E32" i="5"/>
  <c r="D32" i="5"/>
  <c r="Q30" i="5"/>
  <c r="P30" i="5"/>
  <c r="Q28" i="5"/>
  <c r="P28" i="5"/>
  <c r="N28" i="5"/>
  <c r="F28" i="5"/>
  <c r="R27" i="5"/>
  <c r="Q26" i="5"/>
  <c r="P26" i="5"/>
  <c r="O26" i="5"/>
  <c r="D24" i="5"/>
  <c r="P23" i="5"/>
  <c r="P21" i="5"/>
  <c r="O21" i="5"/>
  <c r="N21" i="5"/>
  <c r="M21" i="5"/>
  <c r="L21" i="5"/>
  <c r="K21" i="5"/>
  <c r="J21" i="5"/>
  <c r="I21" i="5"/>
  <c r="H21" i="5"/>
  <c r="D19" i="5"/>
  <c r="P18" i="5"/>
  <c r="P16" i="5"/>
  <c r="N16" i="5"/>
  <c r="P14" i="5"/>
  <c r="P12" i="5"/>
  <c r="P10" i="5"/>
  <c r="P8" i="5"/>
  <c r="P6" i="5"/>
  <c r="P4" i="5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P42" i="3"/>
  <c r="O42" i="3"/>
  <c r="N42" i="3"/>
  <c r="M42" i="3"/>
  <c r="L42" i="3"/>
  <c r="K42" i="3"/>
  <c r="J42" i="3"/>
  <c r="I42" i="3"/>
  <c r="H42" i="3"/>
  <c r="G42" i="3"/>
  <c r="F42" i="3"/>
  <c r="P40" i="3"/>
  <c r="T39" i="3"/>
  <c r="P38" i="3"/>
  <c r="P36" i="3"/>
  <c r="E36" i="3"/>
  <c r="T35" i="3"/>
  <c r="T34" i="3"/>
  <c r="P34" i="3"/>
  <c r="T32" i="3"/>
  <c r="P32" i="3"/>
  <c r="N32" i="3"/>
  <c r="I32" i="3"/>
  <c r="T31" i="3"/>
  <c r="T30" i="3"/>
  <c r="P30" i="3"/>
  <c r="O30" i="3"/>
  <c r="M30" i="3"/>
  <c r="L30" i="3"/>
  <c r="P28" i="3"/>
  <c r="K28" i="3"/>
  <c r="J28" i="3"/>
  <c r="F28" i="3"/>
  <c r="D28" i="3"/>
  <c r="P26" i="3"/>
  <c r="P24" i="3"/>
  <c r="P22" i="3"/>
  <c r="P20" i="3"/>
  <c r="P18" i="3"/>
  <c r="P16" i="3"/>
  <c r="P14" i="3"/>
  <c r="P12" i="3"/>
  <c r="P10" i="3"/>
  <c r="P8" i="3"/>
  <c r="P6" i="3"/>
  <c r="P4" i="3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P38" i="2"/>
  <c r="P36" i="2"/>
  <c r="P34" i="2"/>
  <c r="P32" i="2"/>
  <c r="P30" i="2"/>
  <c r="M30" i="2"/>
  <c r="P28" i="2"/>
  <c r="O28" i="2"/>
  <c r="P26" i="2"/>
  <c r="P24" i="2"/>
  <c r="P22" i="2"/>
  <c r="P20" i="2"/>
  <c r="N20" i="2"/>
  <c r="M20" i="2"/>
  <c r="L20" i="2"/>
  <c r="K20" i="2"/>
  <c r="J20" i="2"/>
  <c r="I20" i="2"/>
  <c r="P18" i="2"/>
  <c r="P16" i="2"/>
  <c r="P14" i="2"/>
  <c r="P12" i="2"/>
  <c r="P10" i="2"/>
  <c r="P8" i="2"/>
  <c r="P6" i="2"/>
  <c r="P4" i="2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O18" i="1"/>
  <c r="O16" i="1"/>
  <c r="O14" i="1"/>
  <c r="O12" i="1"/>
  <c r="O10" i="1"/>
  <c r="O8" i="1"/>
  <c r="K8" i="1"/>
  <c r="J8" i="1"/>
  <c r="O6" i="1"/>
  <c r="O4" i="1"/>
  <c r="I4" i="1"/>
  <c r="G57" i="15" l="1"/>
  <c r="G71" i="15" s="1"/>
  <c r="G72" i="15" s="1"/>
  <c r="H71" i="15"/>
  <c r="H72" i="15" s="1"/>
  <c r="K57" i="15"/>
  <c r="M52" i="15"/>
  <c r="L52" i="15"/>
  <c r="L57" i="15" s="1"/>
  <c r="L71" i="15" s="1"/>
  <c r="L72" i="15" s="1"/>
  <c r="M57" i="15"/>
  <c r="M71" i="15" s="1"/>
  <c r="M72" i="15" s="1"/>
  <c r="P19" i="15"/>
  <c r="P61" i="15"/>
  <c r="N36" i="15"/>
  <c r="N57" i="15" s="1"/>
  <c r="N71" i="15" s="1"/>
  <c r="N72" i="15" s="1"/>
  <c r="P52" i="15"/>
  <c r="P67" i="15"/>
  <c r="E57" i="15"/>
  <c r="E71" i="15" s="1"/>
  <c r="E72" i="15" s="1"/>
  <c r="J57" i="15"/>
  <c r="J71" i="15" s="1"/>
  <c r="J72" i="15" s="1"/>
  <c r="P32" i="15"/>
  <c r="K71" i="15"/>
  <c r="K72" i="15" s="1"/>
  <c r="F57" i="15"/>
  <c r="F71" i="15" s="1"/>
  <c r="F72" i="15" s="1"/>
  <c r="P63" i="15"/>
  <c r="I57" i="15"/>
  <c r="I71" i="15" s="1"/>
  <c r="I72" i="15" s="1"/>
  <c r="P65" i="15"/>
  <c r="O57" i="15"/>
  <c r="O71" i="15" s="1"/>
  <c r="O72" i="15" s="1"/>
  <c r="P52" i="14"/>
  <c r="H72" i="14"/>
  <c r="O57" i="14"/>
  <c r="O73" i="14" s="1"/>
  <c r="O74" i="14" s="1"/>
  <c r="N72" i="14"/>
  <c r="L57" i="14"/>
  <c r="M72" i="14"/>
  <c r="M73" i="14" s="1"/>
  <c r="M74" i="14" s="1"/>
  <c r="D36" i="14"/>
  <c r="L72" i="14"/>
  <c r="J73" i="14"/>
  <c r="J74" i="14" s="1"/>
  <c r="P24" i="14"/>
  <c r="F73" i="14"/>
  <c r="F74" i="14" s="1"/>
  <c r="G73" i="14"/>
  <c r="G74" i="14" s="1"/>
  <c r="P63" i="14"/>
  <c r="P72" i="14" s="1"/>
  <c r="P19" i="14"/>
  <c r="K73" i="14"/>
  <c r="K74" i="14" s="1"/>
  <c r="P48" i="14"/>
  <c r="D72" i="14"/>
  <c r="H73" i="14"/>
  <c r="H74" i="14" s="1"/>
  <c r="E72" i="14"/>
  <c r="E73" i="14" s="1"/>
  <c r="E74" i="14" s="1"/>
  <c r="I73" i="14"/>
  <c r="I74" i="14" s="1"/>
  <c r="P34" i="14"/>
  <c r="O55" i="13"/>
  <c r="O71" i="13" s="1"/>
  <c r="O72" i="13" s="1"/>
  <c r="P36" i="13"/>
  <c r="P55" i="13" s="1"/>
  <c r="N71" i="13"/>
  <c r="N72" i="13" s="1"/>
  <c r="P70" i="13"/>
  <c r="M55" i="13"/>
  <c r="M71" i="13" s="1"/>
  <c r="M72" i="13" s="1"/>
  <c r="P19" i="13"/>
  <c r="P70" i="15" l="1"/>
  <c r="P36" i="15"/>
  <c r="P57" i="15" s="1"/>
  <c r="D57" i="15"/>
  <c r="D71" i="15" s="1"/>
  <c r="D72" i="15" s="1"/>
  <c r="P72" i="15" s="1"/>
  <c r="L73" i="14"/>
  <c r="L74" i="14" s="1"/>
  <c r="P36" i="14"/>
  <c r="N73" i="14"/>
  <c r="N74" i="14" s="1"/>
  <c r="P50" i="14"/>
  <c r="D73" i="14"/>
  <c r="D74" i="14" s="1"/>
  <c r="P72" i="13"/>
  <c r="P71" i="13"/>
  <c r="P71" i="15" l="1"/>
  <c r="P57" i="14"/>
  <c r="P73" i="14" s="1"/>
  <c r="P7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tc={E80B1EAF-D2A1-4D4B-8FD4-9C28DB03F2F2}</author>
  </authors>
  <commentList>
    <comment ref="I45" authorId="0" shapeId="0" xr:uid="{E80B1EAF-D2A1-4D4B-8FD4-9C28DB03F2F2}">
      <text>
        <t>[Threaded comment]
Your version of Excel allows you to read this threaded comment; however, any edits to it will get removed if the file is opened in a newer version of Excel. Learn more: https://go.microsoft.com/fwlink/?linkid=870924
Comment:
    Website does not work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tc={B85EA835-CCF6-44C4-82A2-322F97E1984C}</author>
  </authors>
  <commentList>
    <comment ref="I45" authorId="0" shapeId="0" xr:uid="{B85EA835-CCF6-44C4-82A2-322F97E1984C}">
      <text>
        <t>[Threaded comment]
Your version of Excel allows you to read this threaded comment; however, any edits to it will get removed if the file is opened in a newer version of Excel. Learn more: https://go.microsoft.com/fwlink/?linkid=870924
Comment:
    Website does not work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tc={81653994-3D38-4F21-B336-D379555D31C3}</author>
  </authors>
  <commentList>
    <comment ref="I45" authorId="0" shapeId="0" xr:uid="{81653994-3D38-4F21-B336-D379555D31C3}">
      <text>
        <t>[Threaded comment]
Your version of Excel allows you to read this threaded comment; however, any edits to it will get removed if the file is opened in a newer version of Excel. Learn more: https://go.microsoft.com/fwlink/?linkid=870924
Comment:
    Website does not work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tc={E8A7DF1F-5708-48CA-A509-7D549888ECCB}</author>
  </authors>
  <commentList>
    <comment ref="I45" authorId="0" shapeId="0" xr:uid="{E8A7DF1F-5708-48CA-A509-7D549888ECCB}">
      <text>
        <t>[Threaded comment]
Your version of Excel allows you to read this threaded comment; however, any edits to it will get removed if the file is opened in a newer version of Excel. Learn more: https://go.microsoft.com/fwlink/?linkid=870924
Comment:
    Website does not work</t>
      </text>
    </comment>
  </commentList>
</comments>
</file>

<file path=xl/sharedStrings.xml><?xml version="1.0" encoding="utf-8"?>
<sst xmlns="http://schemas.openxmlformats.org/spreadsheetml/2006/main" count="534" uniqueCount="77">
  <si>
    <t>Total</t>
  </si>
  <si>
    <t>Gas</t>
  </si>
  <si>
    <t>Electricity</t>
  </si>
  <si>
    <t>Internet</t>
  </si>
  <si>
    <t>Mortgage</t>
  </si>
  <si>
    <t>Mom's Internet</t>
  </si>
  <si>
    <t>Gym</t>
  </si>
  <si>
    <t>Water</t>
  </si>
  <si>
    <t>Trash</t>
  </si>
  <si>
    <t>Credit Card</t>
  </si>
  <si>
    <t>Mom Gas</t>
  </si>
  <si>
    <t>Mom Electricity</t>
  </si>
  <si>
    <t>Mom</t>
  </si>
  <si>
    <t>Mom Mortgage</t>
  </si>
  <si>
    <t>Car Payment</t>
  </si>
  <si>
    <t>11/31/2013</t>
  </si>
  <si>
    <t>HO Fee</t>
  </si>
  <si>
    <t>Car Insurance</t>
  </si>
  <si>
    <t>12/2, 12/9</t>
  </si>
  <si>
    <t>12/9, 18, 27</t>
  </si>
  <si>
    <t>Freedom CC</t>
  </si>
  <si>
    <t>Discover CC</t>
  </si>
  <si>
    <t>Art Van CC</t>
  </si>
  <si>
    <t>Target Red CC</t>
  </si>
  <si>
    <t>Credit Cards</t>
  </si>
  <si>
    <t>Others</t>
  </si>
  <si>
    <t>Utilities</t>
  </si>
  <si>
    <t>Mortgages</t>
  </si>
  <si>
    <t>Mom Health</t>
  </si>
  <si>
    <t>Mom Dental</t>
  </si>
  <si>
    <t>Daycare</t>
  </si>
  <si>
    <t>o</t>
  </si>
  <si>
    <t>Freedom_Hu</t>
  </si>
  <si>
    <t>Discover_Hu</t>
  </si>
  <si>
    <t>Target_Hu</t>
  </si>
  <si>
    <t>Freedom_Li</t>
  </si>
  <si>
    <t>Discover_Li</t>
  </si>
  <si>
    <t>AmExp_Li</t>
  </si>
  <si>
    <t>Sapphire_Hu</t>
  </si>
  <si>
    <t>Sapphire_Li</t>
  </si>
  <si>
    <t>Kohls_Hu</t>
  </si>
  <si>
    <t>Home Repair</t>
  </si>
  <si>
    <t>Car Registration</t>
  </si>
  <si>
    <t>CSP_Hu</t>
  </si>
  <si>
    <t>Fidelity_Hu</t>
  </si>
  <si>
    <t>C/H Insurance</t>
  </si>
  <si>
    <t>AAA</t>
  </si>
  <si>
    <t>Medical</t>
  </si>
  <si>
    <t>Ann Taylor_Li</t>
  </si>
  <si>
    <t>BananaRep_Li</t>
  </si>
  <si>
    <t>QuickSilver_Hu</t>
  </si>
  <si>
    <t>Vacation</t>
  </si>
  <si>
    <t>Need to get refund from TLE for at least 2 weeks of tuition</t>
  </si>
  <si>
    <t>Other</t>
  </si>
  <si>
    <t>HOA Fee</t>
  </si>
  <si>
    <t>Sports Activity</t>
  </si>
  <si>
    <t>CSP_Hu Freedom Unlimited</t>
  </si>
  <si>
    <t>Total Not Including House</t>
  </si>
  <si>
    <t>Insurance</t>
  </si>
  <si>
    <t>Home Owner</t>
  </si>
  <si>
    <t>CSP Hu</t>
  </si>
  <si>
    <t>Freedom Unlimited</t>
  </si>
  <si>
    <t>Tax</t>
  </si>
  <si>
    <t>Sports/Activities</t>
  </si>
  <si>
    <t>CITI Hu</t>
  </si>
  <si>
    <t>Total All Categories</t>
  </si>
  <si>
    <t>CSP Li</t>
  </si>
  <si>
    <t>Ann Taylor MC_Li</t>
  </si>
  <si>
    <t>Utility Credit</t>
  </si>
  <si>
    <t xml:space="preserve">15 off 100 </t>
  </si>
  <si>
    <t>15 off 150</t>
  </si>
  <si>
    <t>50.99 internet</t>
  </si>
  <si>
    <t>10 internet</t>
  </si>
  <si>
    <t>49.53 mom electricity</t>
  </si>
  <si>
    <t>Mom expense</t>
  </si>
  <si>
    <t>Hu Ink</t>
  </si>
  <si>
    <t>Insurance &amp;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</si>
</sst>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1" xfId="0" applyBorder="1" applyAlignment="1">
      <alignment horizontal="left" vertical="center"/>
    </xf>
    <xf numFmtId="17" fontId="2" fillId="0" borderId="1" xfId="0" applyNumberFormat="1" applyFont="1" applyBorder="1" applyAlignment="1">
      <alignment horizontal="left" vertical="center"/>
    </xf>
    <xf numFmtId="0" fontId="0" fillId="0" borderId="1" xfId="0" applyBorder="1"/>
    <xf numFmtId="14" fontId="0" fillId="3" borderId="1" xfId="0" applyNumberFormat="1" applyFill="1" applyBorder="1"/>
    <xf numFmtId="1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/>
    <xf numFmtId="164" fontId="3" fillId="4" borderId="1" xfId="0" applyNumberFormat="1" applyFont="1" applyFill="1" applyBorder="1"/>
    <xf numFmtId="164" fontId="0" fillId="5" borderId="1" xfId="0" applyNumberFormat="1" applyFill="1" applyBorder="1"/>
    <xf numFmtId="164" fontId="2" fillId="0" borderId="1" xfId="0" applyNumberFormat="1" applyFont="1" applyBorder="1" applyAlignment="1">
      <alignment horizontal="center" vertical="center"/>
    </xf>
    <xf numFmtId="164" fontId="0" fillId="3" borderId="1" xfId="0" applyNumberFormat="1" applyFill="1" applyBorder="1"/>
    <xf numFmtId="164" fontId="2" fillId="6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/>
    <xf numFmtId="17" fontId="2" fillId="0" borderId="1" xfId="0" applyNumberFormat="1" applyFont="1" applyBorder="1" applyAlignment="1">
      <alignment horizontal="center" vertical="center"/>
    </xf>
    <xf numFmtId="14" fontId="0" fillId="7" borderId="1" xfId="0" applyNumberFormat="1" applyFill="1" applyBorder="1"/>
    <xf numFmtId="14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/>
    <xf numFmtId="14" fontId="0" fillId="8" borderId="1" xfId="0" applyNumberFormat="1" applyFill="1" applyBorder="1"/>
    <xf numFmtId="164" fontId="0" fillId="8" borderId="1" xfId="0" applyNumberFormat="1" applyFill="1" applyBorder="1"/>
    <xf numFmtId="14" fontId="0" fillId="9" borderId="1" xfId="0" applyNumberFormat="1" applyFill="1" applyBorder="1"/>
    <xf numFmtId="164" fontId="0" fillId="9" borderId="1" xfId="0" applyNumberFormat="1" applyFill="1" applyBorder="1"/>
    <xf numFmtId="14" fontId="0" fillId="10" borderId="1" xfId="0" applyNumberFormat="1" applyFill="1" applyBorder="1"/>
    <xf numFmtId="164" fontId="0" fillId="10" borderId="1" xfId="0" applyNumberFormat="1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14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/>
    <xf numFmtId="164" fontId="1" fillId="11" borderId="1" xfId="0" applyNumberFormat="1" applyFont="1" applyFill="1" applyBorder="1"/>
    <xf numFmtId="0" fontId="0" fillId="11" borderId="0" xfId="0" applyFill="1"/>
    <xf numFmtId="14" fontId="0" fillId="11" borderId="0" xfId="0" applyNumberFormat="1" applyFill="1"/>
    <xf numFmtId="14" fontId="0" fillId="11" borderId="2" xfId="0" applyNumberFormat="1" applyFill="1" applyBorder="1"/>
    <xf numFmtId="164" fontId="0" fillId="11" borderId="3" xfId="0" applyNumberFormat="1" applyFill="1" applyBorder="1"/>
    <xf numFmtId="0" fontId="0" fillId="11" borderId="2" xfId="0" applyFill="1" applyBorder="1"/>
    <xf numFmtId="14" fontId="0" fillId="11" borderId="2" xfId="0" applyNumberFormat="1" applyFill="1" applyBorder="1" applyAlignment="1">
      <alignment horizontal="center" vertical="center"/>
    </xf>
    <xf numFmtId="164" fontId="0" fillId="0" borderId="0" xfId="0" applyNumberFormat="1"/>
    <xf numFmtId="14" fontId="3" fillId="11" borderId="2" xfId="0" applyNumberFormat="1" applyFont="1" applyFill="1" applyBorder="1"/>
    <xf numFmtId="164" fontId="3" fillId="11" borderId="3" xfId="0" applyNumberFormat="1" applyFont="1" applyFill="1" applyBorder="1"/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164" fontId="0" fillId="0" borderId="5" xfId="0" applyNumberFormat="1" applyBorder="1"/>
    <xf numFmtId="0" fontId="0" fillId="0" borderId="5" xfId="0" applyBorder="1"/>
    <xf numFmtId="0" fontId="2" fillId="7" borderId="2" xfId="0" applyFont="1" applyFill="1" applyBorder="1" applyAlignment="1">
      <alignment horizontal="center" vertical="center" wrapText="1"/>
    </xf>
    <xf numFmtId="164" fontId="0" fillId="11" borderId="2" xfId="0" applyNumberFormat="1" applyFill="1" applyBorder="1"/>
    <xf numFmtId="164" fontId="0" fillId="11" borderId="4" xfId="0" applyNumberFormat="1" applyFill="1" applyBorder="1"/>
    <xf numFmtId="164" fontId="0" fillId="6" borderId="5" xfId="0" applyNumberFormat="1" applyFill="1" applyBorder="1"/>
    <xf numFmtId="8" fontId="0" fillId="0" borderId="0" xfId="0" applyNumberFormat="1"/>
    <xf numFmtId="8" fontId="4" fillId="0" borderId="0" xfId="0" applyNumberFormat="1" applyFont="1"/>
    <xf numFmtId="14" fontId="0" fillId="12" borderId="2" xfId="0" applyNumberFormat="1" applyFill="1" applyBorder="1"/>
    <xf numFmtId="14" fontId="0" fillId="12" borderId="2" xfId="0" applyNumberFormat="1" applyFill="1" applyBorder="1" applyAlignment="1">
      <alignment horizontal="center" vertical="center"/>
    </xf>
    <xf numFmtId="164" fontId="0" fillId="12" borderId="3" xfId="0" applyNumberFormat="1" applyFill="1" applyBorder="1"/>
    <xf numFmtId="164" fontId="0" fillId="12" borderId="2" xfId="0" applyNumberFormat="1" applyFill="1" applyBorder="1"/>
    <xf numFmtId="164" fontId="0" fillId="12" borderId="4" xfId="0" applyNumberFormat="1" applyFill="1" applyBorder="1"/>
    <xf numFmtId="14" fontId="0" fillId="3" borderId="2" xfId="0" applyNumberFormat="1" applyFill="1" applyBorder="1"/>
    <xf numFmtId="164" fontId="0" fillId="3" borderId="3" xfId="0" applyNumberFormat="1" applyFill="1" applyBorder="1"/>
    <xf numFmtId="164" fontId="0" fillId="6" borderId="4" xfId="0" applyNumberFormat="1" applyFill="1" applyBorder="1"/>
    <xf numFmtId="164" fontId="2" fillId="6" borderId="1" xfId="0" applyNumberFormat="1" applyFont="1" applyFill="1" applyBorder="1"/>
    <xf numFmtId="14" fontId="0" fillId="2" borderId="2" xfId="0" applyNumberFormat="1" applyFill="1" applyBorder="1"/>
    <xf numFmtId="1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/>
    <xf numFmtId="164" fontId="0" fillId="2" borderId="4" xfId="0" applyNumberFormat="1" applyFill="1" applyBorder="1"/>
    <xf numFmtId="14" fontId="0" fillId="11" borderId="2" xfId="0" applyNumberFormat="1" applyFill="1" applyBorder="1" applyAlignment="1">
      <alignment horizontal="center"/>
    </xf>
    <xf numFmtId="164" fontId="0" fillId="11" borderId="3" xfId="0" applyNumberFormat="1" applyFill="1" applyBorder="1" applyAlignment="1">
      <alignment horizontal="center"/>
    </xf>
    <xf numFmtId="164" fontId="0" fillId="6" borderId="3" xfId="0" applyNumberFormat="1" applyFill="1" applyBorder="1"/>
    <xf numFmtId="164" fontId="0" fillId="2" borderId="1" xfId="0" applyNumberFormat="1" applyFill="1" applyBorder="1"/>
    <xf numFmtId="164" fontId="0" fillId="13" borderId="1" xfId="0" applyNumberFormat="1" applyFill="1" applyBorder="1"/>
    <xf numFmtId="14" fontId="0" fillId="11" borderId="2" xfId="0" applyNumberFormat="1" applyFill="1" applyBorder="1" applyAlignment="1">
      <alignment vertical="center"/>
    </xf>
    <xf numFmtId="14" fontId="0" fillId="0" borderId="2" xfId="0" applyNumberFormat="1" applyBorder="1"/>
    <xf numFmtId="14" fontId="0" fillId="0" borderId="2" xfId="0" applyNumberFormat="1" applyBorder="1" applyAlignment="1">
      <alignment horizontal="center" vertical="center"/>
    </xf>
    <xf numFmtId="164" fontId="0" fillId="0" borderId="3" xfId="0" applyNumberFormat="1" applyBorder="1"/>
    <xf numFmtId="164" fontId="0" fillId="0" borderId="4" xfId="0" applyNumberFormat="1" applyBorder="1"/>
    <xf numFmtId="14" fontId="0" fillId="14" borderId="2" xfId="0" applyNumberFormat="1" applyFill="1" applyBorder="1"/>
    <xf numFmtId="164" fontId="0" fillId="14" borderId="3" xfId="0" applyNumberFormat="1" applyFill="1" applyBorder="1"/>
    <xf numFmtId="164" fontId="3" fillId="14" borderId="3" xfId="0" applyNumberFormat="1" applyFont="1" applyFill="1" applyBorder="1"/>
    <xf numFmtId="164" fontId="0" fillId="14" borderId="4" xfId="0" applyNumberFormat="1" applyFill="1" applyBorder="1"/>
    <xf numFmtId="0" fontId="0" fillId="14" borderId="2" xfId="0" applyFill="1" applyBorder="1"/>
    <xf numFmtId="14" fontId="0" fillId="14" borderId="2" xfId="0" applyNumberFormat="1" applyFill="1" applyBorder="1" applyAlignment="1">
      <alignment horizontal="center" vertical="center"/>
    </xf>
    <xf numFmtId="14" fontId="0" fillId="14" borderId="2" xfId="0" applyNumberFormat="1" applyFill="1" applyBorder="1" applyAlignment="1">
      <alignment vertical="center"/>
    </xf>
    <xf numFmtId="164" fontId="0" fillId="14" borderId="2" xfId="0" applyNumberFormat="1" applyFill="1" applyBorder="1"/>
    <xf numFmtId="164" fontId="2" fillId="0" borderId="1" xfId="0" applyNumberFormat="1" applyFont="1" applyBorder="1"/>
    <xf numFmtId="164" fontId="2" fillId="3" borderId="1" xfId="0" applyNumberFormat="1" applyFont="1" applyFill="1" applyBorder="1"/>
    <xf numFmtId="164" fontId="0" fillId="0" borderId="1" xfId="0" applyNumberFormat="1" applyBorder="1"/>
    <xf numFmtId="14" fontId="0" fillId="14" borderId="2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14" fontId="0" fillId="15" borderId="2" xfId="0" applyNumberFormat="1" applyFill="1" applyBorder="1"/>
    <xf numFmtId="164" fontId="0" fillId="15" borderId="3" xfId="0" applyNumberFormat="1" applyFill="1" applyBorder="1"/>
    <xf numFmtId="164" fontId="0" fillId="15" borderId="4" xfId="0" applyNumberFormat="1" applyFill="1" applyBorder="1"/>
    <xf numFmtId="14" fontId="0" fillId="15" borderId="2" xfId="0" applyNumberFormat="1" applyFill="1" applyBorder="1" applyAlignment="1">
      <alignment horizontal="center" vertical="center"/>
    </xf>
    <xf numFmtId="14" fontId="0" fillId="15" borderId="2" xfId="0" applyNumberFormat="1" applyFill="1" applyBorder="1" applyAlignment="1">
      <alignment horizontal="center"/>
    </xf>
    <xf numFmtId="164" fontId="0" fillId="15" borderId="3" xfId="0" applyNumberFormat="1" applyFill="1" applyBorder="1" applyAlignment="1">
      <alignment horizontal="center"/>
    </xf>
    <xf numFmtId="0" fontId="0" fillId="15" borderId="0" xfId="0" applyFill="1"/>
    <xf numFmtId="164" fontId="3" fillId="15" borderId="3" xfId="0" applyNumberFormat="1" applyFont="1" applyFill="1" applyBorder="1"/>
    <xf numFmtId="0" fontId="0" fillId="15" borderId="2" xfId="0" applyFill="1" applyBorder="1"/>
    <xf numFmtId="14" fontId="0" fillId="15" borderId="2" xfId="0" applyNumberFormat="1" applyFill="1" applyBorder="1" applyAlignment="1">
      <alignment vertical="center"/>
    </xf>
    <xf numFmtId="1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textRotation="90"/>
    </xf>
    <xf numFmtId="0" fontId="2" fillId="10" borderId="4" xfId="0" applyFont="1" applyFill="1" applyBorder="1" applyAlignment="1">
      <alignment horizontal="center" vertical="center" textRotation="90"/>
    </xf>
    <xf numFmtId="0" fontId="2" fillId="10" borderId="3" xfId="0" applyFont="1" applyFill="1" applyBorder="1" applyAlignment="1">
      <alignment horizontal="center" vertical="center" textRotation="90"/>
    </xf>
    <xf numFmtId="164" fontId="0" fillId="3" borderId="6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3" xfId="0" applyFont="1" applyFill="1" applyBorder="1" applyAlignment="1">
      <alignment horizontal="center" vertical="center" textRotation="90"/>
    </xf>
    <xf numFmtId="0" fontId="2" fillId="9" borderId="2" xfId="0" applyFont="1" applyFill="1" applyBorder="1" applyAlignment="1">
      <alignment horizontal="center" vertical="center" textRotation="90"/>
    </xf>
    <xf numFmtId="0" fontId="2" fillId="9" borderId="4" xfId="0" applyFont="1" applyFill="1" applyBorder="1" applyAlignment="1">
      <alignment horizontal="center" vertical="center" textRotation="90"/>
    </xf>
    <xf numFmtId="0" fontId="2" fillId="9" borderId="3" xfId="0" applyFont="1" applyFill="1" applyBorder="1" applyAlignment="1">
      <alignment horizontal="center" vertical="center" textRotation="90"/>
    </xf>
    <xf numFmtId="0" fontId="2" fillId="9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textRotation="90"/>
    </xf>
    <xf numFmtId="0" fontId="2" fillId="7" borderId="4" xfId="0" applyFont="1" applyFill="1" applyBorder="1" applyAlignment="1">
      <alignment horizontal="center" vertical="center" textRotation="90"/>
    </xf>
    <xf numFmtId="0" fontId="2" fillId="7" borderId="3" xfId="0" applyFont="1" applyFill="1" applyBorder="1" applyAlignment="1">
      <alignment horizontal="center" vertical="center" textRotation="90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textRotation="90" wrapText="1"/>
    </xf>
    <xf numFmtId="0" fontId="2" fillId="8" borderId="4" xfId="0" applyFont="1" applyFill="1" applyBorder="1" applyAlignment="1">
      <alignment horizontal="center" vertical="center" textRotation="90" wrapText="1"/>
    </xf>
    <xf numFmtId="0" fontId="2" fillId="8" borderId="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681102362204725E-2"/>
                  <c:y val="-0.14483194808982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'2015'!$D$2:$O$2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'2015'!$D$57:$O$57</c:f>
              <c:numCache>
                <c:formatCode>"$"#,##0.00</c:formatCode>
                <c:ptCount val="12"/>
                <c:pt idx="0">
                  <c:v>6664.58</c:v>
                </c:pt>
                <c:pt idx="1">
                  <c:v>5085.1400000000003</c:v>
                </c:pt>
                <c:pt idx="2">
                  <c:v>5768.48</c:v>
                </c:pt>
                <c:pt idx="3">
                  <c:v>5068.8599999999997</c:v>
                </c:pt>
                <c:pt idx="4">
                  <c:v>5820.12</c:v>
                </c:pt>
                <c:pt idx="5">
                  <c:v>11286.61</c:v>
                </c:pt>
                <c:pt idx="6">
                  <c:v>4804.95</c:v>
                </c:pt>
                <c:pt idx="7">
                  <c:v>5325.06</c:v>
                </c:pt>
                <c:pt idx="8">
                  <c:v>5251.63</c:v>
                </c:pt>
                <c:pt idx="9">
                  <c:v>5454.37</c:v>
                </c:pt>
                <c:pt idx="10">
                  <c:v>6958.32</c:v>
                </c:pt>
                <c:pt idx="11">
                  <c:v>9020.1299999999992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9-499A-A807-801300F6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81208"/>
        <c:axId val="258681600"/>
      </c:lineChart>
      <c:dateAx>
        <c:axId val="258681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81600"/>
        <c:crosses val="autoZero"/>
        <c:auto val="1"/>
        <c:lblOffset val="100"/>
        <c:baseTimeUnit val="months"/>
      </c:dateAx>
      <c:valAx>
        <c:axId val="258681600"/>
        <c:scaling>
          <c:orientation val="minMax"/>
          <c:max val="7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8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Spending W/O 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'2022'!$D$2:$O$2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'2022'!$D$70:$O$70</c:f>
              <c:numCache>
                <c:formatCode>"$"#,##0.00</c:formatCode>
                <c:ptCount val="12"/>
                <c:pt idx="0">
                  <c:v>2866.69</c:v>
                </c:pt>
                <c:pt idx="1">
                  <c:v>4433.24</c:v>
                </c:pt>
                <c:pt idx="2">
                  <c:v>2909.16</c:v>
                </c:pt>
                <c:pt idx="3">
                  <c:v>3804.51</c:v>
                </c:pt>
                <c:pt idx="4">
                  <c:v>42786.92</c:v>
                </c:pt>
                <c:pt idx="5">
                  <c:v>6180.57</c:v>
                </c:pt>
                <c:pt idx="6">
                  <c:v>3254.4</c:v>
                </c:pt>
                <c:pt idx="7">
                  <c:v>6016.45</c:v>
                </c:pt>
                <c:pt idx="8">
                  <c:v>4332.18</c:v>
                </c:pt>
                <c:pt idx="9">
                  <c:v>2154.59</c:v>
                </c:pt>
                <c:pt idx="10">
                  <c:v>6979.69</c:v>
                </c:pt>
                <c:pt idx="11">
                  <c:v>5117.7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8D3-A825-ED89422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831048"/>
        <c:axId val="1037839248"/>
      </c:barChart>
      <c:dateAx>
        <c:axId val="10378310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9248"/>
        <c:crosses val="autoZero"/>
        <c:auto val="1"/>
        <c:lblOffset val="100"/>
        <c:baseTimeUnit val="months"/>
      </c:dateAx>
      <c:valAx>
        <c:axId val="10378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'2022'!$D$2:$O$2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'2022'!$D$69:$O$69</c:f>
              <c:numCache>
                <c:formatCode>"$"#,##0.00</c:formatCode>
                <c:ptCount val="12"/>
                <c:pt idx="0">
                  <c:v>2866.69</c:v>
                </c:pt>
                <c:pt idx="1">
                  <c:v>5450.24</c:v>
                </c:pt>
                <c:pt idx="2">
                  <c:v>2909.16</c:v>
                </c:pt>
                <c:pt idx="3">
                  <c:v>3804.51</c:v>
                </c:pt>
                <c:pt idx="4">
                  <c:v>42786.92</c:v>
                </c:pt>
                <c:pt idx="5">
                  <c:v>6180.57</c:v>
                </c:pt>
                <c:pt idx="6">
                  <c:v>3254.4</c:v>
                </c:pt>
                <c:pt idx="7">
                  <c:v>6016.45</c:v>
                </c:pt>
                <c:pt idx="8">
                  <c:v>4332.18</c:v>
                </c:pt>
                <c:pt idx="9">
                  <c:v>2154.59</c:v>
                </c:pt>
                <c:pt idx="10">
                  <c:v>6979.69</c:v>
                </c:pt>
                <c:pt idx="11">
                  <c:v>5117.7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7-4B98-A320-FDBA5FE7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47096"/>
        <c:axId val="504447424"/>
      </c:barChart>
      <c:dateAx>
        <c:axId val="5044470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424"/>
        <c:crosses val="autoZero"/>
        <c:auto val="1"/>
        <c:lblOffset val="100"/>
        <c:baseTimeUnit val="months"/>
      </c:dateAx>
      <c:valAx>
        <c:axId val="504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Spending W/O 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'2023'!$D$2:$O$2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'2023'!$D$72:$O$72</c:f>
              <c:numCache>
                <c:formatCode>"$"#,##0.00</c:formatCode>
                <c:ptCount val="12"/>
                <c:pt idx="0">
                  <c:v>3231.29</c:v>
                </c:pt>
                <c:pt idx="1">
                  <c:v>6746.13</c:v>
                </c:pt>
                <c:pt idx="2">
                  <c:v>5513.75</c:v>
                </c:pt>
                <c:pt idx="3">
                  <c:v>8756.57</c:v>
                </c:pt>
                <c:pt idx="4">
                  <c:v>2129.73</c:v>
                </c:pt>
                <c:pt idx="5">
                  <c:v>3963.2</c:v>
                </c:pt>
                <c:pt idx="6">
                  <c:v>7042.66</c:v>
                </c:pt>
                <c:pt idx="7">
                  <c:v>3093.33</c:v>
                </c:pt>
                <c:pt idx="8">
                  <c:v>9182.2900000000009</c:v>
                </c:pt>
                <c:pt idx="9">
                  <c:v>3215.2099999999996</c:v>
                </c:pt>
                <c:pt idx="10">
                  <c:v>6930.630000000001</c:v>
                </c:pt>
                <c:pt idx="11">
                  <c:v>5837.8000000000011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D-425A-8704-86E48D0E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831048"/>
        <c:axId val="1037839248"/>
      </c:barChart>
      <c:dateAx>
        <c:axId val="10378310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9248"/>
        <c:crosses val="autoZero"/>
        <c:auto val="1"/>
        <c:lblOffset val="100"/>
        <c:baseTimeUnit val="months"/>
      </c:dateAx>
      <c:valAx>
        <c:axId val="10378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'2023'!$D$2:$O$2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'2023'!$D$71:$O$71</c:f>
              <c:numCache>
                <c:formatCode>"$"#,##0.00</c:formatCode>
                <c:ptCount val="12"/>
                <c:pt idx="0">
                  <c:v>4373.29</c:v>
                </c:pt>
                <c:pt idx="1">
                  <c:v>6746.13</c:v>
                </c:pt>
                <c:pt idx="2">
                  <c:v>5513.75</c:v>
                </c:pt>
                <c:pt idx="3">
                  <c:v>8756.57</c:v>
                </c:pt>
                <c:pt idx="4">
                  <c:v>2129.73</c:v>
                </c:pt>
                <c:pt idx="5">
                  <c:v>3963.2</c:v>
                </c:pt>
                <c:pt idx="6">
                  <c:v>7042.66</c:v>
                </c:pt>
                <c:pt idx="7">
                  <c:v>3093.33</c:v>
                </c:pt>
                <c:pt idx="8">
                  <c:v>9182.2900000000009</c:v>
                </c:pt>
                <c:pt idx="9">
                  <c:v>3215.2099999999996</c:v>
                </c:pt>
                <c:pt idx="10">
                  <c:v>6930.630000000001</c:v>
                </c:pt>
                <c:pt idx="11">
                  <c:v>5837.8000000000011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0-41ED-AF6F-5B71EF4A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47096"/>
        <c:axId val="504447424"/>
      </c:barChart>
      <c:dateAx>
        <c:axId val="5044470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424"/>
        <c:crosses val="autoZero"/>
        <c:auto val="1"/>
        <c:lblOffset val="100"/>
        <c:baseTimeUnit val="months"/>
      </c:dateAx>
      <c:valAx>
        <c:axId val="504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'2024'!$D$2:$O$2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'2024'!$D$73:$O$73</c:f>
              <c:numCache>
                <c:formatCode>"$"#,##0.00</c:formatCode>
                <c:ptCount val="12"/>
                <c:pt idx="0">
                  <c:v>8125.01</c:v>
                </c:pt>
                <c:pt idx="1">
                  <c:v>2520.79</c:v>
                </c:pt>
                <c:pt idx="2">
                  <c:v>22875.62</c:v>
                </c:pt>
                <c:pt idx="3">
                  <c:v>13414.16</c:v>
                </c:pt>
                <c:pt idx="4">
                  <c:v>2794.01</c:v>
                </c:pt>
                <c:pt idx="5">
                  <c:v>3994.0200000000004</c:v>
                </c:pt>
                <c:pt idx="6">
                  <c:v>9570.9</c:v>
                </c:pt>
                <c:pt idx="7">
                  <c:v>11613.24</c:v>
                </c:pt>
                <c:pt idx="8">
                  <c:v>3110.09</c:v>
                </c:pt>
                <c:pt idx="9">
                  <c:v>3427.67</c:v>
                </c:pt>
                <c:pt idx="10">
                  <c:v>2903.25</c:v>
                </c:pt>
                <c:pt idx="11">
                  <c:v>7915.5999999999995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9-4219-A851-0D264A2A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47096"/>
        <c:axId val="504447424"/>
      </c:barChart>
      <c:dateAx>
        <c:axId val="5044470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424"/>
        <c:crosses val="autoZero"/>
        <c:auto val="1"/>
        <c:lblOffset val="100"/>
        <c:baseTimeUnit val="months"/>
      </c:dateAx>
      <c:valAx>
        <c:axId val="504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'2025'!$D$2:$O$2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'2025'!$D$71:$O$71</c:f>
              <c:numCache>
                <c:formatCode>"$"#,##0.00</c:formatCode>
                <c:ptCount val="12"/>
                <c:pt idx="0">
                  <c:v>4004.75</c:v>
                </c:pt>
                <c:pt idx="1">
                  <c:v>3867.9699999999993</c:v>
                </c:pt>
                <c:pt idx="2">
                  <c:v>3295.45</c:v>
                </c:pt>
                <c:pt idx="3">
                  <c:v>7257.91</c:v>
                </c:pt>
                <c:pt idx="4">
                  <c:v>9197.67</c:v>
                </c:pt>
                <c:pt idx="5">
                  <c:v>2260.9</c:v>
                </c:pt>
                <c:pt idx="6">
                  <c:v>6854.28</c:v>
                </c:pt>
                <c:pt idx="7">
                  <c:v>11403.23</c:v>
                </c:pt>
                <c:pt idx="8">
                  <c:v>3080.25</c:v>
                </c:pt>
                <c:pt idx="9">
                  <c:v>3427.67</c:v>
                </c:pt>
                <c:pt idx="10">
                  <c:v>2903.25</c:v>
                </c:pt>
                <c:pt idx="11">
                  <c:v>7725.29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6-4DC3-AD23-857480F6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47096"/>
        <c:axId val="504447424"/>
      </c:barChart>
      <c:dateAx>
        <c:axId val="5044470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424"/>
        <c:crosses val="autoZero"/>
        <c:auto val="1"/>
        <c:lblOffset val="100"/>
        <c:baseTimeUnit val="months"/>
      </c:dateAx>
      <c:valAx>
        <c:axId val="504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10749405973585"/>
          <c:y val="0.1525"/>
          <c:w val="0.825792848250119"/>
          <c:h val="0.7216013351591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681102362204725E-2"/>
                  <c:y val="-0.14483194808982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'2016'!$D$2:$O$2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'2016'!$D$63:$O$63</c:f>
              <c:numCache>
                <c:formatCode>"$"#,##0.00</c:formatCode>
                <c:ptCount val="12"/>
                <c:pt idx="0">
                  <c:v>6458.4</c:v>
                </c:pt>
                <c:pt idx="1">
                  <c:v>5151.47</c:v>
                </c:pt>
                <c:pt idx="2">
                  <c:v>5416.38</c:v>
                </c:pt>
                <c:pt idx="3">
                  <c:v>4990.08</c:v>
                </c:pt>
                <c:pt idx="4">
                  <c:v>6790.61</c:v>
                </c:pt>
                <c:pt idx="5">
                  <c:v>5028.18</c:v>
                </c:pt>
                <c:pt idx="6">
                  <c:v>4977.91</c:v>
                </c:pt>
                <c:pt idx="7">
                  <c:v>5819.1549999999997</c:v>
                </c:pt>
                <c:pt idx="8">
                  <c:v>6453.55</c:v>
                </c:pt>
                <c:pt idx="9">
                  <c:v>6102.34</c:v>
                </c:pt>
                <c:pt idx="10">
                  <c:v>33714.480000000003</c:v>
                </c:pt>
                <c:pt idx="11">
                  <c:v>5378.59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A-4517-8FA0-4898FDF3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82384"/>
        <c:axId val="258682776"/>
      </c:lineChart>
      <c:dateAx>
        <c:axId val="258682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82776"/>
        <c:crosses val="autoZero"/>
        <c:auto val="1"/>
        <c:lblOffset val="100"/>
        <c:baseTimeUnit val="months"/>
      </c:dateAx>
      <c:valAx>
        <c:axId val="258682776"/>
        <c:scaling>
          <c:orientation val="minMax"/>
          <c:max val="7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8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4433598931003"/>
          <c:y val="0.21193743619899633"/>
          <c:w val="0.825792848250119"/>
          <c:h val="0.7216013351591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681102362204725E-2"/>
                  <c:y val="-0.14483194808982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'2017'!$D$2:$O$2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'2017'!$D$65:$O$65</c:f>
              <c:numCache>
                <c:formatCode>"$"#,##0.00</c:formatCode>
                <c:ptCount val="12"/>
                <c:pt idx="0">
                  <c:v>7456.92</c:v>
                </c:pt>
                <c:pt idx="1">
                  <c:v>4569.95</c:v>
                </c:pt>
                <c:pt idx="2">
                  <c:v>7324.47</c:v>
                </c:pt>
                <c:pt idx="3">
                  <c:v>6089.03</c:v>
                </c:pt>
                <c:pt idx="4">
                  <c:v>5476.69</c:v>
                </c:pt>
                <c:pt idx="5">
                  <c:v>14105.01</c:v>
                </c:pt>
                <c:pt idx="6">
                  <c:v>6215.52</c:v>
                </c:pt>
                <c:pt idx="7">
                  <c:v>6940.33</c:v>
                </c:pt>
                <c:pt idx="8">
                  <c:v>5266.73</c:v>
                </c:pt>
                <c:pt idx="9">
                  <c:v>6266.66</c:v>
                </c:pt>
                <c:pt idx="10">
                  <c:v>7788.98</c:v>
                </c:pt>
                <c:pt idx="11">
                  <c:v>5978.37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1-4939-8819-72D3AB27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83560"/>
        <c:axId val="258683952"/>
      </c:lineChart>
      <c:dateAx>
        <c:axId val="258683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83952"/>
        <c:crosses val="autoZero"/>
        <c:auto val="1"/>
        <c:lblOffset val="100"/>
        <c:baseTimeUnit val="months"/>
      </c:dateAx>
      <c:valAx>
        <c:axId val="258683952"/>
        <c:scaling>
          <c:orientation val="minMax"/>
          <c:max val="10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8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4433598931003"/>
          <c:y val="0.21193743619899633"/>
          <c:w val="0.825792848250119"/>
          <c:h val="0.7216013351591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681102362204725E-2"/>
                  <c:y val="-0.14483194808982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'2018'!$D$2:$O$2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'2018'!$D$67:$O$67</c:f>
              <c:numCache>
                <c:formatCode>"$"#,##0.00</c:formatCode>
                <c:ptCount val="12"/>
                <c:pt idx="0">
                  <c:v>6407.86</c:v>
                </c:pt>
                <c:pt idx="1">
                  <c:v>7417.15</c:v>
                </c:pt>
                <c:pt idx="2">
                  <c:v>6147.93</c:v>
                </c:pt>
                <c:pt idx="3">
                  <c:v>6221.08</c:v>
                </c:pt>
                <c:pt idx="4">
                  <c:v>6095.34</c:v>
                </c:pt>
                <c:pt idx="5">
                  <c:v>26695.58</c:v>
                </c:pt>
                <c:pt idx="6">
                  <c:v>8240.7099999999991</c:v>
                </c:pt>
                <c:pt idx="7">
                  <c:v>5097.1899999999996</c:v>
                </c:pt>
                <c:pt idx="8">
                  <c:v>5743.39</c:v>
                </c:pt>
                <c:pt idx="9">
                  <c:v>6699.12</c:v>
                </c:pt>
                <c:pt idx="10">
                  <c:v>6750.96</c:v>
                </c:pt>
                <c:pt idx="11">
                  <c:v>5918.51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1-4939-8819-72D3AB27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46240"/>
        <c:axId val="260046632"/>
      </c:lineChart>
      <c:dateAx>
        <c:axId val="260046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46632"/>
        <c:crosses val="autoZero"/>
        <c:auto val="1"/>
        <c:lblOffset val="100"/>
        <c:baseTimeUnit val="months"/>
      </c:dateAx>
      <c:valAx>
        <c:axId val="260046632"/>
        <c:scaling>
          <c:orientation val="minMax"/>
          <c:max val="10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4433598931003"/>
          <c:y val="0.21193743619899633"/>
          <c:w val="0.825792848250119"/>
          <c:h val="0.7216013351591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681102362204725E-2"/>
                  <c:y val="-0.14483194808982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'2019'!$D$2:$O$2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'2019'!$D$67:$O$67</c:f>
              <c:numCache>
                <c:formatCode>"$"#,##0.00</c:formatCode>
                <c:ptCount val="12"/>
                <c:pt idx="0">
                  <c:v>7271.45</c:v>
                </c:pt>
                <c:pt idx="1">
                  <c:v>5546.48</c:v>
                </c:pt>
                <c:pt idx="2">
                  <c:v>5623.28</c:v>
                </c:pt>
                <c:pt idx="3">
                  <c:v>6151.9</c:v>
                </c:pt>
                <c:pt idx="4">
                  <c:v>6399.54</c:v>
                </c:pt>
                <c:pt idx="5">
                  <c:v>5873.44</c:v>
                </c:pt>
                <c:pt idx="6">
                  <c:v>12483.91</c:v>
                </c:pt>
                <c:pt idx="7">
                  <c:v>8874.41</c:v>
                </c:pt>
                <c:pt idx="8">
                  <c:v>5963.07</c:v>
                </c:pt>
                <c:pt idx="9">
                  <c:v>4304.04</c:v>
                </c:pt>
                <c:pt idx="10">
                  <c:v>6775.56</c:v>
                </c:pt>
                <c:pt idx="11">
                  <c:v>4994.3999999999996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5-4852-B882-54A9D6E6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46240"/>
        <c:axId val="260046632"/>
      </c:lineChart>
      <c:dateAx>
        <c:axId val="260046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46632"/>
        <c:crosses val="autoZero"/>
        <c:auto val="1"/>
        <c:lblOffset val="100"/>
        <c:baseTimeUnit val="months"/>
      </c:dateAx>
      <c:valAx>
        <c:axId val="260046632"/>
        <c:scaling>
          <c:orientation val="minMax"/>
          <c:max val="10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Spending W/O 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'2020'!$D$2:$O$2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'2020'!$D$68:$O$68</c:f>
              <c:numCache>
                <c:formatCode>"$"#,##0.00</c:formatCode>
                <c:ptCount val="12"/>
                <c:pt idx="0">
                  <c:v>5232.13</c:v>
                </c:pt>
                <c:pt idx="1">
                  <c:v>2430.4499999999998</c:v>
                </c:pt>
                <c:pt idx="2">
                  <c:v>1765.88</c:v>
                </c:pt>
                <c:pt idx="3">
                  <c:v>1232.96</c:v>
                </c:pt>
                <c:pt idx="4">
                  <c:v>1677.24</c:v>
                </c:pt>
                <c:pt idx="5">
                  <c:v>2196.91</c:v>
                </c:pt>
                <c:pt idx="6">
                  <c:v>3360.69</c:v>
                </c:pt>
                <c:pt idx="7">
                  <c:v>1368.93</c:v>
                </c:pt>
                <c:pt idx="8">
                  <c:v>2091.41</c:v>
                </c:pt>
                <c:pt idx="9">
                  <c:v>1772.88</c:v>
                </c:pt>
                <c:pt idx="10">
                  <c:v>1647.2</c:v>
                </c:pt>
                <c:pt idx="11">
                  <c:v>2854.92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E-43B4-BD16-157E4BFC6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831048"/>
        <c:axId val="1037839248"/>
      </c:barChart>
      <c:dateAx>
        <c:axId val="10378310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9248"/>
        <c:crosses val="autoZero"/>
        <c:auto val="1"/>
        <c:lblOffset val="100"/>
        <c:baseTimeUnit val="months"/>
      </c:dateAx>
      <c:valAx>
        <c:axId val="10378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'2020'!$D$2:$O$2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'2020'!$D$67:$O$67</c:f>
              <c:numCache>
                <c:formatCode>"$"#,##0.00</c:formatCode>
                <c:ptCount val="12"/>
                <c:pt idx="0">
                  <c:v>7125.49</c:v>
                </c:pt>
                <c:pt idx="1">
                  <c:v>4323.8100000000004</c:v>
                </c:pt>
                <c:pt idx="2">
                  <c:v>28859.24</c:v>
                </c:pt>
                <c:pt idx="3">
                  <c:v>3326.32</c:v>
                </c:pt>
                <c:pt idx="4">
                  <c:v>3270.6</c:v>
                </c:pt>
                <c:pt idx="5">
                  <c:v>3790.27</c:v>
                </c:pt>
                <c:pt idx="6">
                  <c:v>4954.05</c:v>
                </c:pt>
                <c:pt idx="7">
                  <c:v>47980.86</c:v>
                </c:pt>
                <c:pt idx="8">
                  <c:v>4236.8</c:v>
                </c:pt>
                <c:pt idx="9">
                  <c:v>1772.88</c:v>
                </c:pt>
                <c:pt idx="10">
                  <c:v>1647.2</c:v>
                </c:pt>
                <c:pt idx="11">
                  <c:v>2854.92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E-4DCF-8D38-B8796FCF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47096"/>
        <c:axId val="504447424"/>
      </c:barChart>
      <c:dateAx>
        <c:axId val="5044470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424"/>
        <c:crosses val="autoZero"/>
        <c:auto val="1"/>
        <c:lblOffset val="100"/>
        <c:baseTimeUnit val="months"/>
      </c:dateAx>
      <c:valAx>
        <c:axId val="504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Spending W/O 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'2021'!$D$2:$O$2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'2021'!$D$70:$O$70</c:f>
              <c:numCache>
                <c:formatCode>"$"#,##0.00</c:formatCode>
                <c:ptCount val="12"/>
                <c:pt idx="0">
                  <c:v>1911.19</c:v>
                </c:pt>
                <c:pt idx="1">
                  <c:v>7832.32</c:v>
                </c:pt>
                <c:pt idx="2">
                  <c:v>1775.44</c:v>
                </c:pt>
                <c:pt idx="3">
                  <c:v>42807.73</c:v>
                </c:pt>
                <c:pt idx="4">
                  <c:v>2087.2800000000002</c:v>
                </c:pt>
                <c:pt idx="5">
                  <c:v>2857.62</c:v>
                </c:pt>
                <c:pt idx="6">
                  <c:v>4873.1099999999997</c:v>
                </c:pt>
                <c:pt idx="7">
                  <c:v>3699.22</c:v>
                </c:pt>
                <c:pt idx="8">
                  <c:v>1572.21</c:v>
                </c:pt>
                <c:pt idx="9">
                  <c:v>2998.35</c:v>
                </c:pt>
                <c:pt idx="10">
                  <c:v>3513</c:v>
                </c:pt>
                <c:pt idx="11">
                  <c:v>5332.2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4-4FAD-8349-53183C0C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831048"/>
        <c:axId val="1037839248"/>
      </c:barChart>
      <c:dateAx>
        <c:axId val="10378310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9248"/>
        <c:crosses val="autoZero"/>
        <c:auto val="1"/>
        <c:lblOffset val="100"/>
        <c:baseTimeUnit val="months"/>
      </c:dateAx>
      <c:valAx>
        <c:axId val="10378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'2021'!$D$2:$O$2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'2021'!$D$69:$O$69</c:f>
              <c:numCache>
                <c:formatCode>"$"#,##0.00</c:formatCode>
                <c:ptCount val="12"/>
                <c:pt idx="0">
                  <c:v>2836.19</c:v>
                </c:pt>
                <c:pt idx="1">
                  <c:v>7832.32</c:v>
                </c:pt>
                <c:pt idx="2">
                  <c:v>1775.44</c:v>
                </c:pt>
                <c:pt idx="3">
                  <c:v>42807.73</c:v>
                </c:pt>
                <c:pt idx="4">
                  <c:v>2087.2800000000002</c:v>
                </c:pt>
                <c:pt idx="5">
                  <c:v>2857.62</c:v>
                </c:pt>
                <c:pt idx="6">
                  <c:v>4873.1099999999997</c:v>
                </c:pt>
                <c:pt idx="7">
                  <c:v>3699.22</c:v>
                </c:pt>
                <c:pt idx="8">
                  <c:v>1572.21</c:v>
                </c:pt>
                <c:pt idx="9">
                  <c:v>2998.35</c:v>
                </c:pt>
                <c:pt idx="10">
                  <c:v>3513</c:v>
                </c:pt>
                <c:pt idx="11">
                  <c:v>5332.2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0-4B95-91F7-67ED24A5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47096"/>
        <c:axId val="504447424"/>
      </c:barChart>
      <c:dateAx>
        <c:axId val="5044470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424"/>
        <c:crosses val="autoZero"/>
        <c:auto val="1"/>
        <c:lblOffset val="100"/>
        <c:baseTimeUnit val="months"/>
      </c:dateAx>
      <c:valAx>
        <c:axId val="504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31</xdr:row>
      <xdr:rowOff>9525</xdr:rowOff>
    </xdr:from>
    <xdr:to>
      <xdr:col>25</xdr:col>
      <xdr:colOff>333375</xdr:colOff>
      <xdr:row>45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39</xdr:row>
      <xdr:rowOff>90487</xdr:rowOff>
    </xdr:from>
    <xdr:to>
      <xdr:col>25</xdr:col>
      <xdr:colOff>333375</xdr:colOff>
      <xdr:row>59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7DD53-A47D-4850-840D-0D3D958E7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39</xdr:row>
      <xdr:rowOff>90487</xdr:rowOff>
    </xdr:from>
    <xdr:to>
      <xdr:col>25</xdr:col>
      <xdr:colOff>333375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E7671-A413-4BFC-ABFF-AE77E8E16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31</xdr:row>
      <xdr:rowOff>9525</xdr:rowOff>
    </xdr:from>
    <xdr:to>
      <xdr:col>25</xdr:col>
      <xdr:colOff>333375</xdr:colOff>
      <xdr:row>49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31</xdr:row>
      <xdr:rowOff>9525</xdr:rowOff>
    </xdr:from>
    <xdr:to>
      <xdr:col>27</xdr:col>
      <xdr:colOff>33618</xdr:colOff>
      <xdr:row>50</xdr:row>
      <xdr:rowOff>22413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31</xdr:row>
      <xdr:rowOff>9525</xdr:rowOff>
    </xdr:from>
    <xdr:to>
      <xdr:col>27</xdr:col>
      <xdr:colOff>33618</xdr:colOff>
      <xdr:row>52</xdr:row>
      <xdr:rowOff>22413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31</xdr:row>
      <xdr:rowOff>9525</xdr:rowOff>
    </xdr:from>
    <xdr:to>
      <xdr:col>27</xdr:col>
      <xdr:colOff>33618</xdr:colOff>
      <xdr:row>52</xdr:row>
      <xdr:rowOff>22413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4ECE5-C518-4F1E-8A60-0E0E37CFB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53</xdr:row>
      <xdr:rowOff>176212</xdr:rowOff>
    </xdr:from>
    <xdr:to>
      <xdr:col>25</xdr:col>
      <xdr:colOff>333375</xdr:colOff>
      <xdr:row>68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F9F615-535B-4023-A885-84FDE6788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39</xdr:row>
      <xdr:rowOff>90487</xdr:rowOff>
    </xdr:from>
    <xdr:to>
      <xdr:col>25</xdr:col>
      <xdr:colOff>333375</xdr:colOff>
      <xdr:row>53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A02CEF-48B7-4A30-9F23-235137957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55</xdr:row>
      <xdr:rowOff>176212</xdr:rowOff>
    </xdr:from>
    <xdr:to>
      <xdr:col>25</xdr:col>
      <xdr:colOff>333375</xdr:colOff>
      <xdr:row>70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7D436-E088-4840-86CE-9938322B2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39</xdr:row>
      <xdr:rowOff>90487</xdr:rowOff>
    </xdr:from>
    <xdr:to>
      <xdr:col>25</xdr:col>
      <xdr:colOff>333375</xdr:colOff>
      <xdr:row>55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ED394-121F-42EF-BA48-E8BA21356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55</xdr:row>
      <xdr:rowOff>176212</xdr:rowOff>
    </xdr:from>
    <xdr:to>
      <xdr:col>25</xdr:col>
      <xdr:colOff>333375</xdr:colOff>
      <xdr:row>70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DF400-403C-4006-837D-BB9C6278C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39</xdr:row>
      <xdr:rowOff>90487</xdr:rowOff>
    </xdr:from>
    <xdr:to>
      <xdr:col>25</xdr:col>
      <xdr:colOff>333375</xdr:colOff>
      <xdr:row>55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6C624-8A43-4B8B-91DC-72795E69D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57</xdr:row>
      <xdr:rowOff>176212</xdr:rowOff>
    </xdr:from>
    <xdr:to>
      <xdr:col>25</xdr:col>
      <xdr:colOff>333375</xdr:colOff>
      <xdr:row>72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EEC0-5E71-4776-BE4F-68BB79D39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39</xdr:row>
      <xdr:rowOff>90487</xdr:rowOff>
    </xdr:from>
    <xdr:to>
      <xdr:col>25</xdr:col>
      <xdr:colOff>333375</xdr:colOff>
      <xdr:row>57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C78A0-EE31-4EAF-950D-28DF830F0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, Ethan" id="{C6E5026E-982E-4CAC-AB98-84F5149CAE7A}" userId="Hu, Eth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5" dT="2022-07-02T12:57:17.55" personId="{C6E5026E-982E-4CAC-AB98-84F5149CAE7A}" id="{E80B1EAF-D2A1-4D4B-8FD4-9C28DB03F2F2}">
    <text>Website does not work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45" dT="2022-07-02T12:57:17.55" personId="{C6E5026E-982E-4CAC-AB98-84F5149CAE7A}" id="{B85EA835-CCF6-44C4-82A2-322F97E1984C}">
    <text>Website does not work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45" dT="2022-07-02T12:57:17.55" personId="{C6E5026E-982E-4CAC-AB98-84F5149CAE7A}" id="{81653994-3D38-4F21-B336-D379555D31C3}">
    <text>Website does not work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5" dT="2022-07-02T12:57:17.55" personId="{C6E5026E-982E-4CAC-AB98-84F5149CAE7A}" id="{E8A7DF1F-5708-48CA-A509-7D549888ECCB}">
    <text>Website does not work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1"/>
  <sheetViews>
    <sheetView workbookViewId="0">
      <selection activeCell="P22" sqref="P22"/>
    </sheetView>
  </sheetViews>
  <sheetFormatPr defaultRowHeight="15" x14ac:dyDescent="0.25"/>
  <cols>
    <col min="2" max="2" width="15" bestFit="1" customWidth="1"/>
    <col min="4" max="11" width="9.7109375" bestFit="1" customWidth="1"/>
    <col min="12" max="14" width="10.7109375" bestFit="1" customWidth="1"/>
    <col min="15" max="15" width="10.140625" bestFit="1" customWidth="1"/>
  </cols>
  <sheetData>
    <row r="2" spans="2:15" x14ac:dyDescent="0.25">
      <c r="B2" s="1"/>
      <c r="C2" s="2">
        <v>40909</v>
      </c>
      <c r="D2" s="2">
        <v>40940</v>
      </c>
      <c r="E2" s="2">
        <v>40969</v>
      </c>
      <c r="F2" s="2">
        <v>41000</v>
      </c>
      <c r="G2" s="2">
        <v>41030</v>
      </c>
      <c r="H2" s="2">
        <v>41061</v>
      </c>
      <c r="I2" s="2">
        <v>41091</v>
      </c>
      <c r="J2" s="2">
        <v>41122</v>
      </c>
      <c r="K2" s="2">
        <v>41153</v>
      </c>
      <c r="L2" s="2">
        <v>41183</v>
      </c>
      <c r="M2" s="2">
        <v>41214</v>
      </c>
      <c r="N2" s="2">
        <v>41244</v>
      </c>
      <c r="O2" s="2" t="s">
        <v>0</v>
      </c>
    </row>
    <row r="3" spans="2:15" x14ac:dyDescent="0.25">
      <c r="B3" s="96" t="s">
        <v>1</v>
      </c>
      <c r="C3" s="3"/>
      <c r="D3" s="4">
        <v>40954</v>
      </c>
      <c r="E3" s="4">
        <v>40991</v>
      </c>
      <c r="F3" s="5">
        <v>41011</v>
      </c>
      <c r="G3" s="5">
        <v>41044</v>
      </c>
      <c r="H3" s="5">
        <v>41069</v>
      </c>
      <c r="I3" s="5">
        <v>41102</v>
      </c>
      <c r="J3" s="5">
        <v>41130</v>
      </c>
      <c r="K3" s="5">
        <v>41162</v>
      </c>
      <c r="L3" s="5">
        <v>41191</v>
      </c>
      <c r="M3" s="5">
        <v>41220</v>
      </c>
      <c r="N3" s="5">
        <v>41251</v>
      </c>
      <c r="O3" s="5"/>
    </row>
    <row r="4" spans="2:15" x14ac:dyDescent="0.25">
      <c r="B4" s="96"/>
      <c r="C4" s="6">
        <v>0</v>
      </c>
      <c r="D4" s="6">
        <v>66.790000000000006</v>
      </c>
      <c r="E4" s="6">
        <v>127.91</v>
      </c>
      <c r="F4" s="6">
        <v>67.52</v>
      </c>
      <c r="G4" s="6">
        <v>89.87</v>
      </c>
      <c r="H4" s="6">
        <v>-18.190000000000001</v>
      </c>
      <c r="I4" s="6">
        <f>18.19+0.59</f>
        <v>18.78</v>
      </c>
      <c r="J4" s="6">
        <v>16.95</v>
      </c>
      <c r="K4" s="6">
        <v>18.670000000000002</v>
      </c>
      <c r="L4" s="6">
        <v>17.8</v>
      </c>
      <c r="M4" s="6">
        <v>56.56</v>
      </c>
      <c r="N4" s="6">
        <v>88.59</v>
      </c>
      <c r="O4" s="6">
        <f>SUM(C4:N4)</f>
        <v>551.25</v>
      </c>
    </row>
    <row r="5" spans="2:15" x14ac:dyDescent="0.25">
      <c r="B5" s="97" t="s">
        <v>2</v>
      </c>
      <c r="C5" s="3"/>
      <c r="D5" s="4">
        <v>40960</v>
      </c>
      <c r="E5" s="4">
        <v>40991</v>
      </c>
      <c r="F5" s="4">
        <v>41023</v>
      </c>
      <c r="G5" s="4">
        <v>41051</v>
      </c>
      <c r="H5" s="4">
        <v>41081</v>
      </c>
      <c r="I5" s="4">
        <v>41113</v>
      </c>
      <c r="J5" s="4">
        <v>41142</v>
      </c>
      <c r="K5" s="4">
        <v>41172</v>
      </c>
      <c r="L5" s="4">
        <v>41204</v>
      </c>
      <c r="M5" s="4">
        <v>41234</v>
      </c>
      <c r="N5" s="4">
        <v>41264</v>
      </c>
      <c r="O5" s="4"/>
    </row>
    <row r="6" spans="2:15" x14ac:dyDescent="0.25">
      <c r="B6" s="97"/>
      <c r="C6" s="6">
        <v>0</v>
      </c>
      <c r="D6" s="6">
        <v>29.01</v>
      </c>
      <c r="E6" s="6">
        <v>43.57</v>
      </c>
      <c r="F6" s="6">
        <v>36.08</v>
      </c>
      <c r="G6" s="6">
        <v>34.86</v>
      </c>
      <c r="H6" s="6">
        <v>33.200000000000003</v>
      </c>
      <c r="I6" s="6">
        <v>70.72</v>
      </c>
      <c r="J6" s="6">
        <v>53.68</v>
      </c>
      <c r="K6" s="6">
        <v>39.450000000000003</v>
      </c>
      <c r="L6" s="6">
        <v>31.48</v>
      </c>
      <c r="M6" s="6">
        <v>38.68</v>
      </c>
      <c r="N6" s="6">
        <v>39.69</v>
      </c>
      <c r="O6" s="6">
        <f>SUM(C6:N6)</f>
        <v>450.42</v>
      </c>
    </row>
    <row r="7" spans="2:15" x14ac:dyDescent="0.25">
      <c r="B7" s="96" t="s">
        <v>3</v>
      </c>
      <c r="C7" s="3"/>
      <c r="D7" s="4">
        <v>40975</v>
      </c>
      <c r="E7" s="4">
        <v>40985</v>
      </c>
      <c r="F7" s="4">
        <v>41016</v>
      </c>
      <c r="G7" s="4">
        <v>41046</v>
      </c>
      <c r="H7" s="4">
        <v>41078</v>
      </c>
      <c r="I7" s="4">
        <v>41107</v>
      </c>
      <c r="J7" s="4">
        <v>41169</v>
      </c>
      <c r="K7" s="4">
        <v>41169</v>
      </c>
      <c r="L7" s="4">
        <v>41205</v>
      </c>
      <c r="M7" s="4">
        <v>41230</v>
      </c>
      <c r="N7" s="4">
        <v>41260</v>
      </c>
      <c r="O7" s="4"/>
    </row>
    <row r="8" spans="2:15" x14ac:dyDescent="0.25">
      <c r="B8" s="96"/>
      <c r="C8" s="6">
        <v>0</v>
      </c>
      <c r="D8" s="6">
        <v>67.17</v>
      </c>
      <c r="E8" s="6">
        <v>29.99</v>
      </c>
      <c r="F8" s="6">
        <v>29.99</v>
      </c>
      <c r="G8" s="6">
        <v>29.99</v>
      </c>
      <c r="H8" s="6">
        <v>29.99</v>
      </c>
      <c r="I8" s="6">
        <v>29.99</v>
      </c>
      <c r="J8" s="6">
        <f>46.44+1.66+0.16+0.06-4.84</f>
        <v>43.48</v>
      </c>
      <c r="K8" s="7">
        <f>39.99+1.43+0.08+0.03+50</f>
        <v>91.53</v>
      </c>
      <c r="L8" s="7">
        <v>0</v>
      </c>
      <c r="M8" s="6">
        <v>30.47</v>
      </c>
      <c r="N8" s="6">
        <v>40.909999999999997</v>
      </c>
      <c r="O8" s="6">
        <f>SUM(C8:N8)</f>
        <v>423.51</v>
      </c>
    </row>
    <row r="9" spans="2:15" x14ac:dyDescent="0.25">
      <c r="B9" s="98" t="s">
        <v>4</v>
      </c>
      <c r="C9" s="3"/>
      <c r="D9" s="4">
        <v>40954</v>
      </c>
      <c r="E9" s="4">
        <v>40991</v>
      </c>
      <c r="F9" s="4">
        <v>41022</v>
      </c>
      <c r="G9" s="4">
        <v>41050</v>
      </c>
      <c r="H9" s="4"/>
      <c r="I9" s="4">
        <v>41120</v>
      </c>
      <c r="J9" s="4">
        <v>41151</v>
      </c>
      <c r="K9" s="4">
        <v>41182</v>
      </c>
      <c r="L9" s="4">
        <v>41203</v>
      </c>
      <c r="M9" s="4">
        <v>41245</v>
      </c>
      <c r="N9" s="4"/>
      <c r="O9" s="4"/>
    </row>
    <row r="10" spans="2:15" x14ac:dyDescent="0.25">
      <c r="B10" s="98"/>
      <c r="C10" s="6">
        <v>0</v>
      </c>
      <c r="D10" s="6">
        <v>2058.66</v>
      </c>
      <c r="E10" s="6">
        <v>2758.66</v>
      </c>
      <c r="F10" s="6">
        <v>6758.66</v>
      </c>
      <c r="G10" s="8">
        <v>1758.66</v>
      </c>
      <c r="H10" s="8">
        <v>0</v>
      </c>
      <c r="I10" s="8">
        <v>2126.38</v>
      </c>
      <c r="J10" s="8">
        <v>2126.38</v>
      </c>
      <c r="K10" s="8">
        <v>2126.38</v>
      </c>
      <c r="L10" s="8">
        <v>2126.38</v>
      </c>
      <c r="M10" s="8">
        <v>2126.38</v>
      </c>
      <c r="N10" s="8">
        <v>0</v>
      </c>
      <c r="O10" s="6">
        <f>SUM(C10:N10)</f>
        <v>23966.54</v>
      </c>
    </row>
    <row r="11" spans="2:15" x14ac:dyDescent="0.25">
      <c r="B11" s="96" t="s">
        <v>5</v>
      </c>
      <c r="C11" s="3"/>
      <c r="D11" s="4">
        <v>40964</v>
      </c>
      <c r="E11" s="4">
        <v>40993</v>
      </c>
      <c r="F11" s="4">
        <v>41016</v>
      </c>
      <c r="G11" s="4">
        <v>41046</v>
      </c>
      <c r="H11" s="4">
        <v>41073</v>
      </c>
      <c r="I11" s="4">
        <v>41106</v>
      </c>
      <c r="J11" s="4">
        <v>41135</v>
      </c>
      <c r="K11" s="4">
        <v>41159</v>
      </c>
      <c r="L11" s="4">
        <v>41193</v>
      </c>
      <c r="M11" s="4">
        <v>41225</v>
      </c>
      <c r="N11" s="4">
        <v>41256</v>
      </c>
      <c r="O11" s="4"/>
    </row>
    <row r="12" spans="2:15" x14ac:dyDescent="0.25">
      <c r="B12" s="96"/>
      <c r="C12" s="6">
        <v>69.08</v>
      </c>
      <c r="D12" s="6">
        <v>69.08</v>
      </c>
      <c r="E12" s="6">
        <v>69.08</v>
      </c>
      <c r="F12" s="6">
        <v>206.13</v>
      </c>
      <c r="G12" s="6">
        <v>67.69</v>
      </c>
      <c r="H12" s="6">
        <v>-24.26</v>
      </c>
      <c r="I12" s="6">
        <v>4.05</v>
      </c>
      <c r="J12" s="6">
        <v>1.17</v>
      </c>
      <c r="K12" s="6">
        <v>10.94</v>
      </c>
      <c r="L12" s="6">
        <v>54.63</v>
      </c>
      <c r="M12" s="6">
        <v>43.74</v>
      </c>
      <c r="N12" s="6">
        <v>43.74</v>
      </c>
      <c r="O12" s="6">
        <f>SUM(C12:N12)</f>
        <v>615.07000000000005</v>
      </c>
    </row>
    <row r="13" spans="2:15" x14ac:dyDescent="0.25">
      <c r="B13" s="97" t="s">
        <v>6</v>
      </c>
      <c r="C13" s="3"/>
      <c r="D13" s="4">
        <v>40969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x14ac:dyDescent="0.25">
      <c r="B14" s="97"/>
      <c r="C14" s="6">
        <v>49.99</v>
      </c>
      <c r="D14" s="6">
        <v>49.99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f>SUM(C14:N14)</f>
        <v>99.98</v>
      </c>
    </row>
    <row r="15" spans="2:15" x14ac:dyDescent="0.25">
      <c r="B15" s="96" t="s">
        <v>7</v>
      </c>
      <c r="C15" s="3"/>
      <c r="D15" s="4"/>
      <c r="E15" s="4"/>
      <c r="F15" s="4"/>
      <c r="G15" s="4"/>
      <c r="H15" s="4">
        <v>41071</v>
      </c>
      <c r="I15" s="4"/>
      <c r="J15" s="4"/>
      <c r="K15" s="4">
        <v>41162</v>
      </c>
      <c r="L15" s="4"/>
      <c r="M15" s="4"/>
      <c r="N15" s="4">
        <v>41256</v>
      </c>
      <c r="O15" s="4"/>
    </row>
    <row r="16" spans="2:15" x14ac:dyDescent="0.25">
      <c r="B16" s="96"/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88.36</v>
      </c>
      <c r="I16" s="6">
        <v>0</v>
      </c>
      <c r="J16" s="6">
        <v>0</v>
      </c>
      <c r="K16" s="6">
        <v>67.31</v>
      </c>
      <c r="L16" s="6">
        <v>0</v>
      </c>
      <c r="M16" s="6">
        <v>0</v>
      </c>
      <c r="N16" s="6">
        <v>94.45</v>
      </c>
      <c r="O16" s="6">
        <f>SUM(C16:N16)</f>
        <v>250.12</v>
      </c>
    </row>
    <row r="17" spans="2:15" x14ac:dyDescent="0.25">
      <c r="B17" s="97" t="s">
        <v>8</v>
      </c>
      <c r="C17" s="3"/>
      <c r="D17" s="4">
        <v>40970</v>
      </c>
      <c r="E17" s="4"/>
      <c r="F17" s="4">
        <v>41026</v>
      </c>
      <c r="G17" s="4"/>
      <c r="H17" s="4">
        <v>41079</v>
      </c>
      <c r="I17" s="4"/>
      <c r="J17" s="4"/>
      <c r="K17" s="4"/>
      <c r="L17" s="4"/>
      <c r="M17" s="4"/>
      <c r="N17" s="4"/>
      <c r="O17" s="4"/>
    </row>
    <row r="18" spans="2:15" x14ac:dyDescent="0.25">
      <c r="B18" s="97"/>
      <c r="C18" s="6">
        <v>0</v>
      </c>
      <c r="D18" s="6">
        <v>19.46</v>
      </c>
      <c r="E18" s="6">
        <v>0</v>
      </c>
      <c r="F18" s="6">
        <v>45.05</v>
      </c>
      <c r="G18" s="6">
        <v>0</v>
      </c>
      <c r="H18" s="6">
        <v>143.88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f>SUM(C18:N18)</f>
        <v>208.39</v>
      </c>
    </row>
    <row r="19" spans="2:15" x14ac:dyDescent="0.25">
      <c r="B19" s="96" t="s">
        <v>9</v>
      </c>
      <c r="C19" s="3"/>
      <c r="D19" s="4">
        <v>40970</v>
      </c>
      <c r="E19" s="4">
        <v>41001</v>
      </c>
      <c r="F19" s="4">
        <v>41030</v>
      </c>
      <c r="G19" s="4">
        <v>41059</v>
      </c>
      <c r="H19" s="4">
        <v>41087</v>
      </c>
      <c r="I19" s="4">
        <v>41120</v>
      </c>
      <c r="J19" s="4">
        <v>41152</v>
      </c>
      <c r="K19" s="4">
        <v>41182</v>
      </c>
      <c r="L19" s="4">
        <v>41211</v>
      </c>
      <c r="M19" s="4">
        <v>41244</v>
      </c>
      <c r="N19" s="4">
        <v>41274</v>
      </c>
      <c r="O19" s="4"/>
    </row>
    <row r="20" spans="2:15" x14ac:dyDescent="0.25">
      <c r="B20" s="96"/>
      <c r="C20" s="6">
        <v>4000</v>
      </c>
      <c r="D20" s="6">
        <v>512.34</v>
      </c>
      <c r="E20" s="6">
        <v>515.14</v>
      </c>
      <c r="F20" s="6">
        <v>554.45000000000005</v>
      </c>
      <c r="G20" s="6">
        <v>788.6</v>
      </c>
      <c r="H20" s="6">
        <v>753.83</v>
      </c>
      <c r="I20" s="6">
        <v>1376.37</v>
      </c>
      <c r="J20" s="6">
        <v>866.43</v>
      </c>
      <c r="K20" s="6">
        <v>1040.67</v>
      </c>
      <c r="L20" s="6">
        <v>755.74</v>
      </c>
      <c r="M20" s="6">
        <v>2098</v>
      </c>
      <c r="N20" s="6">
        <v>807.39</v>
      </c>
      <c r="O20" s="6">
        <f>SUM(C20:N20)</f>
        <v>14068.96</v>
      </c>
    </row>
    <row r="21" spans="2:15" x14ac:dyDescent="0.25">
      <c r="B21" s="9" t="s">
        <v>0</v>
      </c>
      <c r="C21" s="10">
        <f t="shared" ref="C21:N21" si="0">SUM(C4,C6,C8,C10,C12,C14,C16,C18,C20)</f>
        <v>4119.07</v>
      </c>
      <c r="D21" s="10">
        <f t="shared" si="0"/>
        <v>2872.5</v>
      </c>
      <c r="E21" s="10">
        <f t="shared" si="0"/>
        <v>3544.35</v>
      </c>
      <c r="F21" s="10">
        <f t="shared" si="0"/>
        <v>7697.88</v>
      </c>
      <c r="G21" s="10">
        <f t="shared" si="0"/>
        <v>2769.67</v>
      </c>
      <c r="H21" s="10">
        <f t="shared" si="0"/>
        <v>1006.81</v>
      </c>
      <c r="I21" s="10">
        <f t="shared" si="0"/>
        <v>3626.29</v>
      </c>
      <c r="J21" s="10">
        <f t="shared" si="0"/>
        <v>3108.09</v>
      </c>
      <c r="K21" s="10">
        <f t="shared" si="0"/>
        <v>3394.95</v>
      </c>
      <c r="L21" s="10">
        <f t="shared" si="0"/>
        <v>2986.03</v>
      </c>
      <c r="M21" s="10">
        <f t="shared" si="0"/>
        <v>4393.83</v>
      </c>
      <c r="N21" s="10">
        <f t="shared" si="0"/>
        <v>1114.77</v>
      </c>
      <c r="O21" s="6">
        <f>SUM(C21:N21)</f>
        <v>40634.239999999998</v>
      </c>
    </row>
  </sheetData>
  <mergeCells count="9">
    <mergeCell ref="B15:B16"/>
    <mergeCell ref="B17:B18"/>
    <mergeCell ref="B19:B20"/>
    <mergeCell ref="B3:B4"/>
    <mergeCell ref="B5:B6"/>
    <mergeCell ref="B7:B8"/>
    <mergeCell ref="B9:B10"/>
    <mergeCell ref="B11:B12"/>
    <mergeCell ref="B13:B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A5B5-0DDB-4FE6-B151-D14A7841641F}">
  <dimension ref="B2:U71"/>
  <sheetViews>
    <sheetView topLeftCell="A45" zoomScaleNormal="100" workbookViewId="0">
      <pane xSplit="3" topLeftCell="M1" activePane="topRight" state="frozen"/>
      <selection activeCell="A40" sqref="A40"/>
      <selection pane="topRight" activeCell="P65" sqref="P65"/>
    </sheetView>
  </sheetViews>
  <sheetFormatPr defaultRowHeight="15" x14ac:dyDescent="0.25"/>
  <cols>
    <col min="3" max="3" width="15" bestFit="1" customWidth="1"/>
    <col min="4" max="4" width="9.85546875" bestFit="1" customWidth="1"/>
    <col min="5" max="5" width="10.28515625" bestFit="1" customWidth="1"/>
    <col min="6" max="7" width="10.140625" bestFit="1" customWidth="1"/>
    <col min="8" max="9" width="10.85546875" bestFit="1" customWidth="1"/>
    <col min="10" max="10" width="10.140625" bestFit="1" customWidth="1"/>
    <col min="11" max="11" width="10.28515625" bestFit="1" customWidth="1"/>
    <col min="12" max="12" width="10.140625" bestFit="1" customWidth="1"/>
    <col min="13" max="13" width="10.7109375" bestFit="1" customWidth="1"/>
    <col min="14" max="16" width="11.140625" bestFit="1" customWidth="1"/>
    <col min="17" max="17" width="10.140625" bestFit="1" customWidth="1"/>
  </cols>
  <sheetData>
    <row r="2" spans="2:21" x14ac:dyDescent="0.25">
      <c r="C2" s="1"/>
      <c r="D2" s="13">
        <v>44197</v>
      </c>
      <c r="E2" s="13">
        <v>44228</v>
      </c>
      <c r="F2" s="13">
        <v>44256</v>
      </c>
      <c r="G2" s="13">
        <v>44287</v>
      </c>
      <c r="H2" s="13">
        <v>44317</v>
      </c>
      <c r="I2" s="13">
        <v>44348</v>
      </c>
      <c r="J2" s="13">
        <v>44378</v>
      </c>
      <c r="K2" s="13">
        <v>44409</v>
      </c>
      <c r="L2" s="13">
        <v>44440</v>
      </c>
      <c r="M2" s="13">
        <v>44470</v>
      </c>
      <c r="N2" s="13">
        <v>44501</v>
      </c>
      <c r="O2" s="13">
        <v>44531</v>
      </c>
      <c r="P2" s="13" t="s">
        <v>0</v>
      </c>
      <c r="R2" s="34">
        <f>P19+P21+J23+P67+P55</f>
        <v>9427.43</v>
      </c>
    </row>
    <row r="3" spans="2:21" ht="15" customHeight="1" x14ac:dyDescent="0.25">
      <c r="B3" s="125" t="s">
        <v>26</v>
      </c>
      <c r="C3" s="106" t="s">
        <v>1</v>
      </c>
      <c r="D3" s="71">
        <v>44218</v>
      </c>
      <c r="E3" s="71">
        <v>44246</v>
      </c>
      <c r="F3" s="71">
        <v>44275</v>
      </c>
      <c r="G3" s="71">
        <v>44307</v>
      </c>
      <c r="H3" s="71">
        <v>44335</v>
      </c>
      <c r="I3" s="71">
        <v>44368</v>
      </c>
      <c r="J3" s="76">
        <v>44404</v>
      </c>
      <c r="K3" s="76">
        <v>44437</v>
      </c>
      <c r="L3" s="71">
        <v>44461</v>
      </c>
      <c r="M3" s="71">
        <v>44490</v>
      </c>
      <c r="N3" s="76">
        <v>44520</v>
      </c>
      <c r="O3" s="76">
        <v>44552</v>
      </c>
      <c r="P3" s="68">
        <v>44559</v>
      </c>
    </row>
    <row r="4" spans="2:21" x14ac:dyDescent="0.25">
      <c r="B4" s="126"/>
      <c r="C4" s="106"/>
      <c r="D4" s="72">
        <v>129.63999999999999</v>
      </c>
      <c r="E4" s="72">
        <v>141.41999999999999</v>
      </c>
      <c r="F4" s="72">
        <v>115.01</v>
      </c>
      <c r="G4" s="72">
        <v>67.099999999999994</v>
      </c>
      <c r="H4" s="72">
        <v>59.07</v>
      </c>
      <c r="I4" s="72">
        <v>30.72</v>
      </c>
      <c r="J4" s="72">
        <v>25.33</v>
      </c>
      <c r="K4" s="72">
        <v>23.61</v>
      </c>
      <c r="L4" s="72">
        <v>26.46</v>
      </c>
      <c r="M4" s="72">
        <v>26.02</v>
      </c>
      <c r="N4" s="72">
        <v>84.01</v>
      </c>
      <c r="O4" s="72">
        <v>132.85</v>
      </c>
      <c r="P4" s="69">
        <f>SUM(D4:O4)</f>
        <v>861.24</v>
      </c>
    </row>
    <row r="5" spans="2:21" x14ac:dyDescent="0.25">
      <c r="B5" s="126"/>
      <c r="C5" s="106" t="s">
        <v>10</v>
      </c>
      <c r="D5" s="71">
        <v>44221</v>
      </c>
      <c r="E5" s="71">
        <v>44254</v>
      </c>
      <c r="F5" s="71">
        <v>44283</v>
      </c>
      <c r="G5" s="71">
        <v>44317</v>
      </c>
      <c r="H5" s="71">
        <v>44346</v>
      </c>
      <c r="I5" s="71">
        <v>44371</v>
      </c>
      <c r="J5" s="76">
        <v>44404</v>
      </c>
      <c r="K5" s="76">
        <v>44437</v>
      </c>
      <c r="L5" s="71">
        <v>44466</v>
      </c>
      <c r="M5" s="71">
        <v>44494</v>
      </c>
      <c r="N5" s="71">
        <v>44528</v>
      </c>
      <c r="O5" s="71">
        <v>44556</v>
      </c>
      <c r="P5" s="68">
        <v>44559</v>
      </c>
    </row>
    <row r="6" spans="2:21" x14ac:dyDescent="0.25">
      <c r="B6" s="126"/>
      <c r="C6" s="106"/>
      <c r="D6" s="72">
        <v>102.95</v>
      </c>
      <c r="E6" s="72">
        <v>105.92</v>
      </c>
      <c r="F6" s="72">
        <v>83.74</v>
      </c>
      <c r="G6" s="72">
        <v>59.88</v>
      </c>
      <c r="H6" s="72">
        <v>13.35</v>
      </c>
      <c r="I6" s="72">
        <v>16.57</v>
      </c>
      <c r="J6" s="72">
        <v>17.350000000000001</v>
      </c>
      <c r="K6" s="72">
        <v>16.809999999999999</v>
      </c>
      <c r="L6" s="72">
        <v>17.010000000000002</v>
      </c>
      <c r="M6" s="72">
        <v>18.13</v>
      </c>
      <c r="N6" s="72">
        <v>42.48</v>
      </c>
      <c r="O6" s="72">
        <v>94.52</v>
      </c>
      <c r="P6" s="69">
        <f>SUM(D6:O6)</f>
        <v>588.71</v>
      </c>
    </row>
    <row r="7" spans="2:21" x14ac:dyDescent="0.25">
      <c r="B7" s="126"/>
      <c r="C7" s="106" t="s">
        <v>2</v>
      </c>
      <c r="D7" s="71">
        <v>44228</v>
      </c>
      <c r="E7" s="71">
        <v>44254</v>
      </c>
      <c r="F7" s="71">
        <v>44283</v>
      </c>
      <c r="G7" s="71">
        <v>44317</v>
      </c>
      <c r="H7" s="71">
        <v>44346</v>
      </c>
      <c r="I7" s="71">
        <v>44371</v>
      </c>
      <c r="J7" s="76">
        <v>44404</v>
      </c>
      <c r="K7" s="76">
        <v>44437</v>
      </c>
      <c r="L7" s="71">
        <v>44466</v>
      </c>
      <c r="M7" s="71">
        <v>44494</v>
      </c>
      <c r="N7" s="71">
        <v>44528</v>
      </c>
      <c r="O7" s="71">
        <v>44556</v>
      </c>
      <c r="P7" s="68">
        <v>44559</v>
      </c>
    </row>
    <row r="8" spans="2:21" x14ac:dyDescent="0.25">
      <c r="B8" s="126"/>
      <c r="C8" s="106"/>
      <c r="D8" s="73">
        <v>88.08</v>
      </c>
      <c r="E8" s="72">
        <v>90.42</v>
      </c>
      <c r="F8" s="72">
        <v>88.24</v>
      </c>
      <c r="G8" s="72">
        <v>73.069999999999993</v>
      </c>
      <c r="H8" s="72">
        <v>73.569999999999993</v>
      </c>
      <c r="I8" s="72">
        <v>133.26</v>
      </c>
      <c r="J8" s="72">
        <v>125.85</v>
      </c>
      <c r="K8" s="72">
        <v>139.26</v>
      </c>
      <c r="L8" s="72">
        <v>142.88</v>
      </c>
      <c r="M8" s="72">
        <v>65.58</v>
      </c>
      <c r="N8" s="72">
        <v>84.3</v>
      </c>
      <c r="O8" s="72">
        <v>104.02</v>
      </c>
      <c r="P8" s="69">
        <f>SUM(D8:O8)</f>
        <v>1208.53</v>
      </c>
    </row>
    <row r="9" spans="2:21" x14ac:dyDescent="0.25">
      <c r="B9" s="126"/>
      <c r="C9" s="106" t="s">
        <v>11</v>
      </c>
      <c r="D9" s="71">
        <v>44228</v>
      </c>
      <c r="E9" s="71">
        <v>44254</v>
      </c>
      <c r="F9" s="71">
        <v>44283</v>
      </c>
      <c r="G9" s="71">
        <v>44317</v>
      </c>
      <c r="H9" s="71">
        <v>44346</v>
      </c>
      <c r="I9" s="71">
        <v>44371</v>
      </c>
      <c r="J9" s="76">
        <v>44404</v>
      </c>
      <c r="K9" s="76">
        <v>44433</v>
      </c>
      <c r="L9" s="71">
        <v>44466</v>
      </c>
      <c r="M9" s="71">
        <v>44494</v>
      </c>
      <c r="N9" s="71">
        <v>44528</v>
      </c>
      <c r="O9" s="71">
        <v>44556</v>
      </c>
      <c r="P9" s="68">
        <v>44559</v>
      </c>
    </row>
    <row r="10" spans="2:21" x14ac:dyDescent="0.25">
      <c r="B10" s="126"/>
      <c r="C10" s="106"/>
      <c r="D10" s="72">
        <v>44.05</v>
      </c>
      <c r="E10" s="72">
        <v>45.28</v>
      </c>
      <c r="F10" s="72">
        <v>51.84</v>
      </c>
      <c r="G10" s="72">
        <v>38.880000000000003</v>
      </c>
      <c r="H10" s="72">
        <v>36.520000000000003</v>
      </c>
      <c r="I10" s="72">
        <v>35.83</v>
      </c>
      <c r="J10" s="72">
        <v>43.58</v>
      </c>
      <c r="K10" s="72">
        <v>51.84</v>
      </c>
      <c r="L10" s="72">
        <v>75.77</v>
      </c>
      <c r="M10" s="72">
        <v>32.43</v>
      </c>
      <c r="N10" s="72">
        <v>31.83</v>
      </c>
      <c r="O10" s="72">
        <v>42.42</v>
      </c>
      <c r="P10" s="69">
        <f>SUM(D10:O10)</f>
        <v>530.27</v>
      </c>
    </row>
    <row r="11" spans="2:21" x14ac:dyDescent="0.25">
      <c r="B11" s="126"/>
      <c r="C11" s="106" t="s">
        <v>7</v>
      </c>
      <c r="D11" s="71"/>
      <c r="E11" s="71"/>
      <c r="F11" s="71">
        <v>44266</v>
      </c>
      <c r="G11" s="71"/>
      <c r="H11" s="71"/>
      <c r="I11" s="71">
        <v>44371</v>
      </c>
      <c r="J11" s="71"/>
      <c r="K11" s="71"/>
      <c r="L11" s="71">
        <v>44452</v>
      </c>
      <c r="M11" s="71"/>
      <c r="N11" s="71"/>
      <c r="O11" s="71">
        <v>44551</v>
      </c>
      <c r="P11" s="68">
        <v>44559</v>
      </c>
    </row>
    <row r="12" spans="2:21" x14ac:dyDescent="0.25">
      <c r="B12" s="126"/>
      <c r="C12" s="106"/>
      <c r="D12" s="72">
        <v>0</v>
      </c>
      <c r="E12" s="72">
        <v>0</v>
      </c>
      <c r="F12" s="72">
        <v>68.28</v>
      </c>
      <c r="G12" s="72">
        <v>0</v>
      </c>
      <c r="H12" s="72">
        <v>0</v>
      </c>
      <c r="I12" s="72">
        <v>190.79</v>
      </c>
      <c r="J12" s="72">
        <v>0</v>
      </c>
      <c r="K12" s="72">
        <v>0</v>
      </c>
      <c r="L12" s="72">
        <v>257.62</v>
      </c>
      <c r="M12" s="72">
        <v>0</v>
      </c>
      <c r="N12" s="72">
        <v>0</v>
      </c>
      <c r="O12" s="72">
        <v>256.02999999999997</v>
      </c>
      <c r="P12" s="69">
        <f>SUM(D12:O12)</f>
        <v>772.72</v>
      </c>
    </row>
    <row r="13" spans="2:21" x14ac:dyDescent="0.25">
      <c r="B13" s="126"/>
      <c r="C13" s="106" t="s">
        <v>8</v>
      </c>
      <c r="D13" s="71"/>
      <c r="E13" s="71"/>
      <c r="F13" s="71"/>
      <c r="G13" s="71"/>
      <c r="H13" s="71">
        <v>44335</v>
      </c>
      <c r="I13" s="75"/>
      <c r="J13" s="71"/>
      <c r="K13" s="71"/>
      <c r="L13" s="71"/>
      <c r="M13" s="71"/>
      <c r="N13" s="71"/>
      <c r="O13" s="82"/>
      <c r="P13" s="68">
        <v>44559</v>
      </c>
    </row>
    <row r="14" spans="2:21" x14ac:dyDescent="0.25">
      <c r="B14" s="126"/>
      <c r="C14" s="106"/>
      <c r="D14" s="72">
        <v>0</v>
      </c>
      <c r="E14" s="72">
        <v>0</v>
      </c>
      <c r="F14" s="72"/>
      <c r="G14" s="72">
        <v>0</v>
      </c>
      <c r="H14" s="72">
        <v>181.5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2">
        <v>0</v>
      </c>
      <c r="O14" s="83">
        <v>0</v>
      </c>
      <c r="P14" s="69">
        <f>SUM(D14:O14)</f>
        <v>181.5</v>
      </c>
      <c r="U14" s="47"/>
    </row>
    <row r="15" spans="2:21" x14ac:dyDescent="0.25">
      <c r="B15" s="126"/>
      <c r="C15" s="106" t="s">
        <v>3</v>
      </c>
      <c r="D15" s="71">
        <v>44216</v>
      </c>
      <c r="E15" s="71">
        <v>44254</v>
      </c>
      <c r="F15" s="71">
        <v>44290</v>
      </c>
      <c r="G15" s="71">
        <v>44317</v>
      </c>
      <c r="H15" s="71">
        <v>44336</v>
      </c>
      <c r="I15" s="71">
        <v>44367</v>
      </c>
      <c r="J15" s="76">
        <v>44397</v>
      </c>
      <c r="K15" s="76">
        <v>44428</v>
      </c>
      <c r="L15" s="71">
        <v>44460</v>
      </c>
      <c r="M15" s="71">
        <v>44489</v>
      </c>
      <c r="N15" s="71">
        <v>44520</v>
      </c>
      <c r="O15" s="71">
        <v>44550</v>
      </c>
      <c r="P15" s="68">
        <v>44559</v>
      </c>
      <c r="U15" s="47"/>
    </row>
    <row r="16" spans="2:21" x14ac:dyDescent="0.25">
      <c r="B16" s="126"/>
      <c r="C16" s="106"/>
      <c r="D16" s="72">
        <v>45</v>
      </c>
      <c r="E16" s="72">
        <v>45</v>
      </c>
      <c r="F16" s="72">
        <v>45</v>
      </c>
      <c r="G16" s="72">
        <v>45</v>
      </c>
      <c r="H16" s="72">
        <v>45</v>
      </c>
      <c r="I16" s="72">
        <v>45</v>
      </c>
      <c r="J16" s="72">
        <v>45</v>
      </c>
      <c r="K16" s="72">
        <v>45</v>
      </c>
      <c r="L16" s="72">
        <v>45</v>
      </c>
      <c r="M16" s="72">
        <v>45</v>
      </c>
      <c r="N16" s="72">
        <v>45</v>
      </c>
      <c r="O16" s="72">
        <v>45</v>
      </c>
      <c r="P16" s="69">
        <f>SUM(D16:O16)</f>
        <v>540</v>
      </c>
      <c r="U16" s="47"/>
    </row>
    <row r="17" spans="2:21" x14ac:dyDescent="0.25">
      <c r="B17" s="126"/>
      <c r="C17" s="106" t="s">
        <v>5</v>
      </c>
      <c r="D17" s="71">
        <v>44228</v>
      </c>
      <c r="E17" s="71">
        <v>44254</v>
      </c>
      <c r="F17" s="71">
        <v>44283</v>
      </c>
      <c r="G17" s="71">
        <v>44317</v>
      </c>
      <c r="H17" s="71">
        <v>44335</v>
      </c>
      <c r="I17" s="71">
        <v>44371</v>
      </c>
      <c r="J17" s="76">
        <v>44404</v>
      </c>
      <c r="K17" s="76">
        <v>44437</v>
      </c>
      <c r="L17" s="71">
        <v>44466</v>
      </c>
      <c r="M17" s="71">
        <v>44494</v>
      </c>
      <c r="N17" s="71">
        <v>44528</v>
      </c>
      <c r="O17" s="71">
        <v>44556</v>
      </c>
      <c r="P17" s="68">
        <v>44559</v>
      </c>
      <c r="U17" s="47"/>
    </row>
    <row r="18" spans="2:21" x14ac:dyDescent="0.25">
      <c r="B18" s="126"/>
      <c r="C18" s="106"/>
      <c r="D18" s="72">
        <v>25</v>
      </c>
      <c r="E18" s="72">
        <v>25</v>
      </c>
      <c r="F18" s="72">
        <v>25</v>
      </c>
      <c r="G18" s="72">
        <v>25</v>
      </c>
      <c r="H18" s="72">
        <v>25</v>
      </c>
      <c r="I18" s="72">
        <v>25</v>
      </c>
      <c r="J18" s="72">
        <v>25</v>
      </c>
      <c r="K18" s="72">
        <v>46</v>
      </c>
      <c r="L18" s="72">
        <v>46</v>
      </c>
      <c r="M18" s="72">
        <v>46</v>
      </c>
      <c r="N18" s="72">
        <v>46</v>
      </c>
      <c r="O18" s="72">
        <v>46</v>
      </c>
      <c r="P18" s="69">
        <f>SUM(D18:O18)</f>
        <v>405</v>
      </c>
      <c r="U18" s="47"/>
    </row>
    <row r="19" spans="2:21" ht="15" customHeight="1" x14ac:dyDescent="0.25">
      <c r="B19" s="127"/>
      <c r="C19" s="42" t="s">
        <v>0</v>
      </c>
      <c r="D19" s="79">
        <f t="shared" ref="D19:P19" si="0">SUM(D4,D6,D8,D10,D12,D14,D16,D18)</f>
        <v>434.72</v>
      </c>
      <c r="E19" s="79">
        <f t="shared" si="0"/>
        <v>453.04</v>
      </c>
      <c r="F19" s="79">
        <f t="shared" si="0"/>
        <v>477.11</v>
      </c>
      <c r="G19" s="79">
        <f t="shared" si="0"/>
        <v>308.93</v>
      </c>
      <c r="H19" s="79">
        <f t="shared" si="0"/>
        <v>434.01</v>
      </c>
      <c r="I19" s="79">
        <f t="shared" si="0"/>
        <v>477.17</v>
      </c>
      <c r="J19" s="79">
        <f t="shared" si="0"/>
        <v>282.11</v>
      </c>
      <c r="K19" s="79">
        <f t="shared" si="0"/>
        <v>322.52</v>
      </c>
      <c r="L19" s="79">
        <f t="shared" si="0"/>
        <v>610.74</v>
      </c>
      <c r="M19" s="79">
        <f t="shared" si="0"/>
        <v>233.16</v>
      </c>
      <c r="N19" s="79">
        <f t="shared" si="0"/>
        <v>333.62</v>
      </c>
      <c r="O19" s="79">
        <f t="shared" si="0"/>
        <v>720.84</v>
      </c>
      <c r="P19" s="79">
        <f t="shared" si="0"/>
        <v>5087.97</v>
      </c>
      <c r="U19" s="47"/>
    </row>
    <row r="20" spans="2:21" x14ac:dyDescent="0.25">
      <c r="B20" s="118" t="s">
        <v>58</v>
      </c>
      <c r="C20" s="107" t="s">
        <v>59</v>
      </c>
      <c r="D20" s="71">
        <v>44210</v>
      </c>
      <c r="E20" s="71"/>
      <c r="F20" s="71"/>
      <c r="G20" s="71"/>
      <c r="H20" s="71"/>
      <c r="I20" s="71"/>
      <c r="J20" s="76"/>
      <c r="K20" s="71"/>
      <c r="L20" s="71"/>
      <c r="M20" s="71"/>
      <c r="N20" s="71"/>
      <c r="O20" s="71"/>
      <c r="P20" s="68"/>
      <c r="U20" s="47"/>
    </row>
    <row r="21" spans="2:21" x14ac:dyDescent="0.25">
      <c r="B21" s="119"/>
      <c r="C21" s="108"/>
      <c r="D21" s="72">
        <v>925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>
        <v>0</v>
      </c>
      <c r="P21" s="69">
        <f>SUM(D21:O21)</f>
        <v>925</v>
      </c>
      <c r="U21" s="47"/>
    </row>
    <row r="22" spans="2:21" x14ac:dyDescent="0.25">
      <c r="B22" s="119"/>
      <c r="C22" s="107" t="s">
        <v>62</v>
      </c>
      <c r="D22" s="71"/>
      <c r="E22" s="71"/>
      <c r="F22" s="71"/>
      <c r="G22" s="71"/>
      <c r="H22" s="71"/>
      <c r="I22" s="71"/>
      <c r="J22" s="71">
        <v>44378</v>
      </c>
      <c r="K22" s="71"/>
      <c r="L22" s="71"/>
      <c r="M22" s="71"/>
      <c r="N22" s="71">
        <v>44533</v>
      </c>
      <c r="O22" s="71"/>
      <c r="P22" s="67"/>
      <c r="U22" s="46"/>
    </row>
    <row r="23" spans="2:21" ht="15" customHeight="1" x14ac:dyDescent="0.25">
      <c r="B23" s="119"/>
      <c r="C23" s="108"/>
      <c r="D23" s="72">
        <v>0</v>
      </c>
      <c r="E23" s="72">
        <f>5415+428</f>
        <v>5843</v>
      </c>
      <c r="F23" s="72">
        <v>0</v>
      </c>
      <c r="G23" s="72">
        <v>0</v>
      </c>
      <c r="H23" s="72">
        <v>0</v>
      </c>
      <c r="I23" s="72">
        <v>0</v>
      </c>
      <c r="J23" s="72">
        <v>2304.46</v>
      </c>
      <c r="K23" s="72">
        <v>0</v>
      </c>
      <c r="L23" s="72">
        <v>0</v>
      </c>
      <c r="M23" s="72">
        <v>0</v>
      </c>
      <c r="N23" s="72">
        <v>1591.68</v>
      </c>
      <c r="O23" s="72">
        <v>0</v>
      </c>
      <c r="P23" s="69">
        <f>SUM(D23:O23)</f>
        <v>9739.14</v>
      </c>
      <c r="Q23" s="40"/>
    </row>
    <row r="24" spans="2:21" ht="15" customHeight="1" x14ac:dyDescent="0.25">
      <c r="B24" s="120"/>
      <c r="C24" s="39" t="s">
        <v>0</v>
      </c>
      <c r="D24" s="79">
        <f t="shared" ref="D24:P24" si="1">SUM(D21,D23)</f>
        <v>925</v>
      </c>
      <c r="E24" s="79">
        <f t="shared" si="1"/>
        <v>5843</v>
      </c>
      <c r="F24" s="79">
        <f t="shared" si="1"/>
        <v>0</v>
      </c>
      <c r="G24" s="79">
        <f t="shared" si="1"/>
        <v>0</v>
      </c>
      <c r="H24" s="79">
        <f t="shared" si="1"/>
        <v>0</v>
      </c>
      <c r="I24" s="79">
        <f t="shared" si="1"/>
        <v>0</v>
      </c>
      <c r="J24" s="79">
        <f t="shared" si="1"/>
        <v>2304.46</v>
      </c>
      <c r="K24" s="79">
        <f t="shared" si="1"/>
        <v>0</v>
      </c>
      <c r="L24" s="79">
        <f t="shared" si="1"/>
        <v>0</v>
      </c>
      <c r="M24" s="79">
        <f t="shared" si="1"/>
        <v>0</v>
      </c>
      <c r="N24" s="79">
        <f t="shared" si="1"/>
        <v>1591.68</v>
      </c>
      <c r="O24" s="79">
        <f t="shared" si="1"/>
        <v>0</v>
      </c>
      <c r="P24" s="79">
        <f t="shared" si="1"/>
        <v>10664.14</v>
      </c>
      <c r="Q24" s="41"/>
    </row>
    <row r="25" spans="2:21" x14ac:dyDescent="0.25">
      <c r="B25" s="121" t="s">
        <v>24</v>
      </c>
      <c r="C25" s="104" t="s">
        <v>32</v>
      </c>
      <c r="D25" s="71">
        <v>44228</v>
      </c>
      <c r="E25" s="71">
        <v>44254</v>
      </c>
      <c r="F25" s="71">
        <v>44283</v>
      </c>
      <c r="G25" s="71">
        <v>44317</v>
      </c>
      <c r="H25" s="71">
        <v>44346</v>
      </c>
      <c r="I25" s="71">
        <v>44371</v>
      </c>
      <c r="J25" s="76">
        <v>44404</v>
      </c>
      <c r="K25" s="76">
        <v>44437</v>
      </c>
      <c r="L25" s="71">
        <v>44471</v>
      </c>
      <c r="M25" s="71">
        <v>44494</v>
      </c>
      <c r="N25" s="71">
        <v>44531</v>
      </c>
      <c r="O25" s="71">
        <v>44561</v>
      </c>
      <c r="P25" s="68">
        <v>44559</v>
      </c>
      <c r="Q25" s="41"/>
      <c r="S25" s="34"/>
    </row>
    <row r="26" spans="2:21" x14ac:dyDescent="0.25">
      <c r="B26" s="122"/>
      <c r="C26" s="105"/>
      <c r="D26" s="72">
        <v>87.84</v>
      </c>
      <c r="E26" s="72">
        <v>383</v>
      </c>
      <c r="F26" s="72">
        <v>121.59</v>
      </c>
      <c r="G26" s="72">
        <v>104.18</v>
      </c>
      <c r="H26" s="72">
        <v>0</v>
      </c>
      <c r="I26" s="72">
        <v>175.06</v>
      </c>
      <c r="J26" s="72">
        <v>43.92</v>
      </c>
      <c r="K26" s="72">
        <v>0</v>
      </c>
      <c r="L26" s="74">
        <v>359.63</v>
      </c>
      <c r="M26" s="72">
        <v>101.35</v>
      </c>
      <c r="N26" s="72">
        <v>602.26</v>
      </c>
      <c r="O26" s="72">
        <v>445</v>
      </c>
      <c r="P26" s="69">
        <f>SUM(D26:O26)</f>
        <v>2423.83</v>
      </c>
      <c r="Q26" s="40"/>
    </row>
    <row r="27" spans="2:21" x14ac:dyDescent="0.25">
      <c r="B27" s="122"/>
      <c r="C27" s="104" t="s">
        <v>33</v>
      </c>
      <c r="D27" s="71">
        <v>44228</v>
      </c>
      <c r="E27" s="71">
        <v>44254</v>
      </c>
      <c r="F27" s="71">
        <v>44283</v>
      </c>
      <c r="G27" s="71">
        <v>44317</v>
      </c>
      <c r="H27" s="71">
        <v>44346</v>
      </c>
      <c r="I27" s="71">
        <v>44371</v>
      </c>
      <c r="J27" s="76">
        <v>44404</v>
      </c>
      <c r="K27" s="76">
        <v>44437</v>
      </c>
      <c r="L27" s="71">
        <v>44471</v>
      </c>
      <c r="M27" s="71">
        <v>44501</v>
      </c>
      <c r="N27" s="71">
        <v>44528</v>
      </c>
      <c r="O27" s="71">
        <v>44561</v>
      </c>
      <c r="P27" s="68">
        <v>44559</v>
      </c>
      <c r="Q27" s="41"/>
      <c r="R27" s="34"/>
    </row>
    <row r="28" spans="2:21" x14ac:dyDescent="0.25">
      <c r="B28" s="122"/>
      <c r="C28" s="105"/>
      <c r="D28" s="72">
        <v>213</v>
      </c>
      <c r="E28" s="72">
        <v>0</v>
      </c>
      <c r="F28" s="72">
        <v>41.38</v>
      </c>
      <c r="G28" s="72">
        <v>26.48</v>
      </c>
      <c r="H28" s="72">
        <v>0</v>
      </c>
      <c r="I28" s="72">
        <v>0</v>
      </c>
      <c r="J28" s="72">
        <v>0</v>
      </c>
      <c r="K28" s="72">
        <v>11.6</v>
      </c>
      <c r="L28" s="72">
        <v>0</v>
      </c>
      <c r="M28" s="72">
        <v>0</v>
      </c>
      <c r="N28" s="72">
        <v>0</v>
      </c>
      <c r="O28" s="72">
        <v>0</v>
      </c>
      <c r="P28" s="69">
        <f>SUM(D28:O28)</f>
        <v>292.45999999999998</v>
      </c>
      <c r="Q28" s="40"/>
    </row>
    <row r="29" spans="2:21" x14ac:dyDescent="0.25">
      <c r="B29" s="122"/>
      <c r="C29" s="104" t="s">
        <v>34</v>
      </c>
      <c r="D29" s="71">
        <v>44228</v>
      </c>
      <c r="E29" s="71">
        <v>44254</v>
      </c>
      <c r="F29" s="71">
        <v>44283</v>
      </c>
      <c r="G29" s="71">
        <v>44317</v>
      </c>
      <c r="H29" s="71">
        <v>44346</v>
      </c>
      <c r="I29" s="71">
        <v>44371</v>
      </c>
      <c r="J29" s="76">
        <v>44404</v>
      </c>
      <c r="K29" s="76">
        <v>44437</v>
      </c>
      <c r="L29" s="71">
        <v>44471</v>
      </c>
      <c r="M29" s="71">
        <v>44494</v>
      </c>
      <c r="N29" s="71">
        <v>44528</v>
      </c>
      <c r="O29" s="71">
        <v>44561</v>
      </c>
      <c r="P29" s="68">
        <v>44559</v>
      </c>
      <c r="Q29" s="41"/>
    </row>
    <row r="30" spans="2:21" x14ac:dyDescent="0.25">
      <c r="B30" s="122"/>
      <c r="C30" s="105"/>
      <c r="D30" s="72">
        <v>0</v>
      </c>
      <c r="E30" s="72">
        <v>0</v>
      </c>
      <c r="F30" s="72">
        <v>0</v>
      </c>
      <c r="G30" s="72">
        <v>0</v>
      </c>
      <c r="H30" s="72">
        <v>0</v>
      </c>
      <c r="I30" s="72">
        <v>3.47</v>
      </c>
      <c r="J30" s="72">
        <v>0</v>
      </c>
      <c r="K30" s="72">
        <v>0</v>
      </c>
      <c r="L30" s="72">
        <v>114.74</v>
      </c>
      <c r="M30" s="72">
        <v>160.05000000000001</v>
      </c>
      <c r="N30" s="72">
        <v>0</v>
      </c>
      <c r="O30" s="72">
        <v>0</v>
      </c>
      <c r="P30" s="69">
        <f>SUM(D30:O30)</f>
        <v>278.26</v>
      </c>
      <c r="Q30" s="40"/>
      <c r="T30" s="34"/>
    </row>
    <row r="31" spans="2:21" ht="15" customHeight="1" x14ac:dyDescent="0.25">
      <c r="B31" s="122"/>
      <c r="C31" s="104" t="s">
        <v>50</v>
      </c>
      <c r="D31" s="71">
        <v>44228</v>
      </c>
      <c r="E31" s="71">
        <v>44254</v>
      </c>
      <c r="F31" s="71">
        <v>44283</v>
      </c>
      <c r="G31" s="71">
        <v>44317</v>
      </c>
      <c r="H31" s="71">
        <v>44346</v>
      </c>
      <c r="I31" s="71">
        <v>44371</v>
      </c>
      <c r="J31" s="76">
        <v>44404</v>
      </c>
      <c r="K31" s="76">
        <v>44437</v>
      </c>
      <c r="L31" s="71">
        <v>44471</v>
      </c>
      <c r="M31" s="71">
        <v>44501</v>
      </c>
      <c r="N31" s="71">
        <v>44528</v>
      </c>
      <c r="O31" s="71">
        <v>44561</v>
      </c>
      <c r="P31" s="68">
        <v>44559</v>
      </c>
      <c r="Q31" s="41"/>
      <c r="T31" s="34"/>
    </row>
    <row r="32" spans="2:21" x14ac:dyDescent="0.25">
      <c r="B32" s="122"/>
      <c r="C32" s="105"/>
      <c r="D32" s="74">
        <v>49.31</v>
      </c>
      <c r="E32" s="74">
        <v>24.04</v>
      </c>
      <c r="F32" s="74">
        <v>0</v>
      </c>
      <c r="G32" s="74">
        <v>0</v>
      </c>
      <c r="H32" s="74">
        <v>0</v>
      </c>
      <c r="I32" s="74">
        <v>21.19</v>
      </c>
      <c r="J32" s="74">
        <v>0</v>
      </c>
      <c r="K32" s="74">
        <v>2.64</v>
      </c>
      <c r="L32" s="74">
        <v>0</v>
      </c>
      <c r="M32" s="74">
        <v>0</v>
      </c>
      <c r="N32" s="74">
        <v>0</v>
      </c>
      <c r="O32" s="74">
        <v>80.55</v>
      </c>
      <c r="P32" s="70">
        <f>SUM(D32:O32)</f>
        <v>177.73</v>
      </c>
      <c r="Q32" s="40"/>
      <c r="T32" s="34"/>
    </row>
    <row r="33" spans="2:20" ht="15" customHeight="1" x14ac:dyDescent="0.25">
      <c r="B33" s="122"/>
      <c r="C33" s="104" t="s">
        <v>61</v>
      </c>
      <c r="D33" s="71">
        <v>44228</v>
      </c>
      <c r="E33" s="71">
        <v>44254</v>
      </c>
      <c r="F33" s="71">
        <v>44283</v>
      </c>
      <c r="G33" s="71">
        <v>44317</v>
      </c>
      <c r="H33" s="71">
        <v>44346</v>
      </c>
      <c r="I33" s="71">
        <v>44371</v>
      </c>
      <c r="J33" s="76">
        <v>44404</v>
      </c>
      <c r="K33" s="76">
        <v>44437</v>
      </c>
      <c r="L33" s="71">
        <v>44471</v>
      </c>
      <c r="M33" s="71">
        <v>44501</v>
      </c>
      <c r="N33" s="71">
        <v>44531</v>
      </c>
      <c r="O33" s="71">
        <v>44561</v>
      </c>
      <c r="P33" s="68">
        <v>44559</v>
      </c>
      <c r="Q33" s="41"/>
      <c r="T33" s="34"/>
    </row>
    <row r="34" spans="2:20" x14ac:dyDescent="0.25">
      <c r="B34" s="122"/>
      <c r="C34" s="105"/>
      <c r="D34" s="74">
        <v>501.54</v>
      </c>
      <c r="E34" s="74">
        <v>324.3</v>
      </c>
      <c r="F34" s="74">
        <v>405.59</v>
      </c>
      <c r="G34" s="74">
        <v>283.44</v>
      </c>
      <c r="H34" s="74">
        <v>75.17</v>
      </c>
      <c r="I34" s="74">
        <v>369.34</v>
      </c>
      <c r="J34" s="74">
        <v>597.52</v>
      </c>
      <c r="K34" s="74">
        <v>452.15</v>
      </c>
      <c r="L34" s="72">
        <v>223.39</v>
      </c>
      <c r="M34" s="74">
        <v>0</v>
      </c>
      <c r="N34" s="74">
        <v>40.83</v>
      </c>
      <c r="O34" s="74">
        <v>32.96</v>
      </c>
      <c r="P34" s="70">
        <f>SUM(D34:O34)</f>
        <v>3306.23</v>
      </c>
      <c r="Q34" s="40"/>
      <c r="T34" s="34"/>
    </row>
    <row r="35" spans="2:20" x14ac:dyDescent="0.25">
      <c r="B35" s="122"/>
      <c r="C35" s="104" t="s">
        <v>44</v>
      </c>
      <c r="D35" s="71">
        <v>44228</v>
      </c>
      <c r="E35" s="71">
        <v>44254</v>
      </c>
      <c r="F35" s="71">
        <v>44283</v>
      </c>
      <c r="G35" s="71">
        <v>44317</v>
      </c>
      <c r="H35" s="71">
        <v>44346</v>
      </c>
      <c r="I35" s="71">
        <v>44371</v>
      </c>
      <c r="J35" s="76">
        <v>44404</v>
      </c>
      <c r="K35" s="76">
        <v>44437</v>
      </c>
      <c r="L35" s="71">
        <v>44471</v>
      </c>
      <c r="M35" s="71">
        <v>44506</v>
      </c>
      <c r="N35" s="71">
        <v>44531</v>
      </c>
      <c r="O35" s="71">
        <v>44561</v>
      </c>
      <c r="P35" s="68">
        <v>44559</v>
      </c>
      <c r="Q35" s="41"/>
      <c r="T35" s="34"/>
    </row>
    <row r="36" spans="2:20" x14ac:dyDescent="0.25">
      <c r="B36" s="122"/>
      <c r="C36" s="105"/>
      <c r="D36" s="72">
        <f>1696.16-D4-D16-D63-D57-D21</f>
        <v>596.52</v>
      </c>
      <c r="E36" s="72">
        <f>436.17-E4-E16-E63</f>
        <v>49.15</v>
      </c>
      <c r="F36" s="72">
        <f>612.64-F4-F16-F63-E8-F61</f>
        <v>265.52999999999997</v>
      </c>
      <c r="G36" s="72">
        <f>164.36-G16-F18-F8</f>
        <v>6.12</v>
      </c>
      <c r="H36" s="72">
        <v>101.97</v>
      </c>
      <c r="I36" s="72">
        <f>1707.55-I4-I59-I63-I65</f>
        <v>395.26</v>
      </c>
      <c r="J36" s="72">
        <f>1613.52-J4-J16-I8-I18-J65-J67-J63-J59</f>
        <v>698.65</v>
      </c>
      <c r="K36" s="72">
        <f>2997.69-K16-K4-J8-J18-K65-K59-K63</f>
        <v>1712.83</v>
      </c>
      <c r="L36" s="72">
        <f>515.68-L8-L18-L16-L4-L59-K8</f>
        <v>-72.849999999999895</v>
      </c>
      <c r="M36" s="72">
        <f>1294.4+528-M8-M16-M18-M4</f>
        <v>1639.8</v>
      </c>
      <c r="N36" s="72">
        <f>605.5-N8-N16-N18-N4-N59</f>
        <v>338.19</v>
      </c>
      <c r="O36" s="72">
        <f>3329.54-O16-O4-O8-O18-O59-O65-O63</f>
        <v>2895.67</v>
      </c>
      <c r="P36" s="70">
        <f>SUM(D36:O36)</f>
        <v>8626.84</v>
      </c>
      <c r="Q36" s="40"/>
      <c r="T36" s="34"/>
    </row>
    <row r="37" spans="2:20" x14ac:dyDescent="0.25">
      <c r="B37" s="122"/>
      <c r="C37" s="104" t="s">
        <v>40</v>
      </c>
      <c r="D37" s="71">
        <v>44228</v>
      </c>
      <c r="E37" s="71">
        <v>44254</v>
      </c>
      <c r="F37" s="71">
        <v>44283</v>
      </c>
      <c r="G37" s="71">
        <v>44317</v>
      </c>
      <c r="H37" s="71">
        <v>44346</v>
      </c>
      <c r="I37" s="71">
        <v>44371</v>
      </c>
      <c r="J37" s="76">
        <v>44404</v>
      </c>
      <c r="K37" s="76">
        <v>44437</v>
      </c>
      <c r="L37" s="71">
        <v>44471</v>
      </c>
      <c r="M37" s="71">
        <v>44501</v>
      </c>
      <c r="N37" s="71">
        <v>44528</v>
      </c>
      <c r="O37" s="71">
        <v>44561</v>
      </c>
      <c r="P37" s="68">
        <v>44559</v>
      </c>
      <c r="Q37" s="41"/>
      <c r="T37" s="34"/>
    </row>
    <row r="38" spans="2:20" x14ac:dyDescent="0.25">
      <c r="B38" s="122"/>
      <c r="C38" s="105"/>
      <c r="D38" s="72">
        <v>0</v>
      </c>
      <c r="E38" s="72">
        <v>0</v>
      </c>
      <c r="F38" s="72">
        <v>0</v>
      </c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72">
        <v>87.45</v>
      </c>
      <c r="M38" s="72">
        <v>0</v>
      </c>
      <c r="N38" s="72">
        <v>0</v>
      </c>
      <c r="O38" s="72">
        <v>0</v>
      </c>
      <c r="P38" s="70">
        <f>SUM(D38:O38)</f>
        <v>87.45</v>
      </c>
      <c r="Q38" s="40"/>
      <c r="T38" s="34"/>
    </row>
    <row r="39" spans="2:20" ht="15" customHeight="1" x14ac:dyDescent="0.25">
      <c r="B39" s="122"/>
      <c r="C39" s="104" t="s">
        <v>35</v>
      </c>
      <c r="D39" s="71">
        <v>44228</v>
      </c>
      <c r="E39" s="71">
        <v>44254</v>
      </c>
      <c r="F39" s="71">
        <v>44283</v>
      </c>
      <c r="G39" s="71">
        <v>44317</v>
      </c>
      <c r="H39" s="71">
        <v>44346</v>
      </c>
      <c r="I39" s="71">
        <v>44371</v>
      </c>
      <c r="J39" s="76">
        <v>44404</v>
      </c>
      <c r="K39" s="76">
        <v>44437</v>
      </c>
      <c r="L39" s="71">
        <v>44471</v>
      </c>
      <c r="M39" s="71">
        <v>44506</v>
      </c>
      <c r="N39" s="71">
        <v>44528</v>
      </c>
      <c r="O39" s="71">
        <v>44561</v>
      </c>
      <c r="P39" s="68">
        <v>44559</v>
      </c>
      <c r="Q39" s="41"/>
    </row>
    <row r="40" spans="2:20" x14ac:dyDescent="0.25">
      <c r="B40" s="122"/>
      <c r="C40" s="105"/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78.11</v>
      </c>
      <c r="N40" s="72">
        <v>4.03</v>
      </c>
      <c r="O40" s="72">
        <v>0</v>
      </c>
      <c r="P40" s="69">
        <f>SUM(D40:O40)</f>
        <v>82.14</v>
      </c>
      <c r="Q40" s="40"/>
    </row>
    <row r="41" spans="2:20" x14ac:dyDescent="0.25">
      <c r="B41" s="122"/>
      <c r="C41" s="117" t="s">
        <v>36</v>
      </c>
      <c r="D41" s="71">
        <v>44228</v>
      </c>
      <c r="E41" s="71">
        <v>44254</v>
      </c>
      <c r="F41" s="71">
        <v>44283</v>
      </c>
      <c r="G41" s="71">
        <v>44317</v>
      </c>
      <c r="H41" s="71">
        <v>44346</v>
      </c>
      <c r="I41" s="71">
        <v>44371</v>
      </c>
      <c r="J41" s="76">
        <v>44404</v>
      </c>
      <c r="K41" s="76">
        <v>44437</v>
      </c>
      <c r="L41" s="71">
        <v>44471</v>
      </c>
      <c r="M41" s="71">
        <v>44501</v>
      </c>
      <c r="N41" s="71">
        <v>44528</v>
      </c>
      <c r="O41" s="71">
        <v>44561</v>
      </c>
      <c r="P41" s="68">
        <v>44559</v>
      </c>
      <c r="Q41" s="41"/>
    </row>
    <row r="42" spans="2:20" x14ac:dyDescent="0.25">
      <c r="B42" s="122"/>
      <c r="C42" s="117"/>
      <c r="D42" s="72">
        <v>0</v>
      </c>
      <c r="E42" s="72">
        <v>0</v>
      </c>
      <c r="F42" s="72">
        <v>367.56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  <c r="N42" s="72">
        <v>99.22</v>
      </c>
      <c r="O42" s="72">
        <v>0</v>
      </c>
      <c r="P42" s="69">
        <f>SUM(D42:O42)</f>
        <v>466.78</v>
      </c>
      <c r="Q42" s="40"/>
    </row>
    <row r="43" spans="2:20" ht="15" customHeight="1" x14ac:dyDescent="0.25">
      <c r="B43" s="122"/>
      <c r="C43" s="124" t="s">
        <v>37</v>
      </c>
      <c r="D43" s="71">
        <v>44228</v>
      </c>
      <c r="E43" s="71">
        <v>44254</v>
      </c>
      <c r="F43" s="71">
        <v>44283</v>
      </c>
      <c r="G43" s="71">
        <v>44317</v>
      </c>
      <c r="H43" s="71">
        <v>44346</v>
      </c>
      <c r="I43" s="71">
        <v>44371</v>
      </c>
      <c r="J43" s="76">
        <v>44404</v>
      </c>
      <c r="K43" s="76">
        <v>44437</v>
      </c>
      <c r="L43" s="71">
        <v>44471</v>
      </c>
      <c r="M43" s="71">
        <v>44501</v>
      </c>
      <c r="N43" s="71">
        <v>44528</v>
      </c>
      <c r="O43" s="71">
        <v>44561</v>
      </c>
      <c r="P43" s="68">
        <v>44559</v>
      </c>
    </row>
    <row r="44" spans="2:20" x14ac:dyDescent="0.25">
      <c r="B44" s="122"/>
      <c r="C44" s="105"/>
      <c r="D44" s="72">
        <v>28.26</v>
      </c>
      <c r="E44" s="72">
        <v>70.19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52.65</v>
      </c>
      <c r="L44" s="72">
        <v>0</v>
      </c>
      <c r="M44" s="72">
        <v>140.49</v>
      </c>
      <c r="N44" s="72">
        <f>108.88+35.39</f>
        <v>144.27000000000001</v>
      </c>
      <c r="O44" s="72">
        <v>0</v>
      </c>
      <c r="P44" s="69">
        <f>SUM(D44:O44)</f>
        <v>435.86</v>
      </c>
      <c r="Q44" s="40"/>
    </row>
    <row r="45" spans="2:20" x14ac:dyDescent="0.25">
      <c r="B45" s="122"/>
      <c r="C45" s="104" t="s">
        <v>48</v>
      </c>
      <c r="D45" s="71">
        <v>44228</v>
      </c>
      <c r="E45" s="71">
        <v>44254</v>
      </c>
      <c r="F45" s="71">
        <v>44283</v>
      </c>
      <c r="G45" s="71">
        <v>44317</v>
      </c>
      <c r="H45" s="71">
        <v>44346</v>
      </c>
      <c r="I45" s="71">
        <v>44371</v>
      </c>
      <c r="J45" s="76">
        <v>44404</v>
      </c>
      <c r="K45" s="76">
        <v>44437</v>
      </c>
      <c r="L45" s="71">
        <v>44471</v>
      </c>
      <c r="M45" s="71">
        <v>44501</v>
      </c>
      <c r="N45" s="71">
        <v>44528</v>
      </c>
      <c r="O45" s="71">
        <v>44561</v>
      </c>
      <c r="P45" s="68">
        <v>44559</v>
      </c>
      <c r="Q45" s="34"/>
    </row>
    <row r="46" spans="2:20" x14ac:dyDescent="0.25">
      <c r="B46" s="122"/>
      <c r="C46" s="105"/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46.64</v>
      </c>
      <c r="J46" s="74">
        <v>0</v>
      </c>
      <c r="K46" s="74">
        <v>0</v>
      </c>
      <c r="L46" s="74">
        <v>3.1</v>
      </c>
      <c r="M46" s="74">
        <v>0</v>
      </c>
      <c r="N46" s="74">
        <v>0</v>
      </c>
      <c r="O46" s="74">
        <v>0</v>
      </c>
      <c r="P46" s="69">
        <f>SUM(D46:O46)</f>
        <v>49.74</v>
      </c>
      <c r="Q46" s="34"/>
    </row>
    <row r="47" spans="2:20" x14ac:dyDescent="0.25">
      <c r="B47" s="122"/>
      <c r="C47" s="104" t="s">
        <v>60</v>
      </c>
      <c r="D47" s="71">
        <v>44228</v>
      </c>
      <c r="E47" s="71">
        <v>44254</v>
      </c>
      <c r="F47" s="71">
        <v>44283</v>
      </c>
      <c r="G47" s="71">
        <v>44317</v>
      </c>
      <c r="H47" s="71">
        <v>44346</v>
      </c>
      <c r="I47" s="71">
        <v>44371</v>
      </c>
      <c r="J47" s="76">
        <v>44404</v>
      </c>
      <c r="K47" s="71">
        <v>44437</v>
      </c>
      <c r="L47" s="71">
        <v>44471</v>
      </c>
      <c r="M47" s="71">
        <v>44494</v>
      </c>
      <c r="N47" s="71">
        <v>44528</v>
      </c>
      <c r="O47" s="71">
        <v>44561</v>
      </c>
      <c r="P47" s="68">
        <v>44559</v>
      </c>
    </row>
    <row r="48" spans="2:20" x14ac:dyDescent="0.25">
      <c r="B48" s="122"/>
      <c r="C48" s="105"/>
      <c r="D48" s="74">
        <v>0</v>
      </c>
      <c r="E48" s="74">
        <v>0</v>
      </c>
      <c r="F48" s="74">
        <v>0</v>
      </c>
      <c r="G48" s="72">
        <f>2068.66-G4-G63-G23-G10-G57</f>
        <v>805.92</v>
      </c>
      <c r="H48" s="72">
        <f>1908.34-H8-H16-H59-H4-H14-H18-G18-G8</f>
        <v>926.13</v>
      </c>
      <c r="I48" s="72">
        <f>132.92-I16</f>
        <v>87.92</v>
      </c>
      <c r="J48" s="72">
        <v>260.17</v>
      </c>
      <c r="K48" s="72">
        <v>59.54</v>
      </c>
      <c r="L48" s="72">
        <v>57.08</v>
      </c>
      <c r="M48" s="72">
        <v>175.83</v>
      </c>
      <c r="N48" s="72">
        <v>24.37</v>
      </c>
      <c r="O48" s="72">
        <v>35.99</v>
      </c>
      <c r="P48" s="69">
        <f>SUM(D48:O48)</f>
        <v>2432.9499999999998</v>
      </c>
      <c r="Q48" s="40"/>
    </row>
    <row r="49" spans="2:18" x14ac:dyDescent="0.25">
      <c r="B49" s="122"/>
      <c r="C49" s="104" t="s">
        <v>64</v>
      </c>
      <c r="D49" s="78"/>
      <c r="E49" s="78"/>
      <c r="F49" s="78"/>
      <c r="G49" s="74"/>
      <c r="H49" s="74"/>
      <c r="I49" s="74"/>
      <c r="J49" s="74"/>
      <c r="K49" s="74"/>
      <c r="L49" s="74"/>
      <c r="M49" s="71">
        <v>44506</v>
      </c>
      <c r="N49" s="71">
        <v>44528</v>
      </c>
      <c r="O49" s="71">
        <v>44561</v>
      </c>
      <c r="P49" s="68">
        <v>44559</v>
      </c>
      <c r="Q49" s="34"/>
    </row>
    <row r="50" spans="2:18" x14ac:dyDescent="0.25">
      <c r="B50" s="122"/>
      <c r="C50" s="105"/>
      <c r="D50" s="74"/>
      <c r="E50" s="74"/>
      <c r="F50" s="74"/>
      <c r="G50" s="74"/>
      <c r="H50" s="74"/>
      <c r="I50" s="74"/>
      <c r="J50" s="74"/>
      <c r="K50" s="74"/>
      <c r="L50" s="74"/>
      <c r="M50" s="74">
        <v>363.56</v>
      </c>
      <c r="N50" s="74">
        <v>326.52999999999997</v>
      </c>
      <c r="O50" s="74">
        <v>440.19</v>
      </c>
      <c r="P50" s="69">
        <f>SUM(D50:O50)</f>
        <v>1130.28</v>
      </c>
      <c r="Q50" s="34"/>
    </row>
    <row r="51" spans="2:18" x14ac:dyDescent="0.25">
      <c r="B51" s="122"/>
      <c r="C51" s="104" t="s">
        <v>49</v>
      </c>
      <c r="D51" s="71">
        <v>44228</v>
      </c>
      <c r="E51" s="71">
        <v>44254</v>
      </c>
      <c r="F51" s="71">
        <v>44283</v>
      </c>
      <c r="G51" s="71">
        <v>44317</v>
      </c>
      <c r="H51" s="71">
        <v>44346</v>
      </c>
      <c r="I51" s="71">
        <v>44371</v>
      </c>
      <c r="J51" s="76">
        <v>44404</v>
      </c>
      <c r="K51" s="76">
        <v>44437</v>
      </c>
      <c r="L51" s="71">
        <v>44471</v>
      </c>
      <c r="M51" s="71">
        <v>44501</v>
      </c>
      <c r="N51" s="71">
        <v>44528</v>
      </c>
      <c r="O51" s="71">
        <v>44561</v>
      </c>
      <c r="P51" s="68">
        <v>44559</v>
      </c>
      <c r="Q51" s="34"/>
    </row>
    <row r="52" spans="2:18" x14ac:dyDescent="0.25">
      <c r="B52" s="122"/>
      <c r="C52" s="105"/>
      <c r="D52" s="72">
        <v>0</v>
      </c>
      <c r="E52" s="72">
        <v>0</v>
      </c>
      <c r="F52" s="72">
        <v>0</v>
      </c>
      <c r="G52" s="72">
        <v>115.9</v>
      </c>
      <c r="H52" s="72">
        <v>0</v>
      </c>
      <c r="I52" s="72">
        <v>0</v>
      </c>
      <c r="J52" s="72">
        <v>0</v>
      </c>
      <c r="K52" s="72">
        <v>19.89</v>
      </c>
      <c r="L52" s="72">
        <v>0</v>
      </c>
      <c r="M52" s="72">
        <v>0</v>
      </c>
      <c r="N52" s="72">
        <v>0</v>
      </c>
      <c r="O52" s="72">
        <v>0</v>
      </c>
      <c r="P52" s="69">
        <f>SUM(D52:O52)</f>
        <v>135.79</v>
      </c>
      <c r="Q52" s="34"/>
      <c r="R52" s="34"/>
    </row>
    <row r="53" spans="2:18" ht="15" customHeight="1" x14ac:dyDescent="0.25">
      <c r="B53" s="123"/>
      <c r="C53" s="37" t="s">
        <v>0</v>
      </c>
      <c r="D53" s="79">
        <f t="shared" ref="D53:P53" si="2">SUM(D26,D28,D30,D32,D34,D36,D38,D40,D42,D44,D46,D48,D50,D52)</f>
        <v>1476.47</v>
      </c>
      <c r="E53" s="79">
        <f t="shared" si="2"/>
        <v>850.68</v>
      </c>
      <c r="F53" s="79">
        <f t="shared" si="2"/>
        <v>1201.6500000000001</v>
      </c>
      <c r="G53" s="79">
        <f t="shared" si="2"/>
        <v>1342.04</v>
      </c>
      <c r="H53" s="79">
        <f t="shared" si="2"/>
        <v>1103.27</v>
      </c>
      <c r="I53" s="79">
        <f t="shared" si="2"/>
        <v>1098.8800000000001</v>
      </c>
      <c r="J53" s="79">
        <f t="shared" si="2"/>
        <v>1600.26</v>
      </c>
      <c r="K53" s="79">
        <f t="shared" si="2"/>
        <v>2311.3000000000002</v>
      </c>
      <c r="L53" s="79">
        <f t="shared" si="2"/>
        <v>772.54</v>
      </c>
      <c r="M53" s="79">
        <f t="shared" si="2"/>
        <v>2659.19</v>
      </c>
      <c r="N53" s="79">
        <f t="shared" si="2"/>
        <v>1579.7</v>
      </c>
      <c r="O53" s="79">
        <f t="shared" si="2"/>
        <v>3930.36</v>
      </c>
      <c r="P53" s="79">
        <f t="shared" si="2"/>
        <v>19926.34</v>
      </c>
      <c r="Q53" s="34"/>
      <c r="R53" s="34"/>
    </row>
    <row r="54" spans="2:18" ht="15" customHeight="1" x14ac:dyDescent="0.25">
      <c r="B54" s="111" t="s">
        <v>25</v>
      </c>
      <c r="C54" s="103" t="s">
        <v>54</v>
      </c>
      <c r="D54" s="71"/>
      <c r="E54" s="71">
        <v>44228</v>
      </c>
      <c r="F54" s="71"/>
      <c r="G54" s="71"/>
      <c r="H54" s="71"/>
      <c r="I54" s="71"/>
      <c r="J54" s="71"/>
      <c r="K54" s="71"/>
      <c r="L54" s="71"/>
      <c r="M54" s="71"/>
      <c r="N54" s="71"/>
      <c r="O54" s="71">
        <v>44550</v>
      </c>
      <c r="P54" s="68">
        <v>44559</v>
      </c>
    </row>
    <row r="55" spans="2:18" x14ac:dyDescent="0.25">
      <c r="B55" s="112"/>
      <c r="C55" s="103"/>
      <c r="D55" s="72">
        <v>0</v>
      </c>
      <c r="E55" s="72">
        <v>485</v>
      </c>
      <c r="F55" s="72">
        <v>0</v>
      </c>
      <c r="G55" s="72">
        <v>0</v>
      </c>
      <c r="H55" s="72">
        <v>0</v>
      </c>
      <c r="I55" s="72">
        <v>0</v>
      </c>
      <c r="J55" s="72">
        <v>0</v>
      </c>
      <c r="K55" s="72">
        <v>0</v>
      </c>
      <c r="L55" s="72">
        <v>0</v>
      </c>
      <c r="M55" s="72">
        <v>0</v>
      </c>
      <c r="N55" s="72">
        <v>0</v>
      </c>
      <c r="O55" s="72">
        <v>575</v>
      </c>
      <c r="P55" s="69">
        <f>SUM(D55:O55)</f>
        <v>1060</v>
      </c>
    </row>
    <row r="56" spans="2:18" x14ac:dyDescent="0.25">
      <c r="B56" s="112"/>
      <c r="C56" s="103" t="s">
        <v>45</v>
      </c>
      <c r="D56" s="71">
        <v>44210</v>
      </c>
      <c r="E56" s="71"/>
      <c r="F56" s="71"/>
      <c r="G56" s="71">
        <v>44290</v>
      </c>
      <c r="H56" s="71"/>
      <c r="I56" s="71"/>
      <c r="J56" s="71"/>
      <c r="K56" s="71"/>
      <c r="L56" s="71"/>
      <c r="M56" s="71"/>
      <c r="N56" s="71"/>
      <c r="O56" s="71">
        <v>44561</v>
      </c>
      <c r="P56" s="68">
        <v>44559</v>
      </c>
    </row>
    <row r="57" spans="2:18" x14ac:dyDescent="0.25">
      <c r="B57" s="112"/>
      <c r="C57" s="103"/>
      <c r="D57" s="72">
        <v>0</v>
      </c>
      <c r="E57" s="72">
        <v>0</v>
      </c>
      <c r="F57" s="72">
        <v>0</v>
      </c>
      <c r="G57" s="72">
        <f>26+18.26+147.1</f>
        <v>191.36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  <c r="M57" s="72">
        <v>0</v>
      </c>
      <c r="N57" s="72">
        <v>0</v>
      </c>
      <c r="O57" s="72">
        <v>0</v>
      </c>
      <c r="P57" s="69">
        <f>SUM(D57:O57)</f>
        <v>191.36</v>
      </c>
    </row>
    <row r="58" spans="2:18" x14ac:dyDescent="0.25">
      <c r="B58" s="112"/>
      <c r="C58" s="109" t="s">
        <v>63</v>
      </c>
      <c r="D58" s="71"/>
      <c r="E58" s="71"/>
      <c r="F58" s="71"/>
      <c r="G58" s="71"/>
      <c r="H58" s="71">
        <v>44346</v>
      </c>
      <c r="I58" s="71">
        <v>44371</v>
      </c>
      <c r="J58" s="71">
        <v>44411</v>
      </c>
      <c r="K58" s="71">
        <v>44437</v>
      </c>
      <c r="L58" s="71">
        <v>44471</v>
      </c>
      <c r="M58" s="71">
        <v>44501</v>
      </c>
      <c r="N58" s="71">
        <v>44527</v>
      </c>
      <c r="O58" s="71">
        <v>44561</v>
      </c>
      <c r="P58" s="68">
        <v>44559</v>
      </c>
    </row>
    <row r="59" spans="2:18" x14ac:dyDescent="0.25">
      <c r="B59" s="112"/>
      <c r="C59" s="110"/>
      <c r="D59" s="72">
        <v>0</v>
      </c>
      <c r="E59" s="72">
        <v>0</v>
      </c>
      <c r="F59" s="72">
        <v>0</v>
      </c>
      <c r="G59" s="72">
        <v>0</v>
      </c>
      <c r="H59" s="72">
        <f>100+340+60</f>
        <v>500</v>
      </c>
      <c r="I59" s="72">
        <f>8+50+6.95+278</f>
        <v>342.95</v>
      </c>
      <c r="J59" s="72">
        <f>60+125</f>
        <v>185</v>
      </c>
      <c r="K59" s="72">
        <f>8+100</f>
        <v>108</v>
      </c>
      <c r="L59" s="72">
        <f>107.93+81</f>
        <v>188.93</v>
      </c>
      <c r="M59" s="72">
        <v>106</v>
      </c>
      <c r="N59" s="72">
        <v>8</v>
      </c>
      <c r="O59" s="72">
        <v>106</v>
      </c>
      <c r="P59" s="69">
        <f>SUM(D59:O59)</f>
        <v>1544.88</v>
      </c>
    </row>
    <row r="60" spans="2:18" x14ac:dyDescent="0.25">
      <c r="B60" s="112"/>
      <c r="C60" s="109" t="s">
        <v>51</v>
      </c>
      <c r="D60" s="71"/>
      <c r="E60" s="71"/>
      <c r="F60" s="71">
        <v>44272</v>
      </c>
      <c r="G60" s="71"/>
      <c r="H60" s="71">
        <v>44346</v>
      </c>
      <c r="I60" s="71"/>
      <c r="J60" s="71"/>
      <c r="K60" s="71"/>
      <c r="L60" s="71"/>
      <c r="M60" s="71"/>
      <c r="N60" s="71"/>
      <c r="O60" s="71">
        <v>44561</v>
      </c>
      <c r="P60" s="68">
        <v>44559</v>
      </c>
    </row>
    <row r="61" spans="2:18" x14ac:dyDescent="0.25">
      <c r="B61" s="112"/>
      <c r="C61" s="110"/>
      <c r="D61" s="72">
        <v>0</v>
      </c>
      <c r="E61" s="72">
        <v>0</v>
      </c>
      <c r="F61" s="72">
        <v>59</v>
      </c>
      <c r="G61" s="72">
        <v>0</v>
      </c>
      <c r="H61" s="72">
        <v>0</v>
      </c>
      <c r="I61" s="72">
        <v>0</v>
      </c>
      <c r="J61" s="72">
        <v>0</v>
      </c>
      <c r="K61" s="72">
        <v>0</v>
      </c>
      <c r="L61" s="72">
        <v>0</v>
      </c>
      <c r="M61" s="72">
        <v>0</v>
      </c>
      <c r="N61" s="72">
        <v>0</v>
      </c>
      <c r="O61" s="72">
        <v>0</v>
      </c>
      <c r="P61" s="69">
        <f>SUM(D61:O61)</f>
        <v>59</v>
      </c>
    </row>
    <row r="62" spans="2:18" x14ac:dyDescent="0.25">
      <c r="B62" s="112"/>
      <c r="C62" s="109" t="s">
        <v>47</v>
      </c>
      <c r="D62" s="71"/>
      <c r="E62" s="71">
        <v>44254</v>
      </c>
      <c r="F62" s="71">
        <v>44259</v>
      </c>
      <c r="G62" s="71">
        <v>44310</v>
      </c>
      <c r="H62" s="71">
        <v>44348</v>
      </c>
      <c r="I62" s="71">
        <v>44371</v>
      </c>
      <c r="J62" s="77">
        <v>44411</v>
      </c>
      <c r="K62" s="76">
        <v>44437</v>
      </c>
      <c r="L62" s="71">
        <v>44471</v>
      </c>
      <c r="M62" s="71"/>
      <c r="N62" s="71"/>
      <c r="O62" s="71"/>
      <c r="P62" s="68">
        <v>44559</v>
      </c>
    </row>
    <row r="63" spans="2:18" x14ac:dyDescent="0.25">
      <c r="B63" s="112"/>
      <c r="C63" s="110"/>
      <c r="D63" s="72">
        <v>0</v>
      </c>
      <c r="E63" s="72">
        <f>89.6+111</f>
        <v>200.6</v>
      </c>
      <c r="F63" s="72">
        <v>37.68</v>
      </c>
      <c r="G63" s="72">
        <f>694.98+115.62+154.8</f>
        <v>965.4</v>
      </c>
      <c r="H63" s="72">
        <v>0</v>
      </c>
      <c r="I63" s="72">
        <v>80.52</v>
      </c>
      <c r="J63" s="72">
        <v>35.08</v>
      </c>
      <c r="K63" s="72">
        <f>25</f>
        <v>25</v>
      </c>
      <c r="L63" s="72">
        <v>0</v>
      </c>
      <c r="M63" s="72">
        <v>0</v>
      </c>
      <c r="N63" s="72">
        <v>0</v>
      </c>
      <c r="O63" s="72">
        <v>0</v>
      </c>
      <c r="P63" s="69">
        <f>SUM(D63:O63)</f>
        <v>1344.28</v>
      </c>
    </row>
    <row r="64" spans="2:18" x14ac:dyDescent="0.25">
      <c r="B64" s="112"/>
      <c r="C64" s="109" t="s">
        <v>30</v>
      </c>
      <c r="D64" s="71"/>
      <c r="E64" s="71"/>
      <c r="F64" s="71"/>
      <c r="G64" s="71">
        <v>44318</v>
      </c>
      <c r="H64" s="71">
        <v>44348</v>
      </c>
      <c r="I64" s="71">
        <v>44371</v>
      </c>
      <c r="J64" s="77">
        <v>44411</v>
      </c>
      <c r="K64" s="76">
        <v>44437</v>
      </c>
      <c r="L64" s="71"/>
      <c r="M64" s="71"/>
      <c r="N64" s="71"/>
      <c r="O64" s="71"/>
      <c r="P64" s="68">
        <v>44559</v>
      </c>
    </row>
    <row r="65" spans="2:18" x14ac:dyDescent="0.25">
      <c r="B65" s="112"/>
      <c r="C65" s="110"/>
      <c r="D65" s="72">
        <v>0</v>
      </c>
      <c r="E65" s="72">
        <v>0</v>
      </c>
      <c r="F65" s="72">
        <v>0</v>
      </c>
      <c r="G65" s="72">
        <v>40000</v>
      </c>
      <c r="H65" s="72">
        <f>0</f>
        <v>0</v>
      </c>
      <c r="I65" s="72">
        <f>233.1+340+285</f>
        <v>858.1</v>
      </c>
      <c r="J65" s="72">
        <f>233.1*2</f>
        <v>466.2</v>
      </c>
      <c r="K65" s="72">
        <f>233.1*4</f>
        <v>932.4</v>
      </c>
      <c r="L65" s="72">
        <v>0</v>
      </c>
      <c r="M65" s="72">
        <v>0</v>
      </c>
      <c r="N65" s="72">
        <v>0</v>
      </c>
      <c r="O65" s="72">
        <v>0</v>
      </c>
      <c r="P65" s="69">
        <f>SUM(D65:O65)</f>
        <v>42256.7</v>
      </c>
    </row>
    <row r="66" spans="2:18" x14ac:dyDescent="0.25">
      <c r="B66" s="112"/>
      <c r="C66" s="109" t="s">
        <v>41</v>
      </c>
      <c r="D66" s="71"/>
      <c r="E66" s="71"/>
      <c r="F66" s="71"/>
      <c r="G66" s="71"/>
      <c r="H66" s="71">
        <v>44335</v>
      </c>
      <c r="I66" s="71"/>
      <c r="J66" s="77">
        <v>44411</v>
      </c>
      <c r="K66" s="71"/>
      <c r="L66" s="71"/>
      <c r="M66" s="71"/>
      <c r="N66" s="71"/>
      <c r="O66" s="71">
        <v>44561</v>
      </c>
      <c r="P66" s="68">
        <v>44559</v>
      </c>
    </row>
    <row r="67" spans="2:18" x14ac:dyDescent="0.25">
      <c r="B67" s="112"/>
      <c r="C67" s="110"/>
      <c r="D67" s="72">
        <v>0</v>
      </c>
      <c r="E67" s="72">
        <v>0</v>
      </c>
      <c r="F67" s="72">
        <v>0</v>
      </c>
      <c r="G67" s="72">
        <v>0</v>
      </c>
      <c r="H67" s="72">
        <v>50</v>
      </c>
      <c r="I67" s="72">
        <v>0</v>
      </c>
      <c r="J67" s="72">
        <v>0</v>
      </c>
      <c r="K67" s="72">
        <v>0</v>
      </c>
      <c r="L67" s="72">
        <v>0</v>
      </c>
      <c r="M67" s="72">
        <v>0</v>
      </c>
      <c r="N67" s="72">
        <v>0</v>
      </c>
      <c r="O67" s="72"/>
      <c r="P67" s="69">
        <f>SUM(D67:O67)</f>
        <v>50</v>
      </c>
      <c r="Q67" s="34"/>
      <c r="R67" s="45"/>
    </row>
    <row r="68" spans="2:18" x14ac:dyDescent="0.25">
      <c r="B68" s="113"/>
      <c r="C68" s="38" t="s">
        <v>0</v>
      </c>
      <c r="D68" s="80">
        <f t="shared" ref="D68:P68" si="3">SUM(D55,D57,D59,D61,D63,D65,D67)</f>
        <v>0</v>
      </c>
      <c r="E68" s="80">
        <f t="shared" si="3"/>
        <v>685.6</v>
      </c>
      <c r="F68" s="80">
        <f t="shared" si="3"/>
        <v>96.68</v>
      </c>
      <c r="G68" s="80">
        <f t="shared" si="3"/>
        <v>41156.76</v>
      </c>
      <c r="H68" s="80">
        <f t="shared" si="3"/>
        <v>550</v>
      </c>
      <c r="I68" s="80">
        <f t="shared" si="3"/>
        <v>1281.57</v>
      </c>
      <c r="J68" s="80">
        <f t="shared" si="3"/>
        <v>686.28</v>
      </c>
      <c r="K68" s="80">
        <f t="shared" si="3"/>
        <v>1065.4000000000001</v>
      </c>
      <c r="L68" s="80">
        <f t="shared" si="3"/>
        <v>188.93</v>
      </c>
      <c r="M68" s="80">
        <f t="shared" si="3"/>
        <v>106</v>
      </c>
      <c r="N68" s="80">
        <f t="shared" si="3"/>
        <v>8</v>
      </c>
      <c r="O68" s="80">
        <f t="shared" si="3"/>
        <v>681</v>
      </c>
      <c r="P68" s="80">
        <f t="shared" si="3"/>
        <v>46506.22</v>
      </c>
    </row>
    <row r="69" spans="2:18" ht="15" customHeight="1" x14ac:dyDescent="0.25">
      <c r="B69" s="128" t="s">
        <v>65</v>
      </c>
      <c r="C69" s="129"/>
      <c r="D69" s="56">
        <f t="shared" ref="D69:P69" si="4">SUM(D19,D24,D53,D68)</f>
        <v>2836.19</v>
      </c>
      <c r="E69" s="56">
        <f t="shared" si="4"/>
        <v>7832.32</v>
      </c>
      <c r="F69" s="56">
        <f t="shared" si="4"/>
        <v>1775.44</v>
      </c>
      <c r="G69" s="56">
        <f t="shared" si="4"/>
        <v>42807.73</v>
      </c>
      <c r="H69" s="56">
        <f t="shared" si="4"/>
        <v>2087.2800000000002</v>
      </c>
      <c r="I69" s="56">
        <f t="shared" si="4"/>
        <v>2857.62</v>
      </c>
      <c r="J69" s="56">
        <f t="shared" si="4"/>
        <v>4873.1099999999997</v>
      </c>
      <c r="K69" s="56">
        <f t="shared" si="4"/>
        <v>3699.22</v>
      </c>
      <c r="L69" s="56">
        <f t="shared" si="4"/>
        <v>1572.21</v>
      </c>
      <c r="M69" s="56">
        <f t="shared" si="4"/>
        <v>2998.35</v>
      </c>
      <c r="N69" s="56">
        <f t="shared" si="4"/>
        <v>3513</v>
      </c>
      <c r="O69" s="56">
        <f t="shared" si="4"/>
        <v>5332.2</v>
      </c>
      <c r="P69" s="56">
        <f t="shared" si="4"/>
        <v>82184.67</v>
      </c>
    </row>
    <row r="70" spans="2:18" x14ac:dyDescent="0.25">
      <c r="B70" s="130" t="s">
        <v>57</v>
      </c>
      <c r="C70" s="130"/>
      <c r="D70" s="81">
        <f t="shared" ref="D70:O70" si="5">D69-D21</f>
        <v>1911.19</v>
      </c>
      <c r="E70" s="81">
        <f t="shared" si="5"/>
        <v>7832.32</v>
      </c>
      <c r="F70" s="81">
        <f t="shared" si="5"/>
        <v>1775.44</v>
      </c>
      <c r="G70" s="81">
        <f t="shared" si="5"/>
        <v>42807.73</v>
      </c>
      <c r="H70" s="81">
        <f t="shared" si="5"/>
        <v>2087.2800000000002</v>
      </c>
      <c r="I70" s="81">
        <f t="shared" si="5"/>
        <v>2857.62</v>
      </c>
      <c r="J70" s="81">
        <f t="shared" si="5"/>
        <v>4873.1099999999997</v>
      </c>
      <c r="K70" s="81">
        <f t="shared" si="5"/>
        <v>3699.22</v>
      </c>
      <c r="L70" s="81">
        <f t="shared" si="5"/>
        <v>1572.21</v>
      </c>
      <c r="M70" s="81">
        <f t="shared" si="5"/>
        <v>2998.35</v>
      </c>
      <c r="N70" s="81">
        <f t="shared" si="5"/>
        <v>3513</v>
      </c>
      <c r="O70" s="81">
        <f t="shared" si="5"/>
        <v>5332.2</v>
      </c>
      <c r="P70" s="56">
        <f>SUM(D70:O70)</f>
        <v>81259.67</v>
      </c>
    </row>
    <row r="71" spans="2:18" x14ac:dyDescent="0.25">
      <c r="P71" s="34"/>
    </row>
  </sheetData>
  <mergeCells count="37">
    <mergeCell ref="C45:C46"/>
    <mergeCell ref="C51:C52"/>
    <mergeCell ref="C49:C50"/>
    <mergeCell ref="B54:B68"/>
    <mergeCell ref="C54:C55"/>
    <mergeCell ref="C56:C57"/>
    <mergeCell ref="C58:C59"/>
    <mergeCell ref="C60:C61"/>
    <mergeCell ref="C62:C63"/>
    <mergeCell ref="C64:C65"/>
    <mergeCell ref="C66:C67"/>
    <mergeCell ref="C35:C36"/>
    <mergeCell ref="C37:C38"/>
    <mergeCell ref="C39:C40"/>
    <mergeCell ref="C41:C42"/>
    <mergeCell ref="C43:C44"/>
    <mergeCell ref="C25:C26"/>
    <mergeCell ref="C27:C28"/>
    <mergeCell ref="C29:C30"/>
    <mergeCell ref="C31:C32"/>
    <mergeCell ref="C33:C34"/>
    <mergeCell ref="B69:C69"/>
    <mergeCell ref="B70:C70"/>
    <mergeCell ref="B3:B19"/>
    <mergeCell ref="C3:C4"/>
    <mergeCell ref="C5:C6"/>
    <mergeCell ref="C7:C8"/>
    <mergeCell ref="C9:C10"/>
    <mergeCell ref="C11:C12"/>
    <mergeCell ref="C13:C14"/>
    <mergeCell ref="C15:C16"/>
    <mergeCell ref="C17:C18"/>
    <mergeCell ref="C47:C48"/>
    <mergeCell ref="B20:B24"/>
    <mergeCell ref="C20:C21"/>
    <mergeCell ref="C22:C23"/>
    <mergeCell ref="B25:B5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8681-0842-42C1-B7B5-79BB73A60C34}">
  <dimension ref="B2:U72"/>
  <sheetViews>
    <sheetView topLeftCell="A42" zoomScaleNormal="100" workbookViewId="0">
      <pane xSplit="3" topLeftCell="P1" activePane="topRight" state="frozen"/>
      <selection activeCell="A40" sqref="A40"/>
      <selection pane="topRight" activeCell="O36" sqref="O36"/>
    </sheetView>
  </sheetViews>
  <sheetFormatPr defaultRowHeight="15" x14ac:dyDescent="0.25"/>
  <cols>
    <col min="3" max="3" width="15" bestFit="1" customWidth="1"/>
    <col min="4" max="4" width="9.85546875" bestFit="1" customWidth="1"/>
    <col min="5" max="5" width="10.28515625" bestFit="1" customWidth="1"/>
    <col min="6" max="7" width="10.140625" bestFit="1" customWidth="1"/>
    <col min="8" max="9" width="10.85546875" bestFit="1" customWidth="1"/>
    <col min="10" max="10" width="10.140625" bestFit="1" customWidth="1"/>
    <col min="11" max="11" width="10.28515625" bestFit="1" customWidth="1"/>
    <col min="12" max="12" width="10.140625" bestFit="1" customWidth="1"/>
    <col min="13" max="13" width="10.7109375" bestFit="1" customWidth="1"/>
    <col min="14" max="16" width="11.140625" bestFit="1" customWidth="1"/>
    <col min="17" max="17" width="10.140625" bestFit="1" customWidth="1"/>
    <col min="18" max="18" width="12" bestFit="1" customWidth="1"/>
  </cols>
  <sheetData>
    <row r="2" spans="2:21" x14ac:dyDescent="0.25">
      <c r="C2" s="1"/>
      <c r="D2" s="13">
        <v>44562</v>
      </c>
      <c r="E2" s="13">
        <v>44593</v>
      </c>
      <c r="F2" s="13">
        <v>44621</v>
      </c>
      <c r="G2" s="13">
        <v>44652</v>
      </c>
      <c r="H2" s="13">
        <v>44682</v>
      </c>
      <c r="I2" s="13">
        <v>44713</v>
      </c>
      <c r="J2" s="13">
        <v>44743</v>
      </c>
      <c r="K2" s="13">
        <v>44774</v>
      </c>
      <c r="L2" s="13">
        <v>44805</v>
      </c>
      <c r="M2" s="13">
        <v>44835</v>
      </c>
      <c r="N2" s="13">
        <v>44866</v>
      </c>
      <c r="O2" s="13">
        <v>44896</v>
      </c>
      <c r="P2" s="13" t="s">
        <v>0</v>
      </c>
      <c r="R2" s="34">
        <f>P19+P21+J23+P67+P55</f>
        <v>7462.36</v>
      </c>
    </row>
    <row r="3" spans="2:21" ht="15" customHeight="1" x14ac:dyDescent="0.25">
      <c r="B3" s="125" t="s">
        <v>26</v>
      </c>
      <c r="C3" s="106" t="s">
        <v>1</v>
      </c>
      <c r="D3" s="71">
        <v>44583</v>
      </c>
      <c r="E3" s="71">
        <v>44611</v>
      </c>
      <c r="F3" s="71">
        <v>44640</v>
      </c>
      <c r="G3" s="71">
        <v>44672</v>
      </c>
      <c r="H3" s="71">
        <v>44700</v>
      </c>
      <c r="I3" s="71">
        <v>44733</v>
      </c>
      <c r="J3" s="76">
        <v>44769</v>
      </c>
      <c r="K3" s="76">
        <v>44802</v>
      </c>
      <c r="L3" s="71">
        <v>44826</v>
      </c>
      <c r="M3" s="71">
        <v>44855</v>
      </c>
      <c r="N3" s="76">
        <v>44885</v>
      </c>
      <c r="O3" s="76">
        <v>44917</v>
      </c>
      <c r="P3" s="76">
        <v>44924</v>
      </c>
    </row>
    <row r="4" spans="2:21" x14ac:dyDescent="0.25">
      <c r="B4" s="126"/>
      <c r="C4" s="106"/>
      <c r="D4" s="72">
        <v>154.80000000000001</v>
      </c>
      <c r="E4" s="72">
        <v>183.83</v>
      </c>
      <c r="F4" s="72">
        <v>169.26</v>
      </c>
      <c r="G4" s="72">
        <v>111.09</v>
      </c>
      <c r="H4" s="72">
        <v>78.23</v>
      </c>
      <c r="I4" s="72">
        <v>34.369999999999997</v>
      </c>
      <c r="J4" s="72">
        <v>26.54</v>
      </c>
      <c r="K4" s="72">
        <v>25.92</v>
      </c>
      <c r="L4" s="72">
        <v>27.65</v>
      </c>
      <c r="M4" s="72">
        <v>42.88</v>
      </c>
      <c r="N4" s="72">
        <v>106.1</v>
      </c>
      <c r="O4" s="72">
        <v>190.18</v>
      </c>
      <c r="P4" s="72">
        <f>SUM(D4:O4)</f>
        <v>1150.8499999999999</v>
      </c>
    </row>
    <row r="5" spans="2:21" x14ac:dyDescent="0.25">
      <c r="B5" s="126"/>
      <c r="C5" s="106" t="s">
        <v>10</v>
      </c>
      <c r="D5" s="71">
        <v>44590</v>
      </c>
      <c r="E5" s="71">
        <v>44619</v>
      </c>
      <c r="F5" s="71">
        <v>44648</v>
      </c>
      <c r="G5" s="71">
        <v>44682</v>
      </c>
      <c r="H5" s="71">
        <v>44711</v>
      </c>
      <c r="I5" s="71">
        <v>44736</v>
      </c>
      <c r="J5" s="76">
        <v>44769</v>
      </c>
      <c r="K5" s="76">
        <v>44802</v>
      </c>
      <c r="L5" s="71">
        <v>44831</v>
      </c>
      <c r="M5" s="71">
        <v>44859</v>
      </c>
      <c r="N5" s="71">
        <v>44893</v>
      </c>
      <c r="O5" s="71">
        <v>44921</v>
      </c>
      <c r="P5" s="76">
        <v>44924</v>
      </c>
    </row>
    <row r="6" spans="2:21" x14ac:dyDescent="0.25">
      <c r="B6" s="126"/>
      <c r="C6" s="106"/>
      <c r="D6" s="72">
        <v>122.47</v>
      </c>
      <c r="E6" s="72">
        <v>164.57</v>
      </c>
      <c r="F6" s="72">
        <v>112.16</v>
      </c>
      <c r="G6" s="72">
        <v>89.03</v>
      </c>
      <c r="H6" s="72">
        <v>46.52</v>
      </c>
      <c r="I6" s="72">
        <v>20.190000000000001</v>
      </c>
      <c r="J6" s="72">
        <v>20.72</v>
      </c>
      <c r="K6" s="72">
        <v>18.670000000000002</v>
      </c>
      <c r="L6" s="72">
        <v>20.81</v>
      </c>
      <c r="M6" s="72">
        <v>28.37</v>
      </c>
      <c r="N6" s="72">
        <v>40.42</v>
      </c>
      <c r="O6" s="72">
        <v>112.08</v>
      </c>
      <c r="P6" s="72">
        <f>SUM(D6:O6)</f>
        <v>796.01</v>
      </c>
    </row>
    <row r="7" spans="2:21" x14ac:dyDescent="0.25">
      <c r="B7" s="126"/>
      <c r="C7" s="106" t="s">
        <v>2</v>
      </c>
      <c r="D7" s="71">
        <v>44590</v>
      </c>
      <c r="E7" s="71">
        <v>44619</v>
      </c>
      <c r="F7" s="71">
        <v>44648</v>
      </c>
      <c r="G7" s="71">
        <v>44682</v>
      </c>
      <c r="H7" s="71">
        <v>44711</v>
      </c>
      <c r="I7" s="71">
        <v>44736</v>
      </c>
      <c r="J7" s="76">
        <v>44769</v>
      </c>
      <c r="K7" s="76">
        <v>44802</v>
      </c>
      <c r="L7" s="71">
        <v>44831</v>
      </c>
      <c r="M7" s="71">
        <v>44859</v>
      </c>
      <c r="N7" s="71">
        <v>44893</v>
      </c>
      <c r="O7" s="71">
        <v>44921</v>
      </c>
      <c r="P7" s="76">
        <v>44924</v>
      </c>
    </row>
    <row r="8" spans="2:21" x14ac:dyDescent="0.25">
      <c r="B8" s="126"/>
      <c r="C8" s="106"/>
      <c r="D8" s="73">
        <v>100.27</v>
      </c>
      <c r="E8" s="72">
        <v>90.75</v>
      </c>
      <c r="F8" s="72">
        <v>90.75</v>
      </c>
      <c r="G8" s="72">
        <v>79.150000000000006</v>
      </c>
      <c r="H8" s="72">
        <v>72.010000000000005</v>
      </c>
      <c r="I8" s="72">
        <v>114.24</v>
      </c>
      <c r="J8" s="72">
        <v>142.56</v>
      </c>
      <c r="K8" s="72">
        <v>151.49</v>
      </c>
      <c r="L8" s="72">
        <v>117.02</v>
      </c>
      <c r="M8" s="72">
        <v>69.61</v>
      </c>
      <c r="N8" s="72">
        <v>76.209999999999994</v>
      </c>
      <c r="O8" s="72">
        <v>93.21</v>
      </c>
      <c r="P8" s="72">
        <f>SUM(D8:O8)</f>
        <v>1197.27</v>
      </c>
    </row>
    <row r="9" spans="2:21" x14ac:dyDescent="0.25">
      <c r="B9" s="126"/>
      <c r="C9" s="106" t="s">
        <v>11</v>
      </c>
      <c r="D9" s="71">
        <v>44590</v>
      </c>
      <c r="E9" s="71">
        <v>44619</v>
      </c>
      <c r="F9" s="71">
        <v>44648</v>
      </c>
      <c r="G9" s="71">
        <v>44682</v>
      </c>
      <c r="H9" s="71">
        <v>44711</v>
      </c>
      <c r="I9" s="71">
        <v>44736</v>
      </c>
      <c r="J9" s="76">
        <v>44769</v>
      </c>
      <c r="K9" s="76">
        <v>44798</v>
      </c>
      <c r="L9" s="71">
        <v>44831</v>
      </c>
      <c r="M9" s="71">
        <v>44859</v>
      </c>
      <c r="N9" s="71">
        <v>44893</v>
      </c>
      <c r="O9" s="71">
        <v>44921</v>
      </c>
      <c r="P9" s="76">
        <v>44924</v>
      </c>
    </row>
    <row r="10" spans="2:21" x14ac:dyDescent="0.25">
      <c r="B10" s="126"/>
      <c r="C10" s="106"/>
      <c r="D10" s="72">
        <v>41.55</v>
      </c>
      <c r="E10" s="72">
        <v>50.65</v>
      </c>
      <c r="F10" s="72">
        <v>51.26</v>
      </c>
      <c r="G10" s="72">
        <v>41.25</v>
      </c>
      <c r="H10" s="72">
        <v>38.08</v>
      </c>
      <c r="I10" s="72">
        <v>33.72</v>
      </c>
      <c r="J10" s="72">
        <v>43.99</v>
      </c>
      <c r="K10" s="72">
        <v>63.67</v>
      </c>
      <c r="L10" s="72">
        <v>45.41</v>
      </c>
      <c r="M10" s="72">
        <v>45.41</v>
      </c>
      <c r="N10" s="72">
        <v>35.32</v>
      </c>
      <c r="O10" s="72">
        <v>41.49</v>
      </c>
      <c r="P10" s="72">
        <f>SUM(D10:O10)</f>
        <v>531.79999999999995</v>
      </c>
    </row>
    <row r="11" spans="2:21" x14ac:dyDescent="0.25">
      <c r="B11" s="126"/>
      <c r="C11" s="106" t="s">
        <v>7</v>
      </c>
      <c r="D11" s="71"/>
      <c r="E11" s="71"/>
      <c r="F11" s="71">
        <v>44631</v>
      </c>
      <c r="G11" s="71"/>
      <c r="H11" s="71"/>
      <c r="I11" s="71">
        <v>44736</v>
      </c>
      <c r="J11" s="71"/>
      <c r="K11" s="71"/>
      <c r="L11" s="71">
        <v>44817</v>
      </c>
      <c r="M11" s="71"/>
      <c r="N11" s="71"/>
      <c r="O11" s="71">
        <v>44916</v>
      </c>
      <c r="P11" s="76">
        <v>44924</v>
      </c>
    </row>
    <row r="12" spans="2:21" x14ac:dyDescent="0.25">
      <c r="B12" s="126"/>
      <c r="C12" s="106"/>
      <c r="D12" s="72">
        <v>0</v>
      </c>
      <c r="E12" s="72">
        <v>0</v>
      </c>
      <c r="F12" s="72">
        <v>179.47</v>
      </c>
      <c r="G12" s="72">
        <v>0</v>
      </c>
      <c r="H12" s="72">
        <v>0</v>
      </c>
      <c r="I12" s="72">
        <v>179.47</v>
      </c>
      <c r="J12" s="72">
        <v>0</v>
      </c>
      <c r="K12" s="72">
        <v>0</v>
      </c>
      <c r="L12" s="72">
        <v>229.96</v>
      </c>
      <c r="M12" s="72">
        <v>0</v>
      </c>
      <c r="N12" s="72">
        <v>0</v>
      </c>
      <c r="O12" s="72">
        <v>214.57</v>
      </c>
      <c r="P12" s="72">
        <f>SUM(D12:O12)</f>
        <v>803.47</v>
      </c>
    </row>
    <row r="13" spans="2:21" x14ac:dyDescent="0.25">
      <c r="B13" s="126"/>
      <c r="C13" s="106" t="s">
        <v>8</v>
      </c>
      <c r="D13" s="71"/>
      <c r="E13" s="71"/>
      <c r="F13" s="71"/>
      <c r="G13" s="71"/>
      <c r="H13" s="71">
        <v>44703</v>
      </c>
      <c r="I13" s="75"/>
      <c r="J13" s="71"/>
      <c r="K13" s="71"/>
      <c r="L13" s="71"/>
      <c r="M13" s="71"/>
      <c r="N13" s="71"/>
      <c r="O13" s="82"/>
      <c r="P13" s="76">
        <v>44924</v>
      </c>
    </row>
    <row r="14" spans="2:21" x14ac:dyDescent="0.25">
      <c r="B14" s="126"/>
      <c r="C14" s="106"/>
      <c r="D14" s="72">
        <v>0</v>
      </c>
      <c r="E14" s="72">
        <v>0</v>
      </c>
      <c r="F14" s="72"/>
      <c r="G14" s="72">
        <v>0</v>
      </c>
      <c r="H14" s="72">
        <v>181.5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2">
        <v>0</v>
      </c>
      <c r="O14" s="83">
        <v>0</v>
      </c>
      <c r="P14" s="72">
        <f>SUM(D14:O14)</f>
        <v>181.5</v>
      </c>
      <c r="U14" s="47"/>
    </row>
    <row r="15" spans="2:21" x14ac:dyDescent="0.25">
      <c r="B15" s="126"/>
      <c r="C15" s="106" t="s">
        <v>3</v>
      </c>
      <c r="D15" s="71">
        <v>44590</v>
      </c>
      <c r="E15" s="71">
        <v>44619</v>
      </c>
      <c r="F15" s="71">
        <v>44641</v>
      </c>
      <c r="G15" s="71">
        <v>44682</v>
      </c>
      <c r="H15" s="71">
        <v>44701</v>
      </c>
      <c r="I15" s="71">
        <v>44732</v>
      </c>
      <c r="J15" s="76">
        <v>44762</v>
      </c>
      <c r="K15" s="76">
        <v>44793</v>
      </c>
      <c r="L15" s="71">
        <v>44825</v>
      </c>
      <c r="M15" s="71">
        <v>44854</v>
      </c>
      <c r="N15" s="71">
        <v>44885</v>
      </c>
      <c r="O15" s="71">
        <v>44915</v>
      </c>
      <c r="P15" s="76">
        <v>44924</v>
      </c>
      <c r="U15" s="47"/>
    </row>
    <row r="16" spans="2:21" x14ac:dyDescent="0.25">
      <c r="B16" s="126"/>
      <c r="C16" s="106"/>
      <c r="D16" s="72">
        <v>45</v>
      </c>
      <c r="E16" s="72">
        <v>45</v>
      </c>
      <c r="F16" s="72">
        <v>45</v>
      </c>
      <c r="G16" s="72">
        <v>45</v>
      </c>
      <c r="H16" s="72">
        <v>55</v>
      </c>
      <c r="I16" s="72">
        <v>45.66</v>
      </c>
      <c r="J16" s="72">
        <v>40</v>
      </c>
      <c r="K16" s="72">
        <v>40</v>
      </c>
      <c r="L16" s="72">
        <v>40</v>
      </c>
      <c r="M16" s="72">
        <v>40</v>
      </c>
      <c r="N16" s="72">
        <v>40</v>
      </c>
      <c r="O16" s="72">
        <v>40</v>
      </c>
      <c r="P16" s="72">
        <f>SUM(D16:O16)</f>
        <v>520.66</v>
      </c>
      <c r="U16" s="47"/>
    </row>
    <row r="17" spans="2:21" x14ac:dyDescent="0.25">
      <c r="B17" s="126"/>
      <c r="C17" s="106" t="s">
        <v>5</v>
      </c>
      <c r="D17" s="71">
        <v>44590</v>
      </c>
      <c r="E17" s="71">
        <v>44619</v>
      </c>
      <c r="F17" s="71">
        <v>44648</v>
      </c>
      <c r="G17" s="71">
        <v>44682</v>
      </c>
      <c r="H17" s="71">
        <v>44703</v>
      </c>
      <c r="I17" s="71">
        <v>44736</v>
      </c>
      <c r="J17" s="76">
        <v>44769</v>
      </c>
      <c r="K17" s="76">
        <v>44802</v>
      </c>
      <c r="L17" s="71">
        <v>44831</v>
      </c>
      <c r="M17" s="71">
        <v>44859</v>
      </c>
      <c r="N17" s="71">
        <v>44893</v>
      </c>
      <c r="O17" s="71">
        <v>44921</v>
      </c>
      <c r="P17" s="76">
        <v>44924</v>
      </c>
      <c r="U17" s="47"/>
    </row>
    <row r="18" spans="2:21" x14ac:dyDescent="0.25">
      <c r="B18" s="126"/>
      <c r="C18" s="106"/>
      <c r="D18" s="72">
        <v>49</v>
      </c>
      <c r="E18" s="72">
        <v>49</v>
      </c>
      <c r="F18" s="72">
        <v>25</v>
      </c>
      <c r="G18" s="72">
        <v>8</v>
      </c>
      <c r="H18" s="72">
        <v>25</v>
      </c>
      <c r="I18" s="72">
        <v>25</v>
      </c>
      <c r="J18" s="72">
        <v>25</v>
      </c>
      <c r="K18" s="72">
        <v>25</v>
      </c>
      <c r="L18" s="72">
        <v>25</v>
      </c>
      <c r="M18" s="72">
        <v>25</v>
      </c>
      <c r="N18" s="72">
        <v>25</v>
      </c>
      <c r="O18" s="72">
        <v>25</v>
      </c>
      <c r="P18" s="72">
        <f>SUM(D18:O18)</f>
        <v>331</v>
      </c>
      <c r="U18" s="47"/>
    </row>
    <row r="19" spans="2:21" ht="15" customHeight="1" x14ac:dyDescent="0.25">
      <c r="B19" s="127"/>
      <c r="C19" s="42" t="s">
        <v>0</v>
      </c>
      <c r="D19" s="79">
        <f t="shared" ref="D19:P19" si="0">SUM(D4,D6,D8,D10,D12,D14,D16,D18)</f>
        <v>513.09</v>
      </c>
      <c r="E19" s="79">
        <f t="shared" si="0"/>
        <v>583.79999999999995</v>
      </c>
      <c r="F19" s="79">
        <f t="shared" si="0"/>
        <v>672.9</v>
      </c>
      <c r="G19" s="79">
        <f t="shared" si="0"/>
        <v>373.52</v>
      </c>
      <c r="H19" s="79">
        <f t="shared" si="0"/>
        <v>496.34</v>
      </c>
      <c r="I19" s="79">
        <f t="shared" si="0"/>
        <v>452.65</v>
      </c>
      <c r="J19" s="79">
        <f t="shared" si="0"/>
        <v>298.81</v>
      </c>
      <c r="K19" s="79">
        <f t="shared" si="0"/>
        <v>324.75</v>
      </c>
      <c r="L19" s="79">
        <f t="shared" si="0"/>
        <v>505.85</v>
      </c>
      <c r="M19" s="79">
        <f t="shared" si="0"/>
        <v>251.27</v>
      </c>
      <c r="N19" s="79">
        <f t="shared" si="0"/>
        <v>323.05</v>
      </c>
      <c r="O19" s="79">
        <f t="shared" si="0"/>
        <v>716.53</v>
      </c>
      <c r="P19" s="79">
        <f t="shared" si="0"/>
        <v>5512.56</v>
      </c>
      <c r="R19">
        <v>230721376118</v>
      </c>
      <c r="U19" s="47"/>
    </row>
    <row r="20" spans="2:21" x14ac:dyDescent="0.25">
      <c r="B20" s="118" t="s">
        <v>58</v>
      </c>
      <c r="C20" s="107" t="s">
        <v>59</v>
      </c>
      <c r="D20" s="71"/>
      <c r="E20" s="71">
        <v>44590</v>
      </c>
      <c r="F20" s="71"/>
      <c r="G20" s="71"/>
      <c r="H20" s="71"/>
      <c r="I20" s="71"/>
      <c r="J20" s="76"/>
      <c r="K20" s="71"/>
      <c r="L20" s="71"/>
      <c r="M20" s="71"/>
      <c r="N20" s="71"/>
      <c r="O20" s="71"/>
      <c r="P20" s="76"/>
      <c r="U20" s="47"/>
    </row>
    <row r="21" spans="2:21" x14ac:dyDescent="0.25">
      <c r="B21" s="119"/>
      <c r="C21" s="108"/>
      <c r="D21" s="72">
        <v>0</v>
      </c>
      <c r="E21" s="72">
        <v>1017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>
        <v>0</v>
      </c>
      <c r="P21" s="72">
        <f>SUM(D21:O21)</f>
        <v>1017</v>
      </c>
      <c r="U21" s="47"/>
    </row>
    <row r="22" spans="2:21" x14ac:dyDescent="0.25">
      <c r="B22" s="119"/>
      <c r="C22" s="107" t="s">
        <v>62</v>
      </c>
      <c r="D22" s="71"/>
      <c r="E22" s="71">
        <v>44610</v>
      </c>
      <c r="F22" s="71"/>
      <c r="G22" s="71"/>
      <c r="H22" s="71"/>
      <c r="I22" s="71">
        <v>44744</v>
      </c>
      <c r="J22" s="71"/>
      <c r="K22" s="71"/>
      <c r="L22" s="71"/>
      <c r="M22" s="71"/>
      <c r="N22" s="71">
        <v>44898</v>
      </c>
      <c r="O22" s="71"/>
      <c r="P22" s="71"/>
      <c r="U22" s="46"/>
    </row>
    <row r="23" spans="2:21" ht="15" customHeight="1" x14ac:dyDescent="0.25">
      <c r="B23" s="119"/>
      <c r="C23" s="108"/>
      <c r="D23" s="72">
        <v>0</v>
      </c>
      <c r="E23" s="72">
        <v>1529</v>
      </c>
      <c r="F23" s="72">
        <v>0</v>
      </c>
      <c r="G23" s="72">
        <v>0</v>
      </c>
      <c r="H23" s="72">
        <v>0</v>
      </c>
      <c r="I23" s="72">
        <v>2364.35</v>
      </c>
      <c r="J23" s="72">
        <v>0</v>
      </c>
      <c r="K23" s="72">
        <v>0</v>
      </c>
      <c r="L23" s="72">
        <v>0</v>
      </c>
      <c r="M23" s="72">
        <v>0</v>
      </c>
      <c r="N23" s="72">
        <v>1641.24</v>
      </c>
      <c r="O23" s="72">
        <v>0</v>
      </c>
      <c r="P23" s="72">
        <f>SUM(D23:O23)</f>
        <v>5534.59</v>
      </c>
      <c r="Q23" s="40"/>
    </row>
    <row r="24" spans="2:21" ht="15" customHeight="1" x14ac:dyDescent="0.25">
      <c r="B24" s="120"/>
      <c r="C24" s="39" t="s">
        <v>0</v>
      </c>
      <c r="D24" s="79">
        <f t="shared" ref="D24:P24" si="1">SUM(D21,D23)</f>
        <v>0</v>
      </c>
      <c r="E24" s="79">
        <f t="shared" si="1"/>
        <v>2546</v>
      </c>
      <c r="F24" s="79">
        <f t="shared" si="1"/>
        <v>0</v>
      </c>
      <c r="G24" s="79">
        <f t="shared" si="1"/>
        <v>0</v>
      </c>
      <c r="H24" s="79">
        <f t="shared" si="1"/>
        <v>0</v>
      </c>
      <c r="I24" s="79">
        <f t="shared" si="1"/>
        <v>2364.35</v>
      </c>
      <c r="J24" s="79">
        <f t="shared" si="1"/>
        <v>0</v>
      </c>
      <c r="K24" s="79">
        <f t="shared" si="1"/>
        <v>0</v>
      </c>
      <c r="L24" s="79">
        <f t="shared" si="1"/>
        <v>0</v>
      </c>
      <c r="M24" s="79">
        <f t="shared" si="1"/>
        <v>0</v>
      </c>
      <c r="N24" s="79">
        <f t="shared" si="1"/>
        <v>1641.24</v>
      </c>
      <c r="O24" s="79">
        <f t="shared" si="1"/>
        <v>0</v>
      </c>
      <c r="P24" s="79">
        <f t="shared" si="1"/>
        <v>6551.59</v>
      </c>
      <c r="Q24" s="41"/>
    </row>
    <row r="25" spans="2:21" x14ac:dyDescent="0.25">
      <c r="B25" s="121" t="s">
        <v>24</v>
      </c>
      <c r="C25" s="104" t="s">
        <v>32</v>
      </c>
      <c r="D25" s="71">
        <v>44590</v>
      </c>
      <c r="E25" s="71">
        <v>44619</v>
      </c>
      <c r="F25" s="71">
        <v>44648</v>
      </c>
      <c r="G25" s="71">
        <v>44682</v>
      </c>
      <c r="H25" s="71">
        <v>44711</v>
      </c>
      <c r="I25" s="71">
        <v>44744</v>
      </c>
      <c r="J25" s="76">
        <v>44769</v>
      </c>
      <c r="K25" s="76">
        <v>44802</v>
      </c>
      <c r="L25" s="71">
        <v>44836</v>
      </c>
      <c r="M25" s="71">
        <v>44859</v>
      </c>
      <c r="N25" s="71">
        <v>44898</v>
      </c>
      <c r="O25" s="71">
        <v>44926</v>
      </c>
      <c r="P25" s="76">
        <v>44924</v>
      </c>
      <c r="Q25" s="41"/>
      <c r="S25" s="34"/>
    </row>
    <row r="26" spans="2:21" x14ac:dyDescent="0.25">
      <c r="B26" s="122"/>
      <c r="C26" s="105"/>
      <c r="D26" s="72">
        <v>19.309999999999999</v>
      </c>
      <c r="E26" s="72">
        <v>533.78</v>
      </c>
      <c r="F26" s="72">
        <v>419.69</v>
      </c>
      <c r="G26" s="72">
        <v>106.33</v>
      </c>
      <c r="H26" s="72">
        <v>106.53</v>
      </c>
      <c r="I26" s="72">
        <v>171.37</v>
      </c>
      <c r="J26" s="72">
        <v>0</v>
      </c>
      <c r="K26" s="72">
        <v>0</v>
      </c>
      <c r="L26" s="74">
        <v>0</v>
      </c>
      <c r="M26" s="72">
        <v>0</v>
      </c>
      <c r="N26" s="72">
        <v>0</v>
      </c>
      <c r="O26" s="72">
        <v>0</v>
      </c>
      <c r="P26" s="72">
        <f>SUM(D26:O26)</f>
        <v>1357.01</v>
      </c>
      <c r="Q26" s="40"/>
    </row>
    <row r="27" spans="2:21" x14ac:dyDescent="0.25">
      <c r="B27" s="122"/>
      <c r="C27" s="104" t="s">
        <v>33</v>
      </c>
      <c r="D27" s="71">
        <v>44590</v>
      </c>
      <c r="E27" s="71">
        <v>44619</v>
      </c>
      <c r="F27" s="71">
        <v>44648</v>
      </c>
      <c r="G27" s="71">
        <v>44682</v>
      </c>
      <c r="H27" s="71">
        <v>44711</v>
      </c>
      <c r="I27" s="71">
        <v>44744</v>
      </c>
      <c r="J27" s="76">
        <v>44769</v>
      </c>
      <c r="K27" s="76">
        <v>44802</v>
      </c>
      <c r="L27" s="71">
        <v>44836</v>
      </c>
      <c r="M27" s="71">
        <v>44866</v>
      </c>
      <c r="N27" s="71">
        <v>44893</v>
      </c>
      <c r="O27" s="71">
        <v>44926</v>
      </c>
      <c r="P27" s="76">
        <v>44924</v>
      </c>
      <c r="Q27" s="41"/>
      <c r="R27" s="34"/>
    </row>
    <row r="28" spans="2:21" x14ac:dyDescent="0.25">
      <c r="B28" s="122"/>
      <c r="C28" s="105"/>
      <c r="D28" s="72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2">
        <v>36.57</v>
      </c>
      <c r="M28" s="72">
        <v>0</v>
      </c>
      <c r="N28" s="72">
        <v>0</v>
      </c>
      <c r="O28" s="72">
        <v>0</v>
      </c>
      <c r="P28" s="72">
        <f>SUM(D28:O28)</f>
        <v>36.57</v>
      </c>
      <c r="Q28" s="40"/>
    </row>
    <row r="29" spans="2:21" x14ac:dyDescent="0.25">
      <c r="B29" s="122"/>
      <c r="C29" s="104" t="s">
        <v>34</v>
      </c>
      <c r="D29" s="71">
        <v>44590</v>
      </c>
      <c r="E29" s="71">
        <v>44619</v>
      </c>
      <c r="F29" s="71">
        <v>44648</v>
      </c>
      <c r="G29" s="71">
        <v>44682</v>
      </c>
      <c r="H29" s="71">
        <v>44711</v>
      </c>
      <c r="I29" s="71">
        <v>44744</v>
      </c>
      <c r="J29" s="76">
        <v>44769</v>
      </c>
      <c r="K29" s="76">
        <v>44802</v>
      </c>
      <c r="L29" s="71">
        <v>44836</v>
      </c>
      <c r="M29" s="71">
        <v>44859</v>
      </c>
      <c r="N29" s="71">
        <v>44893</v>
      </c>
      <c r="O29" s="71">
        <v>44926</v>
      </c>
      <c r="P29" s="76">
        <v>44924</v>
      </c>
      <c r="Q29" s="41"/>
    </row>
    <row r="30" spans="2:21" x14ac:dyDescent="0.25">
      <c r="B30" s="122"/>
      <c r="C30" s="105"/>
      <c r="D30" s="72">
        <v>0</v>
      </c>
      <c r="E30" s="72">
        <v>0</v>
      </c>
      <c r="F30" s="72">
        <v>0</v>
      </c>
      <c r="G30" s="72">
        <v>5.43</v>
      </c>
      <c r="H30" s="72">
        <v>18.11</v>
      </c>
      <c r="I30" s="72">
        <v>0</v>
      </c>
      <c r="J30" s="72">
        <v>0</v>
      </c>
      <c r="K30" s="72">
        <v>0</v>
      </c>
      <c r="L30" s="72">
        <v>0</v>
      </c>
      <c r="M30" s="72">
        <v>130.93</v>
      </c>
      <c r="N30" s="72">
        <v>0</v>
      </c>
      <c r="O30" s="72">
        <v>226.5</v>
      </c>
      <c r="P30" s="72">
        <f>SUM(D30:O30)</f>
        <v>380.97</v>
      </c>
      <c r="Q30" s="40"/>
      <c r="T30" s="34"/>
    </row>
    <row r="31" spans="2:21" ht="15" customHeight="1" x14ac:dyDescent="0.25">
      <c r="B31" s="122"/>
      <c r="C31" s="104" t="s">
        <v>50</v>
      </c>
      <c r="D31" s="71">
        <v>44590</v>
      </c>
      <c r="E31" s="71">
        <v>44619</v>
      </c>
      <c r="F31" s="71">
        <v>44648</v>
      </c>
      <c r="G31" s="71">
        <v>44682</v>
      </c>
      <c r="H31" s="71">
        <v>44711</v>
      </c>
      <c r="I31" s="71">
        <v>44744</v>
      </c>
      <c r="J31" s="76">
        <v>44769</v>
      </c>
      <c r="K31" s="76">
        <v>44802</v>
      </c>
      <c r="L31" s="71">
        <v>44836</v>
      </c>
      <c r="M31" s="71">
        <v>44866</v>
      </c>
      <c r="N31" s="71">
        <v>44893</v>
      </c>
      <c r="O31" s="71">
        <v>44926</v>
      </c>
      <c r="P31" s="76">
        <v>44924</v>
      </c>
      <c r="Q31" s="41"/>
      <c r="T31" s="34"/>
    </row>
    <row r="32" spans="2:21" x14ac:dyDescent="0.25">
      <c r="B32" s="122"/>
      <c r="C32" s="105"/>
      <c r="D32" s="74">
        <v>0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0</v>
      </c>
      <c r="P32" s="74">
        <f>SUM(D32:O32)</f>
        <v>0</v>
      </c>
      <c r="Q32" s="40"/>
      <c r="T32" s="34"/>
    </row>
    <row r="33" spans="2:20" ht="15" customHeight="1" x14ac:dyDescent="0.25">
      <c r="B33" s="122"/>
      <c r="C33" s="104" t="s">
        <v>61</v>
      </c>
      <c r="D33" s="71">
        <v>44590</v>
      </c>
      <c r="E33" s="71">
        <v>44619</v>
      </c>
      <c r="F33" s="71">
        <v>44648</v>
      </c>
      <c r="G33" s="71">
        <v>44682</v>
      </c>
      <c r="H33" s="71">
        <v>44711</v>
      </c>
      <c r="I33" s="71">
        <v>44744</v>
      </c>
      <c r="J33" s="76">
        <v>44769</v>
      </c>
      <c r="K33" s="76">
        <v>44802</v>
      </c>
      <c r="L33" s="71">
        <v>44836</v>
      </c>
      <c r="M33" s="71">
        <v>44866</v>
      </c>
      <c r="N33" s="71">
        <v>44898</v>
      </c>
      <c r="O33" s="71">
        <v>44926</v>
      </c>
      <c r="P33" s="76">
        <v>44924</v>
      </c>
      <c r="Q33" s="41"/>
      <c r="T33" s="34"/>
    </row>
    <row r="34" spans="2:20" x14ac:dyDescent="0.25">
      <c r="B34" s="122"/>
      <c r="C34" s="105"/>
      <c r="D34" s="74">
        <v>0</v>
      </c>
      <c r="E34" s="74">
        <v>0</v>
      </c>
      <c r="F34" s="74">
        <v>0</v>
      </c>
      <c r="G34" s="74">
        <v>43.38</v>
      </c>
      <c r="H34" s="74">
        <v>0</v>
      </c>
      <c r="I34" s="74">
        <v>0</v>
      </c>
      <c r="J34" s="74">
        <v>0</v>
      </c>
      <c r="K34" s="74">
        <v>0</v>
      </c>
      <c r="L34" s="72">
        <v>0</v>
      </c>
      <c r="M34" s="74">
        <v>0</v>
      </c>
      <c r="N34" s="74">
        <v>0</v>
      </c>
      <c r="O34" s="74">
        <v>0</v>
      </c>
      <c r="P34" s="74">
        <f>SUM(D34:O34)</f>
        <v>43.38</v>
      </c>
      <c r="Q34" s="40"/>
      <c r="T34" s="34"/>
    </row>
    <row r="35" spans="2:20" x14ac:dyDescent="0.25">
      <c r="B35" s="122"/>
      <c r="C35" s="104" t="s">
        <v>44</v>
      </c>
      <c r="D35" s="71">
        <v>44590</v>
      </c>
      <c r="E35" s="71">
        <v>44619</v>
      </c>
      <c r="F35" s="71">
        <v>44648</v>
      </c>
      <c r="G35" s="71">
        <v>44682</v>
      </c>
      <c r="H35" s="71">
        <v>44711</v>
      </c>
      <c r="I35" s="71">
        <v>44744</v>
      </c>
      <c r="J35" s="76">
        <v>44769</v>
      </c>
      <c r="K35" s="76">
        <v>44802</v>
      </c>
      <c r="L35" s="71">
        <v>44836</v>
      </c>
      <c r="M35" s="71">
        <v>44871</v>
      </c>
      <c r="N35" s="71">
        <v>44896</v>
      </c>
      <c r="O35" s="71">
        <v>44926</v>
      </c>
      <c r="P35" s="76">
        <v>44924</v>
      </c>
      <c r="Q35" s="41"/>
      <c r="T35" s="34"/>
    </row>
    <row r="36" spans="2:20" x14ac:dyDescent="0.25">
      <c r="B36" s="122"/>
      <c r="C36" s="105"/>
      <c r="D36" s="72">
        <f>1929.76-D4-D16-D63-D57-D8</f>
        <v>1629.69</v>
      </c>
      <c r="E36" s="72">
        <f>2038.42-E4-E16-E63-E21-E59</f>
        <v>380.2</v>
      </c>
      <c r="F36" s="72">
        <f>1400.32-F4-F16-F63-F61-F59-F67-E8</f>
        <v>439.31</v>
      </c>
      <c r="G36" s="72">
        <f>2555.61-G4-G16-G63-G61-G59-G67-G8-G18</f>
        <v>508.9</v>
      </c>
      <c r="H36" s="72">
        <f>1777.72-H4-H16-H63-H61-H59-H67-H8-H18-H14</f>
        <v>905.06</v>
      </c>
      <c r="I36" s="72">
        <f>2021.56-I4-I16-I63-I61-I59-I67-I8-I18</f>
        <v>180.45</v>
      </c>
      <c r="J36" s="72">
        <f>1144.41-J4-J16-J63-J59-J67-J8-J18</f>
        <v>33.830000000000098</v>
      </c>
      <c r="K36" s="72">
        <f>1648.78-K16-K63-K59-K67</f>
        <v>991.31</v>
      </c>
      <c r="L36" s="72">
        <f>3274.77-L4-L16-L63-L61-L59-L67-L8-L18-K8</f>
        <v>793.61</v>
      </c>
      <c r="M36" s="72">
        <f>986.04+315.08-M4-M16-M63-M61-M59-M67-M8-M18</f>
        <v>430.83</v>
      </c>
      <c r="N36" s="72">
        <f>2580.86-N4-N16-N63-N59-N67-N8-N18-N61*0.2</f>
        <v>1536.8520000000001</v>
      </c>
      <c r="O36" s="72">
        <f>2099.17+411.63-O4-O16-O63-O61-O59-O67-O8-O18+980</f>
        <v>1159.57</v>
      </c>
      <c r="P36" s="74">
        <f>SUM(D36:O36)</f>
        <v>8989.6119999999992</v>
      </c>
      <c r="Q36" s="40"/>
      <c r="T36" s="34"/>
    </row>
    <row r="37" spans="2:20" x14ac:dyDescent="0.25">
      <c r="B37" s="122"/>
      <c r="C37" s="104" t="s">
        <v>40</v>
      </c>
      <c r="D37" s="71">
        <v>44590</v>
      </c>
      <c r="E37" s="71">
        <v>44619</v>
      </c>
      <c r="F37" s="71">
        <v>44648</v>
      </c>
      <c r="G37" s="71">
        <v>44682</v>
      </c>
      <c r="H37" s="71">
        <v>44711</v>
      </c>
      <c r="I37" s="71">
        <v>44744</v>
      </c>
      <c r="J37" s="76">
        <v>44769</v>
      </c>
      <c r="K37" s="76">
        <v>44802</v>
      </c>
      <c r="L37" s="71">
        <v>44836</v>
      </c>
      <c r="M37" s="71">
        <v>44866</v>
      </c>
      <c r="N37" s="71">
        <v>44893</v>
      </c>
      <c r="O37" s="71">
        <v>44926</v>
      </c>
      <c r="P37" s="76">
        <v>44924</v>
      </c>
      <c r="Q37" s="41"/>
      <c r="T37" s="34"/>
    </row>
    <row r="38" spans="2:20" x14ac:dyDescent="0.25">
      <c r="B38" s="122"/>
      <c r="C38" s="105"/>
      <c r="D38" s="72">
        <v>0</v>
      </c>
      <c r="E38" s="72">
        <v>0</v>
      </c>
      <c r="F38" s="72">
        <v>0</v>
      </c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72">
        <v>0</v>
      </c>
      <c r="M38" s="72">
        <v>0</v>
      </c>
      <c r="N38" s="72">
        <v>0</v>
      </c>
      <c r="O38" s="72">
        <v>0</v>
      </c>
      <c r="P38" s="74">
        <f>SUM(D38:O38)</f>
        <v>0</v>
      </c>
      <c r="Q38" s="40"/>
      <c r="T38" s="34"/>
    </row>
    <row r="39" spans="2:20" ht="15" customHeight="1" x14ac:dyDescent="0.25">
      <c r="B39" s="122"/>
      <c r="C39" s="104" t="s">
        <v>35</v>
      </c>
      <c r="D39" s="71">
        <v>44590</v>
      </c>
      <c r="E39" s="71">
        <v>44619</v>
      </c>
      <c r="F39" s="71">
        <v>44648</v>
      </c>
      <c r="G39" s="71">
        <v>44682</v>
      </c>
      <c r="H39" s="71">
        <v>44711</v>
      </c>
      <c r="I39" s="71">
        <v>44744</v>
      </c>
      <c r="J39" s="76">
        <v>44769</v>
      </c>
      <c r="K39" s="76">
        <v>44802</v>
      </c>
      <c r="L39" s="71">
        <v>44836</v>
      </c>
      <c r="M39" s="71">
        <v>44871</v>
      </c>
      <c r="N39" s="71">
        <v>44898</v>
      </c>
      <c r="O39" s="71">
        <v>44926</v>
      </c>
      <c r="P39" s="76">
        <v>44924</v>
      </c>
      <c r="Q39" s="41"/>
    </row>
    <row r="40" spans="2:20" x14ac:dyDescent="0.25">
      <c r="B40" s="122"/>
      <c r="C40" s="105"/>
      <c r="D40" s="72">
        <v>257.8</v>
      </c>
      <c r="E40" s="72">
        <v>198.91</v>
      </c>
      <c r="F40" s="72">
        <v>80.78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118.53</v>
      </c>
      <c r="O40" s="72">
        <v>0</v>
      </c>
      <c r="P40" s="72">
        <f>SUM(D40:O40)</f>
        <v>656.02</v>
      </c>
      <c r="Q40" s="40"/>
    </row>
    <row r="41" spans="2:20" x14ac:dyDescent="0.25">
      <c r="B41" s="122"/>
      <c r="C41" s="117" t="s">
        <v>36</v>
      </c>
      <c r="D41" s="71">
        <v>44590</v>
      </c>
      <c r="E41" s="71">
        <v>44619</v>
      </c>
      <c r="F41" s="71">
        <v>44648</v>
      </c>
      <c r="G41" s="71">
        <v>44682</v>
      </c>
      <c r="H41" s="71">
        <v>44711</v>
      </c>
      <c r="I41" s="71">
        <v>44744</v>
      </c>
      <c r="J41" s="76">
        <v>44769</v>
      </c>
      <c r="K41" s="76">
        <v>44802</v>
      </c>
      <c r="L41" s="71">
        <v>44836</v>
      </c>
      <c r="M41" s="71">
        <v>44866</v>
      </c>
      <c r="N41" s="71">
        <v>44893</v>
      </c>
      <c r="O41" s="71">
        <v>44926</v>
      </c>
      <c r="P41" s="76">
        <v>44924</v>
      </c>
      <c r="Q41" s="41"/>
    </row>
    <row r="42" spans="2:20" x14ac:dyDescent="0.25">
      <c r="B42" s="122"/>
      <c r="C42" s="117"/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  <c r="N42" s="72">
        <v>0</v>
      </c>
      <c r="O42" s="72">
        <v>0</v>
      </c>
      <c r="P42" s="72">
        <f>SUM(D42:O42)</f>
        <v>0</v>
      </c>
      <c r="Q42" s="40"/>
    </row>
    <row r="43" spans="2:20" ht="15" customHeight="1" x14ac:dyDescent="0.25">
      <c r="B43" s="122"/>
      <c r="C43" s="124" t="s">
        <v>37</v>
      </c>
      <c r="D43" s="71">
        <v>44590</v>
      </c>
      <c r="E43" s="71">
        <v>44619</v>
      </c>
      <c r="F43" s="71">
        <v>44648</v>
      </c>
      <c r="G43" s="71">
        <v>44682</v>
      </c>
      <c r="H43" s="71">
        <v>44711</v>
      </c>
      <c r="I43" s="71">
        <v>44744</v>
      </c>
      <c r="J43" s="76">
        <v>44769</v>
      </c>
      <c r="K43" s="76">
        <v>44802</v>
      </c>
      <c r="L43" s="71">
        <v>44836</v>
      </c>
      <c r="M43" s="71">
        <v>44866</v>
      </c>
      <c r="N43" s="71">
        <v>44893</v>
      </c>
      <c r="O43" s="71">
        <v>44926</v>
      </c>
      <c r="P43" s="76">
        <v>44924</v>
      </c>
    </row>
    <row r="44" spans="2:20" x14ac:dyDescent="0.25">
      <c r="B44" s="122"/>
      <c r="C44" s="105"/>
      <c r="D44" s="72">
        <v>0</v>
      </c>
      <c r="E44" s="72">
        <v>0</v>
      </c>
      <c r="F44" s="72">
        <v>0</v>
      </c>
      <c r="G44" s="72">
        <v>0</v>
      </c>
      <c r="H44" s="72">
        <f>23.6+181.94</f>
        <v>205.54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  <c r="N44" s="72">
        <v>0</v>
      </c>
      <c r="O44" s="72">
        <v>0</v>
      </c>
      <c r="P44" s="72">
        <f>SUM(D44:O44)</f>
        <v>205.54</v>
      </c>
      <c r="Q44" s="40"/>
    </row>
    <row r="45" spans="2:20" x14ac:dyDescent="0.25">
      <c r="B45" s="122"/>
      <c r="C45" s="104" t="s">
        <v>48</v>
      </c>
      <c r="D45" s="71">
        <v>44590</v>
      </c>
      <c r="E45" s="71">
        <v>44619</v>
      </c>
      <c r="F45" s="71">
        <v>44648</v>
      </c>
      <c r="G45" s="71">
        <v>44682</v>
      </c>
      <c r="H45" s="71">
        <v>44711</v>
      </c>
      <c r="I45" s="71">
        <v>44744</v>
      </c>
      <c r="J45" s="76">
        <v>44769</v>
      </c>
      <c r="K45" s="76">
        <v>44802</v>
      </c>
      <c r="L45" s="71">
        <v>44836</v>
      </c>
      <c r="M45" s="71">
        <v>44866</v>
      </c>
      <c r="N45" s="71">
        <v>44898</v>
      </c>
      <c r="O45" s="71">
        <v>44926</v>
      </c>
      <c r="P45" s="76">
        <v>44924</v>
      </c>
      <c r="Q45" s="34"/>
    </row>
    <row r="46" spans="2:20" x14ac:dyDescent="0.25">
      <c r="B46" s="122"/>
      <c r="C46" s="105"/>
      <c r="D46" s="74">
        <v>31.8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18.54</v>
      </c>
      <c r="K46" s="74">
        <v>0</v>
      </c>
      <c r="L46" s="74">
        <v>0</v>
      </c>
      <c r="M46" s="74">
        <v>0</v>
      </c>
      <c r="N46" s="74">
        <v>10.47</v>
      </c>
      <c r="O46" s="74">
        <v>17.72</v>
      </c>
      <c r="P46" s="72">
        <f>SUM(D46:O46)</f>
        <v>78.53</v>
      </c>
      <c r="Q46" s="34"/>
    </row>
    <row r="47" spans="2:20" x14ac:dyDescent="0.25">
      <c r="B47" s="122"/>
      <c r="C47" s="104" t="s">
        <v>60</v>
      </c>
      <c r="D47" s="71">
        <v>44590</v>
      </c>
      <c r="E47" s="71">
        <v>44619</v>
      </c>
      <c r="F47" s="71">
        <v>44648</v>
      </c>
      <c r="G47" s="71">
        <v>44682</v>
      </c>
      <c r="H47" s="71">
        <v>44711</v>
      </c>
      <c r="I47" s="71">
        <v>44744</v>
      </c>
      <c r="J47" s="76">
        <v>44769</v>
      </c>
      <c r="K47" s="71">
        <v>44802</v>
      </c>
      <c r="L47" s="71">
        <v>44836</v>
      </c>
      <c r="M47" s="71">
        <v>44859</v>
      </c>
      <c r="N47" s="71">
        <v>44893</v>
      </c>
      <c r="O47" s="71">
        <v>44926</v>
      </c>
      <c r="P47" s="76">
        <v>44924</v>
      </c>
    </row>
    <row r="48" spans="2:20" x14ac:dyDescent="0.25">
      <c r="B48" s="122"/>
      <c r="C48" s="105"/>
      <c r="D48" s="74">
        <v>37.08</v>
      </c>
      <c r="E48" s="74">
        <v>60.77</v>
      </c>
      <c r="F48" s="74">
        <v>600.54</v>
      </c>
      <c r="G48" s="72">
        <v>721.11</v>
      </c>
      <c r="H48" s="72">
        <v>168.03</v>
      </c>
      <c r="I48" s="72">
        <v>870.42</v>
      </c>
      <c r="J48" s="72">
        <f>1106.71-J61</f>
        <v>285.02</v>
      </c>
      <c r="K48" s="72">
        <f>2447.15-K61</f>
        <v>0</v>
      </c>
      <c r="L48" s="72">
        <v>481.78</v>
      </c>
      <c r="M48" s="72">
        <v>97.4</v>
      </c>
      <c r="N48" s="72">
        <f>2089.36-N61*0.8</f>
        <v>202.56800000000001</v>
      </c>
      <c r="O48" s="72">
        <f>1220.96-980</f>
        <v>240.96</v>
      </c>
      <c r="P48" s="72">
        <f>SUM(D48:O48)</f>
        <v>3765.6779999999999</v>
      </c>
      <c r="Q48" s="40"/>
    </row>
    <row r="49" spans="2:18" x14ac:dyDescent="0.25">
      <c r="B49" s="122"/>
      <c r="C49" s="104" t="s">
        <v>64</v>
      </c>
      <c r="D49" s="71">
        <v>44590</v>
      </c>
      <c r="E49" s="71">
        <v>44619</v>
      </c>
      <c r="F49" s="71">
        <v>44648</v>
      </c>
      <c r="G49" s="71">
        <v>44682</v>
      </c>
      <c r="H49" s="71">
        <v>44711</v>
      </c>
      <c r="I49" s="71">
        <v>44744</v>
      </c>
      <c r="J49" s="76">
        <v>44769</v>
      </c>
      <c r="K49" s="71">
        <v>44802</v>
      </c>
      <c r="L49" s="71">
        <v>44836</v>
      </c>
      <c r="M49" s="71">
        <v>44871</v>
      </c>
      <c r="N49" s="71">
        <v>44898</v>
      </c>
      <c r="O49" s="71">
        <v>44926</v>
      </c>
      <c r="P49" s="76">
        <v>44924</v>
      </c>
      <c r="Q49" s="34"/>
    </row>
    <row r="50" spans="2:18" x14ac:dyDescent="0.25">
      <c r="B50" s="122"/>
      <c r="C50" s="105"/>
      <c r="D50" s="74">
        <v>377.92</v>
      </c>
      <c r="E50" s="74">
        <v>234.39</v>
      </c>
      <c r="F50" s="74">
        <v>0</v>
      </c>
      <c r="G50" s="74">
        <v>242.37</v>
      </c>
      <c r="H50" s="74">
        <v>426.39</v>
      </c>
      <c r="I50" s="74">
        <v>519.49</v>
      </c>
      <c r="J50" s="74">
        <v>453.83</v>
      </c>
      <c r="K50" s="74">
        <v>240.97</v>
      </c>
      <c r="L50" s="74">
        <v>373.19</v>
      </c>
      <c r="M50" s="74">
        <v>551.36</v>
      </c>
      <c r="N50" s="74">
        <v>463.49</v>
      </c>
      <c r="O50" s="74">
        <v>177.28</v>
      </c>
      <c r="P50" s="72">
        <f>SUM(D50:O50)</f>
        <v>4060.68</v>
      </c>
      <c r="Q50" s="34"/>
    </row>
    <row r="51" spans="2:18" x14ac:dyDescent="0.25">
      <c r="B51" s="122"/>
      <c r="C51" s="104" t="s">
        <v>49</v>
      </c>
      <c r="D51" s="71">
        <v>44590</v>
      </c>
      <c r="E51" s="71">
        <v>44619</v>
      </c>
      <c r="F51" s="71">
        <v>44648</v>
      </c>
      <c r="G51" s="71">
        <v>44682</v>
      </c>
      <c r="H51" s="71">
        <v>44711</v>
      </c>
      <c r="I51" s="71">
        <v>44744</v>
      </c>
      <c r="J51" s="76">
        <v>44769</v>
      </c>
      <c r="K51" s="76">
        <v>44802</v>
      </c>
      <c r="L51" s="71">
        <v>44836</v>
      </c>
      <c r="M51" s="71">
        <v>44866</v>
      </c>
      <c r="N51" s="71">
        <v>44893</v>
      </c>
      <c r="O51" s="71">
        <v>44926</v>
      </c>
      <c r="P51" s="76">
        <v>44924</v>
      </c>
      <c r="Q51" s="34"/>
    </row>
    <row r="52" spans="2:18" x14ac:dyDescent="0.25">
      <c r="B52" s="122"/>
      <c r="C52" s="105"/>
      <c r="D52" s="72">
        <v>0</v>
      </c>
      <c r="E52" s="72">
        <v>0</v>
      </c>
      <c r="F52" s="72">
        <v>39.94</v>
      </c>
      <c r="G52" s="72">
        <v>0</v>
      </c>
      <c r="H52" s="72">
        <v>0</v>
      </c>
      <c r="I52" s="72">
        <v>0</v>
      </c>
      <c r="J52" s="72">
        <v>0</v>
      </c>
      <c r="K52" s="72">
        <v>0</v>
      </c>
      <c r="L52" s="72">
        <v>21.18</v>
      </c>
      <c r="M52" s="72">
        <v>0</v>
      </c>
      <c r="N52" s="72">
        <v>0</v>
      </c>
      <c r="O52" s="72">
        <v>21.3</v>
      </c>
      <c r="P52" s="72">
        <f>SUM(D52:O52)</f>
        <v>82.42</v>
      </c>
      <c r="Q52" s="34"/>
      <c r="R52" s="34"/>
    </row>
    <row r="53" spans="2:18" ht="15" customHeight="1" x14ac:dyDescent="0.25">
      <c r="B53" s="123"/>
      <c r="C53" s="37" t="s">
        <v>0</v>
      </c>
      <c r="D53" s="79">
        <f t="shared" ref="D53:P53" si="2">SUM(D26,D28,D30,D32,D34,D36,D38,D40,D42,D44,D46,D48,D50,D52)</f>
        <v>2353.6</v>
      </c>
      <c r="E53" s="79">
        <f t="shared" si="2"/>
        <v>1408.05</v>
      </c>
      <c r="F53" s="79">
        <f t="shared" si="2"/>
        <v>1580.26</v>
      </c>
      <c r="G53" s="79">
        <f t="shared" si="2"/>
        <v>1627.52</v>
      </c>
      <c r="H53" s="79">
        <f t="shared" si="2"/>
        <v>1829.66</v>
      </c>
      <c r="I53" s="79">
        <f t="shared" si="2"/>
        <v>1741.73</v>
      </c>
      <c r="J53" s="79">
        <f t="shared" si="2"/>
        <v>791.22</v>
      </c>
      <c r="K53" s="79">
        <f t="shared" si="2"/>
        <v>1232.28</v>
      </c>
      <c r="L53" s="79">
        <f t="shared" si="2"/>
        <v>1706.33</v>
      </c>
      <c r="M53" s="79">
        <f t="shared" si="2"/>
        <v>1210.52</v>
      </c>
      <c r="N53" s="79">
        <f t="shared" si="2"/>
        <v>2331.91</v>
      </c>
      <c r="O53" s="79">
        <f t="shared" si="2"/>
        <v>1843.33</v>
      </c>
      <c r="P53" s="79">
        <f t="shared" si="2"/>
        <v>19656.41</v>
      </c>
      <c r="Q53" s="34"/>
      <c r="R53" s="34"/>
    </row>
    <row r="54" spans="2:18" ht="15" customHeight="1" x14ac:dyDescent="0.25">
      <c r="B54" s="111" t="s">
        <v>25</v>
      </c>
      <c r="C54" s="103" t="s">
        <v>54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>
        <v>44915</v>
      </c>
      <c r="P54" s="76">
        <v>44924</v>
      </c>
    </row>
    <row r="55" spans="2:18" x14ac:dyDescent="0.25">
      <c r="B55" s="112"/>
      <c r="C55" s="103"/>
      <c r="D55" s="72">
        <v>0</v>
      </c>
      <c r="E55" s="72">
        <v>0</v>
      </c>
      <c r="F55" s="72">
        <v>0</v>
      </c>
      <c r="G55" s="72">
        <v>0</v>
      </c>
      <c r="H55" s="72">
        <v>0</v>
      </c>
      <c r="I55" s="72">
        <v>0</v>
      </c>
      <c r="J55" s="72">
        <v>0</v>
      </c>
      <c r="K55" s="72">
        <v>0</v>
      </c>
      <c r="L55" s="72">
        <v>0</v>
      </c>
      <c r="M55" s="72">
        <v>0</v>
      </c>
      <c r="N55" s="72">
        <v>0</v>
      </c>
      <c r="O55" s="72">
        <v>575</v>
      </c>
      <c r="P55" s="72">
        <f>SUM(D55:O55)</f>
        <v>575</v>
      </c>
    </row>
    <row r="56" spans="2:18" x14ac:dyDescent="0.25">
      <c r="B56" s="112"/>
      <c r="C56" s="103" t="s">
        <v>45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>
        <v>44926</v>
      </c>
      <c r="P56" s="76">
        <v>44924</v>
      </c>
    </row>
    <row r="57" spans="2:18" x14ac:dyDescent="0.25">
      <c r="B57" s="112"/>
      <c r="C57" s="103"/>
      <c r="D57" s="72">
        <v>0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  <c r="M57" s="72">
        <v>0</v>
      </c>
      <c r="N57" s="72">
        <v>0</v>
      </c>
      <c r="O57" s="72">
        <v>0</v>
      </c>
      <c r="P57" s="72">
        <f>SUM(D57:O57)</f>
        <v>0</v>
      </c>
    </row>
    <row r="58" spans="2:18" x14ac:dyDescent="0.25">
      <c r="B58" s="112"/>
      <c r="C58" s="109" t="s">
        <v>63</v>
      </c>
      <c r="D58" s="71"/>
      <c r="E58" s="71">
        <v>44619</v>
      </c>
      <c r="F58" s="71">
        <v>44646</v>
      </c>
      <c r="G58" s="71">
        <v>44682</v>
      </c>
      <c r="H58" s="71">
        <v>44711</v>
      </c>
      <c r="I58" s="71">
        <v>44744</v>
      </c>
      <c r="J58" s="71">
        <v>44776</v>
      </c>
      <c r="K58" s="71">
        <v>44802</v>
      </c>
      <c r="L58" s="71">
        <v>44836</v>
      </c>
      <c r="M58" s="71">
        <v>44866</v>
      </c>
      <c r="N58" s="71">
        <v>44898</v>
      </c>
      <c r="O58" s="71">
        <v>44926</v>
      </c>
      <c r="P58" s="76">
        <v>44924</v>
      </c>
    </row>
    <row r="59" spans="2:18" x14ac:dyDescent="0.25">
      <c r="B59" s="112"/>
      <c r="C59" s="110"/>
      <c r="D59" s="72">
        <v>0</v>
      </c>
      <c r="E59" s="72">
        <f>138+138+106</f>
        <v>382</v>
      </c>
      <c r="F59" s="72">
        <f>50+25+106+60</f>
        <v>241</v>
      </c>
      <c r="G59" s="72">
        <f>92+172+80+263+26+5.95+238+106</f>
        <v>982.95</v>
      </c>
      <c r="H59" s="72">
        <f>160+80+106</f>
        <v>346</v>
      </c>
      <c r="I59" s="72">
        <f>106+70+189</f>
        <v>365</v>
      </c>
      <c r="J59" s="72">
        <f>247.26+106+224.48+120</f>
        <v>697.74</v>
      </c>
      <c r="K59" s="72">
        <f>213.47+35+138-189+106+157+157</f>
        <v>617.47</v>
      </c>
      <c r="L59" s="72">
        <f>106+219</f>
        <v>325</v>
      </c>
      <c r="M59" s="72">
        <f>219+116</f>
        <v>335</v>
      </c>
      <c r="N59" s="72">
        <f>219+106</f>
        <v>325</v>
      </c>
      <c r="O59" s="72">
        <f>219+116+10</f>
        <v>345</v>
      </c>
      <c r="P59" s="72">
        <f>SUM(D59:O59)</f>
        <v>4962.16</v>
      </c>
    </row>
    <row r="60" spans="2:18" x14ac:dyDescent="0.25">
      <c r="B60" s="112"/>
      <c r="C60" s="109" t="s">
        <v>51</v>
      </c>
      <c r="D60" s="71"/>
      <c r="E60" s="71"/>
      <c r="F60" s="71">
        <v>44637</v>
      </c>
      <c r="G60" s="71">
        <v>44682</v>
      </c>
      <c r="H60" s="71">
        <v>44711</v>
      </c>
      <c r="I60" s="71">
        <v>44744</v>
      </c>
      <c r="J60" s="71">
        <v>44765</v>
      </c>
      <c r="K60" s="71">
        <v>44805</v>
      </c>
      <c r="L60" s="71">
        <v>44836</v>
      </c>
      <c r="M60" s="71"/>
      <c r="N60" s="71">
        <v>44898</v>
      </c>
      <c r="O60" s="71">
        <v>44926</v>
      </c>
      <c r="P60" s="76">
        <v>44924</v>
      </c>
    </row>
    <row r="61" spans="2:18" x14ac:dyDescent="0.25">
      <c r="B61" s="112"/>
      <c r="C61" s="110"/>
      <c r="D61" s="72">
        <v>0</v>
      </c>
      <c r="E61" s="72">
        <v>0</v>
      </c>
      <c r="F61" s="72">
        <f>48+367</f>
        <v>415</v>
      </c>
      <c r="G61" s="72">
        <f>422+85.41+51.82+136.38+124.91</f>
        <v>820.52</v>
      </c>
      <c r="H61" s="72">
        <v>0</v>
      </c>
      <c r="I61" s="72">
        <f>870.42+138+25</f>
        <v>1033.42</v>
      </c>
      <c r="J61" s="72">
        <f>337.48+434.59+49.62</f>
        <v>821.69</v>
      </c>
      <c r="K61" s="72">
        <f>2447.15</f>
        <v>2447.15</v>
      </c>
      <c r="L61" s="72">
        <v>1795</v>
      </c>
      <c r="M61" s="72">
        <v>0</v>
      </c>
      <c r="N61" s="72">
        <f>796.68+1059.87+244.27+257.67</f>
        <v>2358.4899999999998</v>
      </c>
      <c r="O61" s="72">
        <f>640.16+980</f>
        <v>1620.16</v>
      </c>
      <c r="P61" s="72">
        <f>SUM(D61:O61)</f>
        <v>11311.43</v>
      </c>
    </row>
    <row r="62" spans="2:18" x14ac:dyDescent="0.25">
      <c r="B62" s="112"/>
      <c r="C62" s="109" t="s">
        <v>47</v>
      </c>
      <c r="D62" s="71"/>
      <c r="E62" s="71">
        <v>44619</v>
      </c>
      <c r="F62" s="71">
        <v>44624</v>
      </c>
      <c r="G62" s="71"/>
      <c r="H62" s="71">
        <v>44698</v>
      </c>
      <c r="I62" s="71">
        <v>44744</v>
      </c>
      <c r="J62" s="77">
        <v>44776</v>
      </c>
      <c r="K62" s="76">
        <v>44802</v>
      </c>
      <c r="L62" s="71">
        <v>44836</v>
      </c>
      <c r="M62" s="71"/>
      <c r="N62" s="71"/>
      <c r="O62" s="71">
        <v>44926</v>
      </c>
      <c r="P62" s="76">
        <v>44924</v>
      </c>
    </row>
    <row r="63" spans="2:18" x14ac:dyDescent="0.25">
      <c r="B63" s="112"/>
      <c r="C63" s="110"/>
      <c r="D63" s="72">
        <v>0</v>
      </c>
      <c r="E63" s="72">
        <f>30.39</f>
        <v>30.39</v>
      </c>
      <c r="F63" s="72">
        <v>0</v>
      </c>
      <c r="G63" s="72">
        <v>0</v>
      </c>
      <c r="H63" s="72">
        <v>114.92</v>
      </c>
      <c r="I63" s="72">
        <f>37.9+105+80.52</f>
        <v>223.42</v>
      </c>
      <c r="J63" s="72">
        <f>35.08+143.66</f>
        <v>178.74</v>
      </c>
      <c r="K63" s="72">
        <v>0</v>
      </c>
      <c r="L63" s="72">
        <v>0</v>
      </c>
      <c r="M63" s="72">
        <v>0</v>
      </c>
      <c r="N63" s="72">
        <v>0</v>
      </c>
      <c r="O63" s="72">
        <v>17.68</v>
      </c>
      <c r="P63" s="72">
        <f>SUM(D63:O63)</f>
        <v>565.15</v>
      </c>
    </row>
    <row r="64" spans="2:18" x14ac:dyDescent="0.25">
      <c r="B64" s="112"/>
      <c r="C64" s="109" t="s">
        <v>30</v>
      </c>
      <c r="D64" s="71"/>
      <c r="E64" s="71">
        <v>44615</v>
      </c>
      <c r="F64" s="71"/>
      <c r="G64" s="71"/>
      <c r="H64" s="71">
        <v>44713</v>
      </c>
      <c r="I64" s="71"/>
      <c r="J64" s="77">
        <v>44776</v>
      </c>
      <c r="K64" s="76">
        <v>44802</v>
      </c>
      <c r="L64" s="71"/>
      <c r="M64" s="71"/>
      <c r="N64" s="71"/>
      <c r="O64" s="71"/>
      <c r="P64" s="76">
        <v>44924</v>
      </c>
    </row>
    <row r="65" spans="2:18" x14ac:dyDescent="0.25">
      <c r="B65" s="112"/>
      <c r="C65" s="110"/>
      <c r="D65" s="72">
        <v>0</v>
      </c>
      <c r="E65" s="72">
        <v>500</v>
      </c>
      <c r="F65" s="72">
        <v>0</v>
      </c>
      <c r="G65" s="72">
        <v>0</v>
      </c>
      <c r="H65" s="72">
        <v>40000</v>
      </c>
      <c r="I65" s="72">
        <v>0</v>
      </c>
      <c r="J65" s="72">
        <f>233.1*2</f>
        <v>466.2</v>
      </c>
      <c r="K65" s="72">
        <f>245+245+245+280.8+379</f>
        <v>1394.8</v>
      </c>
      <c r="L65" s="72">
        <v>0</v>
      </c>
      <c r="M65" s="72">
        <v>0</v>
      </c>
      <c r="N65" s="72">
        <v>0</v>
      </c>
      <c r="O65" s="72">
        <v>0</v>
      </c>
      <c r="P65" s="72">
        <f>SUM(D65:O65)</f>
        <v>42361</v>
      </c>
    </row>
    <row r="66" spans="2:18" x14ac:dyDescent="0.25">
      <c r="B66" s="112"/>
      <c r="C66" s="109" t="s">
        <v>41</v>
      </c>
      <c r="D66" s="71"/>
      <c r="E66" s="71"/>
      <c r="F66" s="71"/>
      <c r="G66" s="71"/>
      <c r="H66" s="71"/>
      <c r="I66" s="71"/>
      <c r="J66" s="77">
        <v>44776</v>
      </c>
      <c r="K66" s="71"/>
      <c r="L66" s="71"/>
      <c r="M66" s="71">
        <v>44854</v>
      </c>
      <c r="N66" s="71"/>
      <c r="O66" s="71">
        <v>44926</v>
      </c>
      <c r="P66" s="76">
        <v>44924</v>
      </c>
    </row>
    <row r="67" spans="2:18" x14ac:dyDescent="0.25">
      <c r="B67" s="112"/>
      <c r="C67" s="110"/>
      <c r="D67" s="72">
        <v>0</v>
      </c>
      <c r="E67" s="72">
        <v>0</v>
      </c>
      <c r="F67" s="72">
        <v>0</v>
      </c>
      <c r="G67" s="72">
        <v>0</v>
      </c>
      <c r="H67" s="72">
        <v>0</v>
      </c>
      <c r="I67" s="72">
        <v>0</v>
      </c>
      <c r="J67" s="72">
        <v>0</v>
      </c>
      <c r="K67" s="72">
        <v>0</v>
      </c>
      <c r="L67" s="72">
        <v>0</v>
      </c>
      <c r="M67" s="72">
        <f>178.9*2</f>
        <v>357.8</v>
      </c>
      <c r="N67" s="72">
        <v>0</v>
      </c>
      <c r="O67" s="72"/>
      <c r="P67" s="72">
        <f>SUM(D67:O67)</f>
        <v>357.8</v>
      </c>
      <c r="Q67" s="34"/>
      <c r="R67" s="45"/>
    </row>
    <row r="68" spans="2:18" x14ac:dyDescent="0.25">
      <c r="B68" s="113"/>
      <c r="C68" s="38" t="s">
        <v>0</v>
      </c>
      <c r="D68" s="80">
        <f t="shared" ref="D68:P68" si="3">SUM(D55,D57,D59,D61,D63,D65,D67)</f>
        <v>0</v>
      </c>
      <c r="E68" s="80">
        <f t="shared" si="3"/>
        <v>912.39</v>
      </c>
      <c r="F68" s="80">
        <f t="shared" si="3"/>
        <v>656</v>
      </c>
      <c r="G68" s="80">
        <f t="shared" si="3"/>
        <v>1803.47</v>
      </c>
      <c r="H68" s="80">
        <f t="shared" si="3"/>
        <v>40460.92</v>
      </c>
      <c r="I68" s="80">
        <f t="shared" si="3"/>
        <v>1621.84</v>
      </c>
      <c r="J68" s="80">
        <f t="shared" si="3"/>
        <v>2164.37</v>
      </c>
      <c r="K68" s="80">
        <f t="shared" si="3"/>
        <v>4459.42</v>
      </c>
      <c r="L68" s="80">
        <f t="shared" si="3"/>
        <v>2120</v>
      </c>
      <c r="M68" s="80">
        <f t="shared" si="3"/>
        <v>692.8</v>
      </c>
      <c r="N68" s="80">
        <f t="shared" si="3"/>
        <v>2683.49</v>
      </c>
      <c r="O68" s="80">
        <f t="shared" si="3"/>
        <v>2557.84</v>
      </c>
      <c r="P68" s="80">
        <f t="shared" si="3"/>
        <v>60132.54</v>
      </c>
    </row>
    <row r="69" spans="2:18" ht="15" customHeight="1" x14ac:dyDescent="0.25">
      <c r="B69" s="128" t="s">
        <v>65</v>
      </c>
      <c r="C69" s="129"/>
      <c r="D69" s="56">
        <f t="shared" ref="D69:P69" si="4">SUM(D19,D24,D53,D68)</f>
        <v>2866.69</v>
      </c>
      <c r="E69" s="56">
        <f t="shared" si="4"/>
        <v>5450.24</v>
      </c>
      <c r="F69" s="56">
        <f t="shared" si="4"/>
        <v>2909.16</v>
      </c>
      <c r="G69" s="56">
        <f t="shared" si="4"/>
        <v>3804.51</v>
      </c>
      <c r="H69" s="56">
        <f t="shared" si="4"/>
        <v>42786.92</v>
      </c>
      <c r="I69" s="56">
        <f t="shared" si="4"/>
        <v>6180.57</v>
      </c>
      <c r="J69" s="56">
        <f t="shared" si="4"/>
        <v>3254.4</v>
      </c>
      <c r="K69" s="56">
        <f t="shared" si="4"/>
        <v>6016.45</v>
      </c>
      <c r="L69" s="56">
        <f t="shared" si="4"/>
        <v>4332.18</v>
      </c>
      <c r="M69" s="56">
        <f t="shared" si="4"/>
        <v>2154.59</v>
      </c>
      <c r="N69" s="56">
        <f t="shared" si="4"/>
        <v>6979.69</v>
      </c>
      <c r="O69" s="56">
        <f t="shared" si="4"/>
        <v>5117.7</v>
      </c>
      <c r="P69" s="56">
        <f t="shared" si="4"/>
        <v>91853.1</v>
      </c>
    </row>
    <row r="70" spans="2:18" x14ac:dyDescent="0.25">
      <c r="B70" s="130" t="s">
        <v>57</v>
      </c>
      <c r="C70" s="130"/>
      <c r="D70" s="81">
        <f t="shared" ref="D70:O70" si="5">D69-D21</f>
        <v>2866.69</v>
      </c>
      <c r="E70" s="81">
        <f t="shared" si="5"/>
        <v>4433.24</v>
      </c>
      <c r="F70" s="81">
        <f t="shared" si="5"/>
        <v>2909.16</v>
      </c>
      <c r="G70" s="81">
        <f t="shared" si="5"/>
        <v>3804.51</v>
      </c>
      <c r="H70" s="81">
        <f t="shared" si="5"/>
        <v>42786.92</v>
      </c>
      <c r="I70" s="81">
        <f t="shared" si="5"/>
        <v>6180.57</v>
      </c>
      <c r="J70" s="81">
        <f t="shared" si="5"/>
        <v>3254.4</v>
      </c>
      <c r="K70" s="81">
        <f t="shared" si="5"/>
        <v>6016.45</v>
      </c>
      <c r="L70" s="81">
        <f t="shared" si="5"/>
        <v>4332.18</v>
      </c>
      <c r="M70" s="81">
        <f t="shared" si="5"/>
        <v>2154.59</v>
      </c>
      <c r="N70" s="81">
        <f t="shared" si="5"/>
        <v>6979.69</v>
      </c>
      <c r="O70" s="81">
        <f t="shared" si="5"/>
        <v>5117.7</v>
      </c>
      <c r="P70" s="56">
        <f>SUM(D70:O70)</f>
        <v>90836.1</v>
      </c>
    </row>
    <row r="71" spans="2:18" x14ac:dyDescent="0.25">
      <c r="P71" s="34"/>
    </row>
    <row r="72" spans="2:18" x14ac:dyDescent="0.25">
      <c r="I72" s="34"/>
    </row>
  </sheetData>
  <mergeCells count="37">
    <mergeCell ref="B3:B19"/>
    <mergeCell ref="C3:C4"/>
    <mergeCell ref="C5:C6"/>
    <mergeCell ref="C7:C8"/>
    <mergeCell ref="C9:C10"/>
    <mergeCell ref="C11:C12"/>
    <mergeCell ref="C13:C14"/>
    <mergeCell ref="C15:C16"/>
    <mergeCell ref="C17:C18"/>
    <mergeCell ref="C47:C48"/>
    <mergeCell ref="B20:B24"/>
    <mergeCell ref="C20:C21"/>
    <mergeCell ref="C22:C23"/>
    <mergeCell ref="B25:B53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B69:C69"/>
    <mergeCell ref="B70:C70"/>
    <mergeCell ref="C49:C50"/>
    <mergeCell ref="C51:C52"/>
    <mergeCell ref="B54:B68"/>
    <mergeCell ref="C54:C55"/>
    <mergeCell ref="C56:C57"/>
    <mergeCell ref="C58:C59"/>
    <mergeCell ref="C60:C61"/>
    <mergeCell ref="C62:C63"/>
    <mergeCell ref="C64:C65"/>
    <mergeCell ref="C66:C67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8BE1-6477-4DE4-A602-F383622128DF}">
  <dimension ref="B2:X74"/>
  <sheetViews>
    <sheetView topLeftCell="A47" zoomScaleNormal="100" workbookViewId="0">
      <pane xSplit="3" topLeftCell="K1" activePane="topRight" state="frozen"/>
      <selection activeCell="A40" sqref="A40"/>
      <selection pane="topRight" activeCell="P70" sqref="P70"/>
    </sheetView>
  </sheetViews>
  <sheetFormatPr defaultRowHeight="15" x14ac:dyDescent="0.25"/>
  <cols>
    <col min="3" max="3" width="18.7109375" bestFit="1" customWidth="1"/>
    <col min="4" max="4" width="9.85546875" bestFit="1" customWidth="1"/>
    <col min="5" max="5" width="10.28515625" bestFit="1" customWidth="1"/>
    <col min="6" max="7" width="10.140625" bestFit="1" customWidth="1"/>
    <col min="8" max="9" width="10.85546875" bestFit="1" customWidth="1"/>
    <col min="10" max="10" width="10.140625" bestFit="1" customWidth="1"/>
    <col min="11" max="11" width="10.28515625" bestFit="1" customWidth="1"/>
    <col min="12" max="12" width="10.140625" bestFit="1" customWidth="1"/>
    <col min="13" max="13" width="10.7109375" bestFit="1" customWidth="1"/>
    <col min="14" max="16" width="11.140625" bestFit="1" customWidth="1"/>
    <col min="17" max="17" width="10.140625" bestFit="1" customWidth="1"/>
    <col min="18" max="18" width="12" bestFit="1" customWidth="1"/>
    <col min="21" max="21" width="13.42578125" bestFit="1" customWidth="1"/>
    <col min="22" max="22" width="20.140625" bestFit="1" customWidth="1"/>
    <col min="23" max="23" width="15" bestFit="1" customWidth="1"/>
  </cols>
  <sheetData>
    <row r="2" spans="2:22" x14ac:dyDescent="0.25">
      <c r="C2" s="1"/>
      <c r="D2" s="13">
        <v>44927</v>
      </c>
      <c r="E2" s="13">
        <v>44958</v>
      </c>
      <c r="F2" s="13">
        <v>44986</v>
      </c>
      <c r="G2" s="13">
        <v>45017</v>
      </c>
      <c r="H2" s="13">
        <v>45047</v>
      </c>
      <c r="I2" s="13">
        <v>45078</v>
      </c>
      <c r="J2" s="13">
        <v>45108</v>
      </c>
      <c r="K2" s="13">
        <v>45139</v>
      </c>
      <c r="L2" s="13">
        <v>45170</v>
      </c>
      <c r="M2" s="13">
        <v>45200</v>
      </c>
      <c r="N2" s="13">
        <v>45231</v>
      </c>
      <c r="O2" s="13">
        <v>45261</v>
      </c>
      <c r="P2" s="13" t="s">
        <v>0</v>
      </c>
      <c r="R2" s="34"/>
    </row>
    <row r="3" spans="2:22" ht="15" customHeight="1" x14ac:dyDescent="0.25">
      <c r="B3" s="125" t="s">
        <v>26</v>
      </c>
      <c r="C3" s="106" t="s">
        <v>1</v>
      </c>
      <c r="D3" s="71">
        <v>44948</v>
      </c>
      <c r="E3" s="71">
        <v>44976</v>
      </c>
      <c r="F3" s="71">
        <v>45005</v>
      </c>
      <c r="G3" s="71">
        <v>45037</v>
      </c>
      <c r="H3" s="71">
        <v>45065</v>
      </c>
      <c r="I3" s="71">
        <v>45098</v>
      </c>
      <c r="J3" s="76">
        <v>45134</v>
      </c>
      <c r="K3" s="76">
        <v>45167</v>
      </c>
      <c r="L3" s="71">
        <v>45191</v>
      </c>
      <c r="M3" s="84">
        <v>45220</v>
      </c>
      <c r="N3" s="87">
        <v>45253</v>
      </c>
      <c r="O3" s="87">
        <v>45282</v>
      </c>
      <c r="P3" s="87">
        <v>45289</v>
      </c>
    </row>
    <row r="4" spans="2:22" x14ac:dyDescent="0.25">
      <c r="B4" s="126"/>
      <c r="C4" s="106"/>
      <c r="D4" s="72">
        <v>215.91</v>
      </c>
      <c r="E4" s="72">
        <v>217.79</v>
      </c>
      <c r="F4" s="72">
        <v>174.11</v>
      </c>
      <c r="G4" s="72">
        <v>101.04</v>
      </c>
      <c r="H4" s="72">
        <v>70.61</v>
      </c>
      <c r="I4" s="72">
        <v>34.799999999999997</v>
      </c>
      <c r="J4" s="72">
        <v>23.97</v>
      </c>
      <c r="K4" s="72">
        <v>25.22</v>
      </c>
      <c r="L4" s="72">
        <v>22.32</v>
      </c>
      <c r="M4" s="85">
        <v>34.409999999999997</v>
      </c>
      <c r="N4" s="85">
        <v>92.15</v>
      </c>
      <c r="O4" s="85">
        <v>133.75</v>
      </c>
      <c r="P4" s="85">
        <f>SUM(D4:O4)</f>
        <v>1146.08</v>
      </c>
    </row>
    <row r="5" spans="2:22" x14ac:dyDescent="0.25">
      <c r="B5" s="126"/>
      <c r="C5" s="106" t="s">
        <v>10</v>
      </c>
      <c r="D5" s="71">
        <v>44955</v>
      </c>
      <c r="E5" s="71">
        <v>44984</v>
      </c>
      <c r="F5" s="71">
        <v>45013</v>
      </c>
      <c r="G5" s="71">
        <v>45047</v>
      </c>
      <c r="H5" s="71">
        <v>45076</v>
      </c>
      <c r="I5" s="71">
        <v>45101</v>
      </c>
      <c r="J5" s="76">
        <v>45134</v>
      </c>
      <c r="K5" s="76">
        <v>45167</v>
      </c>
      <c r="L5" s="71">
        <v>45196</v>
      </c>
      <c r="M5" s="84">
        <v>45224</v>
      </c>
      <c r="N5" s="84">
        <v>45258</v>
      </c>
      <c r="O5" s="84">
        <v>45286</v>
      </c>
      <c r="P5" s="87">
        <v>45289</v>
      </c>
    </row>
    <row r="6" spans="2:22" x14ac:dyDescent="0.25">
      <c r="B6" s="126"/>
      <c r="C6" s="106"/>
      <c r="D6" s="72">
        <v>163.98</v>
      </c>
      <c r="E6" s="72">
        <v>109.08</v>
      </c>
      <c r="F6" s="72">
        <v>105.57</v>
      </c>
      <c r="G6" s="72">
        <v>56.01</v>
      </c>
      <c r="H6" s="72">
        <v>36.130000000000003</v>
      </c>
      <c r="I6" s="72">
        <v>19.18</v>
      </c>
      <c r="J6" s="72">
        <v>18.43</v>
      </c>
      <c r="K6" s="72">
        <v>17.95</v>
      </c>
      <c r="L6" s="72">
        <v>18.68</v>
      </c>
      <c r="M6" s="85">
        <v>26.02</v>
      </c>
      <c r="N6" s="85">
        <v>46.16</v>
      </c>
      <c r="O6" s="85">
        <v>81.099999999999994</v>
      </c>
      <c r="P6" s="85">
        <f>SUM(D6:O6)</f>
        <v>698.29</v>
      </c>
    </row>
    <row r="7" spans="2:22" x14ac:dyDescent="0.25">
      <c r="B7" s="126"/>
      <c r="C7" s="106" t="s">
        <v>2</v>
      </c>
      <c r="D7" s="71">
        <v>44955</v>
      </c>
      <c r="E7" s="71">
        <v>44984</v>
      </c>
      <c r="F7" s="71">
        <v>45013</v>
      </c>
      <c r="G7" s="71">
        <v>45047</v>
      </c>
      <c r="H7" s="71">
        <v>45076</v>
      </c>
      <c r="I7" s="71">
        <v>45101</v>
      </c>
      <c r="J7" s="76">
        <v>45134</v>
      </c>
      <c r="K7" s="76">
        <v>45167</v>
      </c>
      <c r="L7" s="71">
        <v>45196</v>
      </c>
      <c r="M7" s="84">
        <v>45224</v>
      </c>
      <c r="N7" s="84">
        <v>45258</v>
      </c>
      <c r="O7" s="84">
        <v>45286</v>
      </c>
      <c r="P7" s="87">
        <v>45289</v>
      </c>
    </row>
    <row r="8" spans="2:22" x14ac:dyDescent="0.25">
      <c r="B8" s="126"/>
      <c r="C8" s="106"/>
      <c r="D8" s="73">
        <v>86.09</v>
      </c>
      <c r="E8" s="72">
        <v>83.4</v>
      </c>
      <c r="F8" s="72">
        <v>89.13</v>
      </c>
      <c r="G8" s="72">
        <v>79.180000000000007</v>
      </c>
      <c r="H8" s="72">
        <v>77.510000000000005</v>
      </c>
      <c r="I8" s="72">
        <v>109.42</v>
      </c>
      <c r="J8" s="72">
        <v>115</v>
      </c>
      <c r="K8" s="72">
        <v>131.84</v>
      </c>
      <c r="L8" s="72">
        <v>96.98</v>
      </c>
      <c r="M8" s="85">
        <v>76.36</v>
      </c>
      <c r="N8" s="85">
        <v>82.54</v>
      </c>
      <c r="O8" s="85">
        <v>100.2</v>
      </c>
      <c r="P8" s="85">
        <f>SUM(D8:O8)</f>
        <v>1127.6500000000001</v>
      </c>
    </row>
    <row r="9" spans="2:22" x14ac:dyDescent="0.25">
      <c r="B9" s="126"/>
      <c r="C9" s="106" t="s">
        <v>11</v>
      </c>
      <c r="D9" s="71">
        <v>44955</v>
      </c>
      <c r="E9" s="71">
        <v>44984</v>
      </c>
      <c r="F9" s="71">
        <v>45013</v>
      </c>
      <c r="G9" s="71">
        <v>45047</v>
      </c>
      <c r="H9" s="71">
        <v>45076</v>
      </c>
      <c r="I9" s="71">
        <v>45101</v>
      </c>
      <c r="J9" s="76">
        <v>45134</v>
      </c>
      <c r="K9" s="76">
        <v>45163</v>
      </c>
      <c r="L9" s="71">
        <v>45196</v>
      </c>
      <c r="M9" s="84">
        <v>45224</v>
      </c>
      <c r="N9" s="84">
        <v>45258</v>
      </c>
      <c r="O9" s="84">
        <v>45276</v>
      </c>
      <c r="P9" s="87">
        <v>45289</v>
      </c>
    </row>
    <row r="10" spans="2:22" x14ac:dyDescent="0.25">
      <c r="B10" s="126"/>
      <c r="C10" s="106"/>
      <c r="D10" s="72">
        <v>47.48</v>
      </c>
      <c r="E10" s="72">
        <v>50.27</v>
      </c>
      <c r="F10" s="72">
        <v>37.659999999999997</v>
      </c>
      <c r="G10" s="72">
        <v>37.659999999999997</v>
      </c>
      <c r="H10" s="72">
        <v>41.01</v>
      </c>
      <c r="I10" s="72">
        <v>37.57</v>
      </c>
      <c r="J10" s="72">
        <v>43.62</v>
      </c>
      <c r="K10" s="72">
        <v>64.86</v>
      </c>
      <c r="L10" s="72">
        <v>57.62</v>
      </c>
      <c r="M10" s="85">
        <v>48.19</v>
      </c>
      <c r="N10" s="85">
        <v>40.33</v>
      </c>
      <c r="O10" s="85">
        <v>49.53</v>
      </c>
      <c r="P10" s="85">
        <f>SUM(D10:O10)</f>
        <v>555.79999999999995</v>
      </c>
      <c r="U10" s="90"/>
      <c r="V10" s="90"/>
    </row>
    <row r="11" spans="2:22" x14ac:dyDescent="0.25">
      <c r="B11" s="126"/>
      <c r="C11" s="106" t="s">
        <v>7</v>
      </c>
      <c r="D11" s="71"/>
      <c r="E11" s="71"/>
      <c r="F11" s="71">
        <v>44992</v>
      </c>
      <c r="G11" s="71"/>
      <c r="H11" s="71"/>
      <c r="I11" s="71">
        <v>45101</v>
      </c>
      <c r="J11" s="71"/>
      <c r="K11" s="71">
        <v>45169</v>
      </c>
      <c r="L11" s="71"/>
      <c r="M11" s="84"/>
      <c r="N11" s="84">
        <v>45262</v>
      </c>
      <c r="O11" s="84"/>
      <c r="P11" s="87">
        <v>45289</v>
      </c>
      <c r="U11" s="90"/>
    </row>
    <row r="12" spans="2:22" x14ac:dyDescent="0.25">
      <c r="B12" s="126"/>
      <c r="C12" s="106"/>
      <c r="D12" s="72">
        <v>0</v>
      </c>
      <c r="E12" s="72">
        <v>0</v>
      </c>
      <c r="F12" s="72">
        <v>173.06</v>
      </c>
      <c r="G12" s="72">
        <v>0</v>
      </c>
      <c r="H12" s="72">
        <v>0</v>
      </c>
      <c r="I12" s="72">
        <v>182.55</v>
      </c>
      <c r="J12" s="72">
        <v>0</v>
      </c>
      <c r="K12" s="72">
        <v>233.49</v>
      </c>
      <c r="L12" s="72"/>
      <c r="M12" s="85">
        <v>0</v>
      </c>
      <c r="N12" s="85">
        <v>186.35</v>
      </c>
      <c r="O12" s="85"/>
      <c r="P12" s="85">
        <f>SUM(D12:O12)</f>
        <v>775.45</v>
      </c>
    </row>
    <row r="13" spans="2:22" x14ac:dyDescent="0.25">
      <c r="B13" s="126"/>
      <c r="C13" s="106" t="s">
        <v>8</v>
      </c>
      <c r="D13" s="71"/>
      <c r="E13" s="71"/>
      <c r="F13" s="71"/>
      <c r="G13" s="71"/>
      <c r="H13" s="71">
        <v>45068</v>
      </c>
      <c r="I13" s="75"/>
      <c r="J13" s="71"/>
      <c r="K13" s="71"/>
      <c r="L13" s="71"/>
      <c r="M13" s="84"/>
      <c r="N13" s="84"/>
      <c r="O13" s="88"/>
      <c r="P13" s="87">
        <v>45289</v>
      </c>
    </row>
    <row r="14" spans="2:22" x14ac:dyDescent="0.25">
      <c r="B14" s="126"/>
      <c r="C14" s="106"/>
      <c r="D14" s="72">
        <v>0</v>
      </c>
      <c r="E14" s="72">
        <v>0</v>
      </c>
      <c r="F14" s="72"/>
      <c r="G14" s="72">
        <v>0</v>
      </c>
      <c r="H14" s="72">
        <v>181.5</v>
      </c>
      <c r="I14" s="72">
        <v>0</v>
      </c>
      <c r="J14" s="72">
        <v>0</v>
      </c>
      <c r="K14" s="72">
        <v>0</v>
      </c>
      <c r="L14" s="72">
        <v>0</v>
      </c>
      <c r="M14" s="85">
        <v>0</v>
      </c>
      <c r="N14" s="85">
        <v>0</v>
      </c>
      <c r="O14" s="89">
        <v>0</v>
      </c>
      <c r="P14" s="85">
        <f>SUM(D14:O14)</f>
        <v>181.5</v>
      </c>
      <c r="U14" s="47"/>
    </row>
    <row r="15" spans="2:22" x14ac:dyDescent="0.25">
      <c r="B15" s="126"/>
      <c r="C15" s="106" t="s">
        <v>3</v>
      </c>
      <c r="D15" s="71">
        <v>44946</v>
      </c>
      <c r="E15" s="71">
        <v>44984</v>
      </c>
      <c r="F15" s="71">
        <v>45006</v>
      </c>
      <c r="G15" s="71">
        <v>45047</v>
      </c>
      <c r="H15" s="71">
        <v>45066</v>
      </c>
      <c r="I15" s="71">
        <v>45097</v>
      </c>
      <c r="J15" s="76">
        <v>45127</v>
      </c>
      <c r="K15" s="76">
        <v>45158</v>
      </c>
      <c r="L15" s="71">
        <v>45190</v>
      </c>
      <c r="M15" s="84">
        <v>45219</v>
      </c>
      <c r="N15" s="84">
        <v>45250</v>
      </c>
      <c r="O15" s="84">
        <v>45263</v>
      </c>
      <c r="P15" s="87">
        <v>45289</v>
      </c>
      <c r="U15" s="47"/>
    </row>
    <row r="16" spans="2:22" x14ac:dyDescent="0.25">
      <c r="B16" s="126"/>
      <c r="C16" s="106"/>
      <c r="D16" s="72">
        <v>40</v>
      </c>
      <c r="E16" s="72">
        <v>40</v>
      </c>
      <c r="F16" s="72">
        <v>40</v>
      </c>
      <c r="G16" s="72">
        <v>41</v>
      </c>
      <c r="H16" s="72">
        <v>41</v>
      </c>
      <c r="I16" s="72">
        <v>41</v>
      </c>
      <c r="J16" s="72">
        <v>52</v>
      </c>
      <c r="K16" s="72">
        <v>52</v>
      </c>
      <c r="L16" s="72">
        <v>52</v>
      </c>
      <c r="M16" s="85">
        <v>52</v>
      </c>
      <c r="N16" s="85">
        <v>51.29</v>
      </c>
      <c r="O16" s="85">
        <v>50.99</v>
      </c>
      <c r="P16" s="85">
        <f>SUM(D16:O16)</f>
        <v>553.28</v>
      </c>
      <c r="U16" s="47"/>
    </row>
    <row r="17" spans="2:24" x14ac:dyDescent="0.25">
      <c r="B17" s="126"/>
      <c r="C17" s="106" t="s">
        <v>5</v>
      </c>
      <c r="D17" s="71">
        <v>44955</v>
      </c>
      <c r="E17" s="71">
        <v>44984</v>
      </c>
      <c r="F17" s="71">
        <v>45013</v>
      </c>
      <c r="G17" s="71">
        <v>45047</v>
      </c>
      <c r="H17" s="71">
        <v>45068</v>
      </c>
      <c r="I17" s="71">
        <v>45101</v>
      </c>
      <c r="J17" s="76">
        <v>45134</v>
      </c>
      <c r="K17" s="76">
        <v>45167</v>
      </c>
      <c r="L17" s="71">
        <v>45196</v>
      </c>
      <c r="M17" s="84">
        <v>45224</v>
      </c>
      <c r="N17" s="84">
        <v>45258</v>
      </c>
      <c r="O17" s="84">
        <v>45276</v>
      </c>
      <c r="P17" s="87">
        <v>45289</v>
      </c>
      <c r="U17" s="47"/>
    </row>
    <row r="18" spans="2:24" x14ac:dyDescent="0.25">
      <c r="B18" s="126"/>
      <c r="C18" s="106"/>
      <c r="D18" s="72">
        <v>25</v>
      </c>
      <c r="E18" s="72">
        <v>25</v>
      </c>
      <c r="F18" s="72">
        <v>22</v>
      </c>
      <c r="G18" s="72">
        <v>22</v>
      </c>
      <c r="H18" s="72">
        <v>0</v>
      </c>
      <c r="I18" s="72">
        <v>7.62</v>
      </c>
      <c r="J18" s="72">
        <v>10</v>
      </c>
      <c r="K18" s="72">
        <v>10</v>
      </c>
      <c r="L18" s="72">
        <v>10</v>
      </c>
      <c r="M18" s="85">
        <v>10</v>
      </c>
      <c r="N18" s="85">
        <v>10</v>
      </c>
      <c r="O18" s="85">
        <v>10</v>
      </c>
      <c r="P18" s="85">
        <f>SUM(D18:O18)</f>
        <v>161.62</v>
      </c>
      <c r="R18" t="s">
        <v>74</v>
      </c>
      <c r="U18" s="47"/>
    </row>
    <row r="19" spans="2:24" ht="15" customHeight="1" x14ac:dyDescent="0.25">
      <c r="B19" s="127"/>
      <c r="C19" s="42" t="s">
        <v>0</v>
      </c>
      <c r="D19" s="79">
        <f t="shared" ref="D19:P19" si="0">SUM(D4,D6,D8,D10,D12,D14,D16,D18)</f>
        <v>578.46</v>
      </c>
      <c r="E19" s="79">
        <f t="shared" si="0"/>
        <v>525.54</v>
      </c>
      <c r="F19" s="79">
        <f t="shared" si="0"/>
        <v>641.53</v>
      </c>
      <c r="G19" s="79">
        <f t="shared" si="0"/>
        <v>336.89</v>
      </c>
      <c r="H19" s="79">
        <f t="shared" si="0"/>
        <v>447.76</v>
      </c>
      <c r="I19" s="79">
        <f t="shared" si="0"/>
        <v>432.14</v>
      </c>
      <c r="J19" s="79">
        <f t="shared" si="0"/>
        <v>263.02</v>
      </c>
      <c r="K19" s="79">
        <f t="shared" si="0"/>
        <v>535.36</v>
      </c>
      <c r="L19" s="79">
        <f t="shared" si="0"/>
        <v>257.60000000000002</v>
      </c>
      <c r="M19" s="79">
        <f t="shared" si="0"/>
        <v>246.98</v>
      </c>
      <c r="N19" s="79">
        <f t="shared" si="0"/>
        <v>508.82</v>
      </c>
      <c r="O19" s="79">
        <f t="shared" si="0"/>
        <v>425.57000000000005</v>
      </c>
      <c r="P19" s="79">
        <f t="shared" si="0"/>
        <v>5199.6699999999992</v>
      </c>
      <c r="R19" s="34">
        <f>P6+P10+P18</f>
        <v>1415.71</v>
      </c>
      <c r="S19">
        <v>3700</v>
      </c>
      <c r="T19">
        <v>300</v>
      </c>
      <c r="U19" s="47">
        <v>2500</v>
      </c>
      <c r="V19">
        <v>200</v>
      </c>
      <c r="W19">
        <v>200</v>
      </c>
      <c r="X19" s="34">
        <f>SUM(R19:W19)</f>
        <v>8315.7099999999991</v>
      </c>
    </row>
    <row r="20" spans="2:24" x14ac:dyDescent="0.25">
      <c r="B20" s="118" t="s">
        <v>58</v>
      </c>
      <c r="C20" s="107" t="s">
        <v>59</v>
      </c>
      <c r="D20" s="71">
        <v>44953</v>
      </c>
      <c r="E20" s="71"/>
      <c r="F20" s="71"/>
      <c r="G20" s="71"/>
      <c r="H20" s="71"/>
      <c r="I20" s="71"/>
      <c r="J20" s="76"/>
      <c r="K20" s="71"/>
      <c r="L20" s="71"/>
      <c r="M20" s="84"/>
      <c r="N20" s="84"/>
      <c r="O20" s="84"/>
      <c r="P20" s="87"/>
      <c r="U20" s="47"/>
    </row>
    <row r="21" spans="2:24" x14ac:dyDescent="0.25">
      <c r="B21" s="119"/>
      <c r="C21" s="108"/>
      <c r="D21" s="72">
        <v>1142</v>
      </c>
      <c r="E21" s="72"/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85">
        <v>0</v>
      </c>
      <c r="N21" s="85">
        <v>0</v>
      </c>
      <c r="O21" s="85">
        <v>0</v>
      </c>
      <c r="P21" s="85">
        <f>SUM(D21:O21)</f>
        <v>1142</v>
      </c>
      <c r="U21" s="47"/>
    </row>
    <row r="22" spans="2:24" x14ac:dyDescent="0.25">
      <c r="B22" s="119"/>
      <c r="C22" s="107" t="s">
        <v>62</v>
      </c>
      <c r="D22" s="71"/>
      <c r="E22" s="71"/>
      <c r="F22" s="71"/>
      <c r="G22" s="71"/>
      <c r="H22" s="71"/>
      <c r="I22" s="71"/>
      <c r="J22" s="71">
        <v>45112</v>
      </c>
      <c r="K22" s="71"/>
      <c r="L22" s="71"/>
      <c r="M22" s="84"/>
      <c r="N22" s="84">
        <v>45263</v>
      </c>
      <c r="O22" s="84"/>
      <c r="P22" s="84"/>
      <c r="U22" s="46"/>
    </row>
    <row r="23" spans="2:24" ht="15" customHeight="1" x14ac:dyDescent="0.25">
      <c r="B23" s="119"/>
      <c r="C23" s="108"/>
      <c r="D23" s="72">
        <v>0</v>
      </c>
      <c r="E23" s="72"/>
      <c r="F23" s="72">
        <v>0</v>
      </c>
      <c r="G23" s="72">
        <v>0</v>
      </c>
      <c r="H23" s="72">
        <v>0</v>
      </c>
      <c r="I23" s="72"/>
      <c r="J23" s="72">
        <v>2482.5500000000002</v>
      </c>
      <c r="K23" s="72">
        <v>0</v>
      </c>
      <c r="L23" s="72">
        <v>0</v>
      </c>
      <c r="M23" s="85">
        <v>0</v>
      </c>
      <c r="N23" s="85">
        <v>1733.71</v>
      </c>
      <c r="O23" s="85">
        <v>0</v>
      </c>
      <c r="P23" s="85">
        <f>SUM(D23:O23)</f>
        <v>4216.26</v>
      </c>
      <c r="Q23" s="40"/>
    </row>
    <row r="24" spans="2:24" ht="15" customHeight="1" x14ac:dyDescent="0.25">
      <c r="B24" s="120"/>
      <c r="C24" s="39" t="s">
        <v>0</v>
      </c>
      <c r="D24" s="79">
        <f t="shared" ref="D24:P24" si="1">SUM(D21,D23)</f>
        <v>1142</v>
      </c>
      <c r="E24" s="79">
        <f t="shared" si="1"/>
        <v>0</v>
      </c>
      <c r="F24" s="79">
        <f t="shared" si="1"/>
        <v>0</v>
      </c>
      <c r="G24" s="79">
        <f t="shared" si="1"/>
        <v>0</v>
      </c>
      <c r="H24" s="79">
        <f t="shared" si="1"/>
        <v>0</v>
      </c>
      <c r="I24" s="79">
        <f t="shared" si="1"/>
        <v>0</v>
      </c>
      <c r="J24" s="79">
        <f t="shared" si="1"/>
        <v>2482.5500000000002</v>
      </c>
      <c r="K24" s="79">
        <f t="shared" si="1"/>
        <v>0</v>
      </c>
      <c r="L24" s="79">
        <f t="shared" si="1"/>
        <v>0</v>
      </c>
      <c r="M24" s="79">
        <f t="shared" si="1"/>
        <v>0</v>
      </c>
      <c r="N24" s="79">
        <f t="shared" si="1"/>
        <v>1733.71</v>
      </c>
      <c r="O24" s="79">
        <f t="shared" si="1"/>
        <v>0</v>
      </c>
      <c r="P24" s="79">
        <f t="shared" si="1"/>
        <v>5358.26</v>
      </c>
      <c r="Q24" s="41"/>
    </row>
    <row r="25" spans="2:24" x14ac:dyDescent="0.25">
      <c r="B25" s="121" t="s">
        <v>24</v>
      </c>
      <c r="C25" s="104" t="s">
        <v>32</v>
      </c>
      <c r="D25" s="71">
        <v>44955</v>
      </c>
      <c r="E25" s="71">
        <v>44984</v>
      </c>
      <c r="F25" s="71">
        <v>45013</v>
      </c>
      <c r="G25" s="71">
        <v>45047</v>
      </c>
      <c r="H25" s="71">
        <v>45076</v>
      </c>
      <c r="I25" s="71">
        <v>45109</v>
      </c>
      <c r="J25" s="76">
        <v>45134</v>
      </c>
      <c r="K25" s="76">
        <v>45167</v>
      </c>
      <c r="L25" s="71">
        <v>45201</v>
      </c>
      <c r="M25" s="84">
        <v>45224</v>
      </c>
      <c r="N25" s="84">
        <v>45263</v>
      </c>
      <c r="O25" s="84">
        <v>45291</v>
      </c>
      <c r="P25" s="87">
        <v>45289</v>
      </c>
      <c r="Q25" s="41"/>
      <c r="S25" s="34"/>
    </row>
    <row r="26" spans="2:24" x14ac:dyDescent="0.25">
      <c r="B26" s="122"/>
      <c r="C26" s="105"/>
      <c r="D26" s="72">
        <v>101.07</v>
      </c>
      <c r="E26" s="72">
        <v>228.37</v>
      </c>
      <c r="F26" s="72">
        <v>545.21</v>
      </c>
      <c r="G26" s="72">
        <v>104.19</v>
      </c>
      <c r="H26" s="72">
        <v>33.56</v>
      </c>
      <c r="I26" s="72">
        <v>0</v>
      </c>
      <c r="J26" s="72">
        <v>21.18</v>
      </c>
      <c r="K26" s="72">
        <v>0</v>
      </c>
      <c r="L26" s="74">
        <v>0</v>
      </c>
      <c r="M26" s="85">
        <v>74.599999999999994</v>
      </c>
      <c r="N26" s="85">
        <v>327.64999999999998</v>
      </c>
      <c r="O26" s="85">
        <v>131</v>
      </c>
      <c r="P26" s="85">
        <f>SUM(D26:O26)</f>
        <v>1566.83</v>
      </c>
      <c r="Q26" s="40"/>
    </row>
    <row r="27" spans="2:24" x14ac:dyDescent="0.25">
      <c r="B27" s="122"/>
      <c r="C27" s="104" t="s">
        <v>33</v>
      </c>
      <c r="D27" s="71">
        <v>44955</v>
      </c>
      <c r="E27" s="71">
        <v>44984</v>
      </c>
      <c r="F27" s="71">
        <v>45013</v>
      </c>
      <c r="G27" s="71">
        <v>45047</v>
      </c>
      <c r="H27" s="71">
        <v>45076</v>
      </c>
      <c r="I27" s="71">
        <v>45109</v>
      </c>
      <c r="J27" s="76">
        <v>45134</v>
      </c>
      <c r="K27" s="76">
        <v>45167</v>
      </c>
      <c r="L27" s="71">
        <v>45201</v>
      </c>
      <c r="M27" s="84">
        <v>45231</v>
      </c>
      <c r="N27" s="84">
        <v>45258</v>
      </c>
      <c r="O27" s="84">
        <v>45291</v>
      </c>
      <c r="P27" s="87">
        <v>45289</v>
      </c>
      <c r="Q27" s="41"/>
      <c r="R27" s="34"/>
    </row>
    <row r="28" spans="2:24" x14ac:dyDescent="0.25">
      <c r="B28" s="122"/>
      <c r="C28" s="105"/>
      <c r="D28" s="72">
        <v>0</v>
      </c>
      <c r="E28" s="72">
        <v>0</v>
      </c>
      <c r="F28" s="72">
        <v>0</v>
      </c>
      <c r="G28" s="72">
        <v>45.16</v>
      </c>
      <c r="H28" s="72">
        <v>147.29</v>
      </c>
      <c r="I28" s="72">
        <v>0</v>
      </c>
      <c r="J28" s="72">
        <v>111.93</v>
      </c>
      <c r="K28" s="72">
        <v>0</v>
      </c>
      <c r="L28" s="72">
        <v>5.64</v>
      </c>
      <c r="M28" s="85">
        <v>0</v>
      </c>
      <c r="N28" s="85">
        <v>0</v>
      </c>
      <c r="O28" s="85">
        <v>74.92</v>
      </c>
      <c r="P28" s="85">
        <f>SUM(D28:O28)</f>
        <v>384.94</v>
      </c>
      <c r="Q28" s="40"/>
    </row>
    <row r="29" spans="2:24" x14ac:dyDescent="0.25">
      <c r="B29" s="122"/>
      <c r="C29" s="104" t="s">
        <v>34</v>
      </c>
      <c r="D29" s="71">
        <v>44955</v>
      </c>
      <c r="E29" s="71">
        <v>44984</v>
      </c>
      <c r="F29" s="71">
        <v>45013</v>
      </c>
      <c r="G29" s="71">
        <v>45047</v>
      </c>
      <c r="H29" s="71">
        <v>45076</v>
      </c>
      <c r="I29" s="71">
        <v>45109</v>
      </c>
      <c r="J29" s="76">
        <v>45134</v>
      </c>
      <c r="K29" s="76">
        <v>45167</v>
      </c>
      <c r="L29" s="71">
        <v>45201</v>
      </c>
      <c r="M29" s="84">
        <v>45224</v>
      </c>
      <c r="N29" s="84">
        <v>45258</v>
      </c>
      <c r="O29" s="84">
        <v>45291</v>
      </c>
      <c r="P29" s="87">
        <v>45289</v>
      </c>
      <c r="Q29" s="41"/>
    </row>
    <row r="30" spans="2:24" x14ac:dyDescent="0.25">
      <c r="B30" s="122"/>
      <c r="C30" s="105"/>
      <c r="D30" s="72">
        <v>0</v>
      </c>
      <c r="E30" s="72">
        <v>0</v>
      </c>
      <c r="F30" s="72">
        <v>0</v>
      </c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72">
        <v>0</v>
      </c>
      <c r="M30" s="85">
        <v>0</v>
      </c>
      <c r="N30" s="85">
        <v>0</v>
      </c>
      <c r="O30" s="85">
        <v>0</v>
      </c>
      <c r="P30" s="85">
        <f>SUM(D30:O30)</f>
        <v>0</v>
      </c>
      <c r="Q30" s="40"/>
      <c r="T30" s="34"/>
    </row>
    <row r="31" spans="2:24" ht="15" customHeight="1" x14ac:dyDescent="0.25">
      <c r="B31" s="122"/>
      <c r="C31" s="104" t="s">
        <v>50</v>
      </c>
      <c r="D31" s="71">
        <v>44955</v>
      </c>
      <c r="E31" s="71">
        <v>44984</v>
      </c>
      <c r="F31" s="71">
        <v>45013</v>
      </c>
      <c r="G31" s="71">
        <v>45047</v>
      </c>
      <c r="H31" s="71">
        <v>45076</v>
      </c>
      <c r="I31" s="71">
        <v>45109</v>
      </c>
      <c r="J31" s="76">
        <v>45134</v>
      </c>
      <c r="K31" s="76">
        <v>45167</v>
      </c>
      <c r="L31" s="71">
        <v>45201</v>
      </c>
      <c r="M31" s="84">
        <v>45231</v>
      </c>
      <c r="N31" s="84">
        <v>45258</v>
      </c>
      <c r="O31" s="84">
        <v>45291</v>
      </c>
      <c r="P31" s="87">
        <v>45289</v>
      </c>
      <c r="Q31" s="41"/>
      <c r="T31" s="34"/>
    </row>
    <row r="32" spans="2:24" x14ac:dyDescent="0.25">
      <c r="B32" s="122"/>
      <c r="C32" s="105"/>
      <c r="D32" s="74">
        <v>0</v>
      </c>
      <c r="E32" s="74">
        <v>0</v>
      </c>
      <c r="F32" s="74">
        <v>1519.99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86">
        <v>0</v>
      </c>
      <c r="N32" s="86">
        <v>0</v>
      </c>
      <c r="O32" s="86">
        <v>0</v>
      </c>
      <c r="P32" s="86">
        <f>SUM(D32:O32)</f>
        <v>1519.99</v>
      </c>
      <c r="Q32" s="40"/>
      <c r="T32" s="34"/>
    </row>
    <row r="33" spans="2:20" ht="15" customHeight="1" x14ac:dyDescent="0.25">
      <c r="B33" s="122"/>
      <c r="C33" s="104" t="s">
        <v>61</v>
      </c>
      <c r="D33" s="71">
        <v>44955</v>
      </c>
      <c r="E33" s="71">
        <v>44984</v>
      </c>
      <c r="F33" s="71">
        <v>45013</v>
      </c>
      <c r="G33" s="71">
        <v>45047</v>
      </c>
      <c r="H33" s="71">
        <v>45076</v>
      </c>
      <c r="I33" s="71">
        <v>45109</v>
      </c>
      <c r="J33" s="76">
        <v>45134</v>
      </c>
      <c r="K33" s="76">
        <v>45167</v>
      </c>
      <c r="L33" s="71">
        <v>45201</v>
      </c>
      <c r="M33" s="84">
        <v>45231</v>
      </c>
      <c r="N33" s="84">
        <v>45263</v>
      </c>
      <c r="O33" s="84">
        <v>45291</v>
      </c>
      <c r="P33" s="87">
        <v>45289</v>
      </c>
      <c r="Q33" s="41"/>
      <c r="T33" s="34"/>
    </row>
    <row r="34" spans="2:20" x14ac:dyDescent="0.25">
      <c r="B34" s="122"/>
      <c r="C34" s="105"/>
      <c r="D34" s="74">
        <v>0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502.88</v>
      </c>
      <c r="L34" s="72">
        <v>0</v>
      </c>
      <c r="M34" s="86">
        <v>0</v>
      </c>
      <c r="N34" s="86">
        <v>0</v>
      </c>
      <c r="O34" s="86">
        <f>10-O18</f>
        <v>0</v>
      </c>
      <c r="P34" s="86">
        <f>SUM(D34:O34)</f>
        <v>502.88</v>
      </c>
      <c r="Q34" s="40"/>
      <c r="T34" s="34"/>
    </row>
    <row r="35" spans="2:20" x14ac:dyDescent="0.25">
      <c r="B35" s="122"/>
      <c r="C35" s="104" t="s">
        <v>44</v>
      </c>
      <c r="D35" s="71">
        <v>44955</v>
      </c>
      <c r="E35" s="71">
        <v>44984</v>
      </c>
      <c r="F35" s="71">
        <v>45013</v>
      </c>
      <c r="G35" s="71">
        <v>45047</v>
      </c>
      <c r="H35" s="71">
        <v>45076</v>
      </c>
      <c r="I35" s="71">
        <v>45109</v>
      </c>
      <c r="J35" s="76">
        <v>45134</v>
      </c>
      <c r="K35" s="76">
        <v>45167</v>
      </c>
      <c r="L35" s="71">
        <v>45201</v>
      </c>
      <c r="M35" s="84">
        <v>45231</v>
      </c>
      <c r="N35" s="84">
        <v>45261</v>
      </c>
      <c r="O35" s="84">
        <v>45291</v>
      </c>
      <c r="P35" s="87">
        <v>45289</v>
      </c>
      <c r="Q35" s="41"/>
      <c r="T35" s="34"/>
    </row>
    <row r="36" spans="2:20" x14ac:dyDescent="0.25">
      <c r="B36" s="122"/>
      <c r="C36" s="105"/>
      <c r="D36" s="72">
        <f>2007.21+25+86.09-D4-D16-D65-D59-D8-D18-D21-D61</f>
        <v>193.78</v>
      </c>
      <c r="E36" s="72">
        <f>1643.32-E4-E8-E16-E65-E21-E61</f>
        <v>936.74</v>
      </c>
      <c r="F36" s="72">
        <f>1581.36-F4-F16-F65-F61-F69-F8-F18</f>
        <v>684.38</v>
      </c>
      <c r="G36" s="72">
        <f>2003.51+426.81-G4-G16-G65-G61-G69-G8-G18</f>
        <v>1224.05</v>
      </c>
      <c r="H36" s="72">
        <f>145.2</f>
        <v>145.19999999999999</v>
      </c>
      <c r="I36" s="72">
        <f>463.13-I8-I18-I4-I65</f>
        <v>211.29</v>
      </c>
      <c r="J36" s="72">
        <f>828.48-J4-J16-J65-J61-J69-J8-J18</f>
        <v>292.51</v>
      </c>
      <c r="K36" s="72">
        <f>716.51-K4-K16-K65-116-K69-K8-K18</f>
        <v>381.45</v>
      </c>
      <c r="L36" s="72">
        <f>4260-L4-L16-L65-116-L8-L18-L67-L61</f>
        <v>2393.6999999999998</v>
      </c>
      <c r="M36" s="85">
        <f>1635.82+229+193.59+52+38-M16-M65-M61-M69-M8-M18-M67</f>
        <v>1076.57</v>
      </c>
      <c r="N36" s="85">
        <f>1842.73-N16-N65-N61-N69-N8-N18-N67</f>
        <v>789.80000000000018</v>
      </c>
      <c r="O36" s="85">
        <f>135.24-O65-O69-O67-O61</f>
        <v>-676.18999999999994</v>
      </c>
      <c r="P36" s="86">
        <f>SUM(D36:O36)</f>
        <v>7653.28</v>
      </c>
      <c r="Q36" s="40"/>
      <c r="T36" s="34"/>
    </row>
    <row r="37" spans="2:20" x14ac:dyDescent="0.25">
      <c r="B37" s="122"/>
      <c r="C37" s="104" t="s">
        <v>40</v>
      </c>
      <c r="D37" s="71">
        <v>44955</v>
      </c>
      <c r="E37" s="71">
        <v>44984</v>
      </c>
      <c r="F37" s="71">
        <v>45013</v>
      </c>
      <c r="G37" s="71">
        <v>45047</v>
      </c>
      <c r="H37" s="71">
        <v>45076</v>
      </c>
      <c r="I37" s="71">
        <v>45109</v>
      </c>
      <c r="J37" s="76">
        <v>45134</v>
      </c>
      <c r="K37" s="76">
        <v>45167</v>
      </c>
      <c r="L37" s="71">
        <v>45201</v>
      </c>
      <c r="M37" s="84">
        <v>45231</v>
      </c>
      <c r="N37" s="84">
        <v>45258</v>
      </c>
      <c r="O37" s="84">
        <v>45291</v>
      </c>
      <c r="P37" s="87">
        <v>45289</v>
      </c>
      <c r="Q37" s="41"/>
      <c r="T37" s="34"/>
    </row>
    <row r="38" spans="2:20" x14ac:dyDescent="0.25">
      <c r="B38" s="122"/>
      <c r="C38" s="105"/>
      <c r="D38" s="72">
        <v>0</v>
      </c>
      <c r="E38" s="72">
        <v>0</v>
      </c>
      <c r="F38" s="72">
        <v>0</v>
      </c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72">
        <v>0</v>
      </c>
      <c r="M38" s="85">
        <v>77.88</v>
      </c>
      <c r="N38" s="85">
        <v>0</v>
      </c>
      <c r="O38" s="85">
        <v>85.83</v>
      </c>
      <c r="P38" s="86">
        <f>SUM(D38:O38)</f>
        <v>163.70999999999998</v>
      </c>
      <c r="Q38" s="40"/>
      <c r="T38" s="34"/>
    </row>
    <row r="39" spans="2:20" ht="15" customHeight="1" x14ac:dyDescent="0.25">
      <c r="B39" s="122"/>
      <c r="C39" s="104" t="s">
        <v>35</v>
      </c>
      <c r="D39" s="71">
        <v>44955</v>
      </c>
      <c r="E39" s="71">
        <v>44984</v>
      </c>
      <c r="F39" s="71">
        <v>45013</v>
      </c>
      <c r="G39" s="71">
        <v>45047</v>
      </c>
      <c r="H39" s="71">
        <v>45076</v>
      </c>
      <c r="I39" s="71">
        <v>45109</v>
      </c>
      <c r="J39" s="76">
        <v>45134</v>
      </c>
      <c r="K39" s="76">
        <v>45167</v>
      </c>
      <c r="L39" s="71">
        <v>45201</v>
      </c>
      <c r="M39" s="84">
        <v>45236</v>
      </c>
      <c r="N39" s="84">
        <v>45263</v>
      </c>
      <c r="O39" s="84">
        <v>45291</v>
      </c>
      <c r="P39" s="87">
        <v>45289</v>
      </c>
      <c r="Q39" s="41"/>
    </row>
    <row r="40" spans="2:20" x14ac:dyDescent="0.25">
      <c r="B40" s="122"/>
      <c r="C40" s="105"/>
      <c r="D40" s="72">
        <v>122.78</v>
      </c>
      <c r="E40" s="72">
        <v>239.16</v>
      </c>
      <c r="F40" s="72">
        <v>8.16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85">
        <v>0</v>
      </c>
      <c r="N40" s="85">
        <v>0</v>
      </c>
      <c r="O40" s="85">
        <v>0</v>
      </c>
      <c r="P40" s="85">
        <f>SUM(D40:O40)</f>
        <v>370.1</v>
      </c>
      <c r="Q40" s="40"/>
    </row>
    <row r="41" spans="2:20" x14ac:dyDescent="0.25">
      <c r="B41" s="122"/>
      <c r="C41" s="117" t="s">
        <v>36</v>
      </c>
      <c r="D41" s="71">
        <v>44955</v>
      </c>
      <c r="E41" s="71">
        <v>44984</v>
      </c>
      <c r="F41" s="71">
        <v>45013</v>
      </c>
      <c r="G41" s="71">
        <v>45047</v>
      </c>
      <c r="H41" s="71">
        <v>45076</v>
      </c>
      <c r="I41" s="71">
        <v>45109</v>
      </c>
      <c r="J41" s="76">
        <v>45134</v>
      </c>
      <c r="K41" s="76">
        <v>45167</v>
      </c>
      <c r="L41" s="71">
        <v>45201</v>
      </c>
      <c r="M41" s="84">
        <v>45231</v>
      </c>
      <c r="N41" s="84">
        <v>45258</v>
      </c>
      <c r="O41" s="84">
        <v>45291</v>
      </c>
      <c r="P41" s="87">
        <v>45289</v>
      </c>
      <c r="Q41" s="41"/>
    </row>
    <row r="42" spans="2:20" x14ac:dyDescent="0.25">
      <c r="B42" s="122"/>
      <c r="C42" s="117"/>
      <c r="D42" s="72">
        <v>26.69</v>
      </c>
      <c r="E42" s="72">
        <v>0</v>
      </c>
      <c r="F42" s="72">
        <v>0</v>
      </c>
      <c r="G42" s="72">
        <v>0</v>
      </c>
      <c r="H42" s="72">
        <v>70.25</v>
      </c>
      <c r="I42" s="72">
        <v>45.59</v>
      </c>
      <c r="J42" s="72">
        <v>12.34</v>
      </c>
      <c r="K42" s="72">
        <v>0</v>
      </c>
      <c r="L42" s="72">
        <v>0</v>
      </c>
      <c r="M42" s="85">
        <v>0</v>
      </c>
      <c r="N42" s="85">
        <v>0</v>
      </c>
      <c r="O42" s="85">
        <v>0</v>
      </c>
      <c r="P42" s="85">
        <f>SUM(D42:O42)</f>
        <v>154.87</v>
      </c>
      <c r="Q42" s="40"/>
    </row>
    <row r="43" spans="2:20" ht="15" customHeight="1" x14ac:dyDescent="0.25">
      <c r="B43" s="122"/>
      <c r="C43" s="124" t="s">
        <v>37</v>
      </c>
      <c r="D43" s="71">
        <v>44955</v>
      </c>
      <c r="E43" s="71">
        <v>44984</v>
      </c>
      <c r="F43" s="71">
        <v>45013</v>
      </c>
      <c r="G43" s="71">
        <v>45047</v>
      </c>
      <c r="H43" s="71">
        <v>45076</v>
      </c>
      <c r="I43" s="71">
        <v>45109</v>
      </c>
      <c r="J43" s="76">
        <v>45134</v>
      </c>
      <c r="K43" s="76">
        <v>45167</v>
      </c>
      <c r="L43" s="71">
        <v>45201</v>
      </c>
      <c r="M43" s="84">
        <v>45231</v>
      </c>
      <c r="N43" s="84">
        <v>45258</v>
      </c>
      <c r="O43" s="84">
        <v>45291</v>
      </c>
      <c r="P43" s="87">
        <v>45289</v>
      </c>
    </row>
    <row r="44" spans="2:20" x14ac:dyDescent="0.25">
      <c r="B44" s="122"/>
      <c r="C44" s="105"/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85">
        <v>91.66</v>
      </c>
      <c r="N44" s="85">
        <f>118+474.26</f>
        <v>592.26</v>
      </c>
      <c r="O44" s="85">
        <f>405.66+451.48</f>
        <v>857.1400000000001</v>
      </c>
      <c r="P44" s="85">
        <f>SUM(D44:O44)</f>
        <v>1541.06</v>
      </c>
      <c r="Q44" s="40"/>
    </row>
    <row r="45" spans="2:20" x14ac:dyDescent="0.25">
      <c r="B45" s="122"/>
      <c r="C45" s="104" t="s">
        <v>67</v>
      </c>
      <c r="D45" s="71">
        <v>44955</v>
      </c>
      <c r="E45" s="71">
        <v>44984</v>
      </c>
      <c r="F45" s="71">
        <v>45013</v>
      </c>
      <c r="G45" s="71">
        <v>45047</v>
      </c>
      <c r="H45" s="71">
        <v>45076</v>
      </c>
      <c r="I45" s="71">
        <v>45109</v>
      </c>
      <c r="J45" s="76">
        <v>45134</v>
      </c>
      <c r="K45" s="76">
        <v>45167</v>
      </c>
      <c r="L45" s="71">
        <v>45201</v>
      </c>
      <c r="M45" s="84">
        <v>45231</v>
      </c>
      <c r="N45" s="84">
        <v>45263</v>
      </c>
      <c r="O45" s="84">
        <v>45291</v>
      </c>
      <c r="P45" s="87">
        <v>45289</v>
      </c>
      <c r="Q45" s="34"/>
    </row>
    <row r="46" spans="2:20" x14ac:dyDescent="0.25">
      <c r="B46" s="122"/>
      <c r="C46" s="105"/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2.64</v>
      </c>
      <c r="L46" s="74">
        <v>0</v>
      </c>
      <c r="M46" s="86">
        <v>0</v>
      </c>
      <c r="N46" s="86">
        <v>0</v>
      </c>
      <c r="O46" s="86">
        <v>26.49</v>
      </c>
      <c r="P46" s="85">
        <f>SUM(D46:O46)</f>
        <v>29.13</v>
      </c>
      <c r="Q46" s="34"/>
    </row>
    <row r="47" spans="2:20" x14ac:dyDescent="0.25">
      <c r="B47" s="122"/>
      <c r="C47" s="104" t="s">
        <v>60</v>
      </c>
      <c r="D47" s="71">
        <v>44955</v>
      </c>
      <c r="E47" s="71">
        <v>44984</v>
      </c>
      <c r="F47" s="71">
        <v>45013</v>
      </c>
      <c r="G47" s="71">
        <v>45047</v>
      </c>
      <c r="H47" s="71">
        <v>45076</v>
      </c>
      <c r="I47" s="71">
        <v>45109</v>
      </c>
      <c r="J47" s="76">
        <v>45134</v>
      </c>
      <c r="K47" s="71">
        <v>45167</v>
      </c>
      <c r="L47" s="71">
        <v>45201</v>
      </c>
      <c r="M47" s="84">
        <v>45224</v>
      </c>
      <c r="N47" s="84">
        <v>45258</v>
      </c>
      <c r="O47" s="84">
        <v>45291</v>
      </c>
      <c r="P47" s="87">
        <v>45289</v>
      </c>
    </row>
    <row r="48" spans="2:20" x14ac:dyDescent="0.25">
      <c r="B48" s="122"/>
      <c r="C48" s="105"/>
      <c r="D48" s="74">
        <f>1627.04-D63</f>
        <v>813.26</v>
      </c>
      <c r="E48" s="74">
        <f>4252.31-E63</f>
        <v>36.510000000000197</v>
      </c>
      <c r="F48" s="74">
        <f>11.5+1398.48-F63</f>
        <v>659.4</v>
      </c>
      <c r="G48" s="72">
        <f>4095.89-G63</f>
        <v>95.890000000000299</v>
      </c>
      <c r="H48" s="72">
        <v>13.73</v>
      </c>
      <c r="I48" s="72">
        <v>0</v>
      </c>
      <c r="J48" s="72">
        <f>2441.33-J63</f>
        <v>-156.07</v>
      </c>
      <c r="K48" s="72">
        <v>135.94999999999999</v>
      </c>
      <c r="L48" s="72">
        <f>-16.03+2283.02+4.43+3.7+3.7-2283.02</f>
        <v>-4.2000000000007303</v>
      </c>
      <c r="M48" s="85">
        <v>126.26</v>
      </c>
      <c r="N48" s="85">
        <v>158.61000000000001</v>
      </c>
      <c r="O48" s="85">
        <f>181.62-O16-O10</f>
        <v>81.099999999999994</v>
      </c>
      <c r="P48" s="85">
        <f>SUM(D48:O48)</f>
        <v>1960.4399999999996</v>
      </c>
      <c r="Q48" s="40"/>
    </row>
    <row r="49" spans="2:18" x14ac:dyDescent="0.25">
      <c r="B49" s="122"/>
      <c r="C49" s="104" t="s">
        <v>66</v>
      </c>
      <c r="D49" s="71">
        <v>44955</v>
      </c>
      <c r="E49" s="71">
        <v>44984</v>
      </c>
      <c r="F49" s="71">
        <v>45013</v>
      </c>
      <c r="G49" s="71">
        <v>45047</v>
      </c>
      <c r="H49" s="71">
        <v>45076</v>
      </c>
      <c r="I49" s="71">
        <v>45109</v>
      </c>
      <c r="J49" s="76">
        <v>45134</v>
      </c>
      <c r="K49" s="71">
        <v>45167</v>
      </c>
      <c r="L49" s="71">
        <v>45201</v>
      </c>
      <c r="M49" s="84">
        <v>45224</v>
      </c>
      <c r="N49" s="84">
        <v>45258</v>
      </c>
      <c r="O49" s="84">
        <v>45291</v>
      </c>
      <c r="P49" s="87">
        <v>45289</v>
      </c>
    </row>
    <row r="50" spans="2:18" x14ac:dyDescent="0.25">
      <c r="B50" s="122"/>
      <c r="C50" s="105"/>
      <c r="D50" s="74">
        <v>0</v>
      </c>
      <c r="E50" s="74">
        <v>0</v>
      </c>
      <c r="F50" s="74">
        <v>0</v>
      </c>
      <c r="G50" s="72">
        <v>0</v>
      </c>
      <c r="H50" s="72">
        <f>1196.23-H4-H16-H65-H63-H61-H69-H8-H18-H14</f>
        <v>490.61</v>
      </c>
      <c r="I50" s="72">
        <f>2961.8-H8-I61-I63-I16</f>
        <v>897.07</v>
      </c>
      <c r="J50" s="72">
        <v>15.49</v>
      </c>
      <c r="K50" s="72">
        <f>812.79 - K63</f>
        <v>136.38999999999999</v>
      </c>
      <c r="L50" s="72">
        <f>1781.77-1781.77</f>
        <v>0</v>
      </c>
      <c r="M50" s="85">
        <v>85.23</v>
      </c>
      <c r="N50" s="85">
        <f>90.55+1367.38-N63</f>
        <v>121.02000000000021</v>
      </c>
      <c r="O50" s="85">
        <f>2747.92-1800.19-351.23</f>
        <v>596.5</v>
      </c>
      <c r="P50" s="85">
        <f>SUM(D50:O50)</f>
        <v>2342.3100000000004</v>
      </c>
      <c r="Q50" s="40"/>
    </row>
    <row r="51" spans="2:18" x14ac:dyDescent="0.25">
      <c r="B51" s="122"/>
      <c r="C51" s="104" t="s">
        <v>64</v>
      </c>
      <c r="D51" s="71">
        <v>44955</v>
      </c>
      <c r="E51" s="71">
        <v>44984</v>
      </c>
      <c r="F51" s="71">
        <v>45013</v>
      </c>
      <c r="G51" s="71">
        <v>45047</v>
      </c>
      <c r="H51" s="71">
        <v>45076</v>
      </c>
      <c r="I51" s="71">
        <v>45109</v>
      </c>
      <c r="J51" s="76">
        <v>45134</v>
      </c>
      <c r="K51" s="71">
        <v>45167</v>
      </c>
      <c r="L51" s="71">
        <v>45201</v>
      </c>
      <c r="M51" s="84">
        <v>45236</v>
      </c>
      <c r="N51" s="84">
        <v>45263</v>
      </c>
      <c r="O51" s="84">
        <v>45291</v>
      </c>
      <c r="P51" s="87">
        <v>45289</v>
      </c>
      <c r="Q51" s="34"/>
    </row>
    <row r="52" spans="2:18" x14ac:dyDescent="0.25">
      <c r="B52" s="122"/>
      <c r="C52" s="105"/>
      <c r="D52" s="74">
        <v>165.95</v>
      </c>
      <c r="E52" s="74">
        <v>198.62</v>
      </c>
      <c r="F52" s="74">
        <v>132.76</v>
      </c>
      <c r="G52" s="74">
        <v>499.34</v>
      </c>
      <c r="H52" s="74">
        <f>314.49+124.43</f>
        <v>438.92</v>
      </c>
      <c r="I52" s="74">
        <v>330.89</v>
      </c>
      <c r="J52" s="74">
        <v>580.30999999999995</v>
      </c>
      <c r="K52" s="74">
        <v>387.26</v>
      </c>
      <c r="L52" s="74">
        <v>486.76</v>
      </c>
      <c r="M52" s="86">
        <v>487.48</v>
      </c>
      <c r="N52" s="86">
        <v>437.77</v>
      </c>
      <c r="O52" s="86">
        <v>572.59</v>
      </c>
      <c r="P52" s="85">
        <f>SUM(D52:O52)</f>
        <v>4718.6500000000005</v>
      </c>
      <c r="Q52" s="34"/>
    </row>
    <row r="53" spans="2:18" x14ac:dyDescent="0.25">
      <c r="B53" s="122"/>
      <c r="C53" s="104" t="s">
        <v>49</v>
      </c>
      <c r="D53" s="71">
        <v>44955</v>
      </c>
      <c r="E53" s="71">
        <v>44984</v>
      </c>
      <c r="F53" s="71">
        <v>45013</v>
      </c>
      <c r="G53" s="71">
        <v>45047</v>
      </c>
      <c r="H53" s="71">
        <v>45076</v>
      </c>
      <c r="I53" s="71">
        <v>45109</v>
      </c>
      <c r="J53" s="76">
        <v>45134</v>
      </c>
      <c r="K53" s="76">
        <v>45167</v>
      </c>
      <c r="L53" s="71">
        <v>45201</v>
      </c>
      <c r="M53" s="84">
        <v>45231</v>
      </c>
      <c r="N53" s="84">
        <v>45258</v>
      </c>
      <c r="O53" s="84">
        <v>45291</v>
      </c>
      <c r="P53" s="87">
        <v>45289</v>
      </c>
      <c r="Q53" s="34"/>
    </row>
    <row r="54" spans="2:18" x14ac:dyDescent="0.25">
      <c r="B54" s="122"/>
      <c r="C54" s="105"/>
      <c r="D54" s="72">
        <v>0</v>
      </c>
      <c r="E54" s="72">
        <v>0</v>
      </c>
      <c r="F54" s="72">
        <v>0</v>
      </c>
      <c r="G54" s="72">
        <v>0</v>
      </c>
      <c r="H54" s="72">
        <v>7.41</v>
      </c>
      <c r="I54" s="72">
        <v>0</v>
      </c>
      <c r="J54" s="72">
        <v>0</v>
      </c>
      <c r="K54" s="72">
        <v>0</v>
      </c>
      <c r="L54" s="72">
        <v>0</v>
      </c>
      <c r="M54" s="85">
        <v>15.07</v>
      </c>
      <c r="N54" s="85">
        <v>14.98</v>
      </c>
      <c r="O54" s="85">
        <v>0</v>
      </c>
      <c r="P54" s="85">
        <f>SUM(D54:O54)</f>
        <v>37.46</v>
      </c>
      <c r="Q54" s="34"/>
      <c r="R54" s="34"/>
    </row>
    <row r="55" spans="2:18" ht="15" customHeight="1" x14ac:dyDescent="0.25">
      <c r="B55" s="123"/>
      <c r="C55" s="37" t="s">
        <v>0</v>
      </c>
      <c r="D55" s="79">
        <f t="shared" ref="D55:P55" si="2">SUM(D26,D28,D30,D32,D34,D36,D38,D40,D42,D44,D46,D48,D50,D52,D54)</f>
        <v>1423.53</v>
      </c>
      <c r="E55" s="79">
        <f t="shared" si="2"/>
        <v>1639.4</v>
      </c>
      <c r="F55" s="79">
        <f t="shared" si="2"/>
        <v>3549.9</v>
      </c>
      <c r="G55" s="79">
        <f t="shared" si="2"/>
        <v>1968.63</v>
      </c>
      <c r="H55" s="79">
        <f t="shared" si="2"/>
        <v>1346.97</v>
      </c>
      <c r="I55" s="79">
        <f t="shared" si="2"/>
        <v>1484.84</v>
      </c>
      <c r="J55" s="79">
        <f t="shared" si="2"/>
        <v>877.69</v>
      </c>
      <c r="K55" s="79">
        <f t="shared" si="2"/>
        <v>1546.57</v>
      </c>
      <c r="L55" s="79">
        <f t="shared" si="2"/>
        <v>2881.9</v>
      </c>
      <c r="M55" s="79">
        <f t="shared" si="2"/>
        <v>2034.7499999999998</v>
      </c>
      <c r="N55" s="79">
        <f t="shared" si="2"/>
        <v>2442.0900000000006</v>
      </c>
      <c r="O55" s="79">
        <f t="shared" si="2"/>
        <v>1749.38</v>
      </c>
      <c r="P55" s="79">
        <f t="shared" si="2"/>
        <v>22945.65</v>
      </c>
      <c r="Q55" s="34"/>
      <c r="R55" s="34"/>
    </row>
    <row r="56" spans="2:18" ht="15" customHeight="1" x14ac:dyDescent="0.25">
      <c r="B56" s="111" t="s">
        <v>25</v>
      </c>
      <c r="C56" s="103" t="s">
        <v>54</v>
      </c>
      <c r="D56" s="71"/>
      <c r="E56" s="71"/>
      <c r="F56" s="71"/>
      <c r="G56" s="71"/>
      <c r="H56" s="71"/>
      <c r="I56" s="71"/>
      <c r="J56" s="71"/>
      <c r="K56" s="71"/>
      <c r="L56" s="71"/>
      <c r="M56" s="84"/>
      <c r="N56" s="84"/>
      <c r="O56" s="84">
        <v>45291</v>
      </c>
      <c r="P56" s="87">
        <v>45289</v>
      </c>
    </row>
    <row r="57" spans="2:18" x14ac:dyDescent="0.25">
      <c r="B57" s="112"/>
      <c r="C57" s="103"/>
      <c r="D57" s="72">
        <v>0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  <c r="M57" s="85">
        <v>0</v>
      </c>
      <c r="N57" s="85">
        <v>0</v>
      </c>
      <c r="O57" s="85">
        <v>700</v>
      </c>
      <c r="P57" s="85">
        <f>SUM(D57:O57)</f>
        <v>700</v>
      </c>
    </row>
    <row r="58" spans="2:18" x14ac:dyDescent="0.25">
      <c r="B58" s="112"/>
      <c r="C58" s="103" t="s">
        <v>45</v>
      </c>
      <c r="D58" s="71"/>
      <c r="E58" s="71"/>
      <c r="F58" s="71"/>
      <c r="G58" s="71"/>
      <c r="H58" s="71"/>
      <c r="I58" s="71"/>
      <c r="J58" s="71"/>
      <c r="K58" s="71"/>
      <c r="L58" s="71"/>
      <c r="M58" s="84"/>
      <c r="N58" s="84"/>
      <c r="O58" s="84">
        <v>45291</v>
      </c>
      <c r="P58" s="87">
        <v>45289</v>
      </c>
    </row>
    <row r="59" spans="2:18" x14ac:dyDescent="0.25">
      <c r="B59" s="112"/>
      <c r="C59" s="103"/>
      <c r="D59" s="72">
        <v>0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85">
        <v>0</v>
      </c>
      <c r="N59" s="85">
        <v>0</v>
      </c>
      <c r="O59" s="85">
        <v>0</v>
      </c>
      <c r="P59" s="85">
        <f>SUM(D59:O59)</f>
        <v>0</v>
      </c>
    </row>
    <row r="60" spans="2:18" x14ac:dyDescent="0.25">
      <c r="B60" s="112"/>
      <c r="C60" s="109" t="s">
        <v>63</v>
      </c>
      <c r="D60" s="71">
        <v>44955</v>
      </c>
      <c r="E60" s="71">
        <v>44984</v>
      </c>
      <c r="F60" s="71">
        <v>45011</v>
      </c>
      <c r="G60" s="71">
        <v>45047</v>
      </c>
      <c r="H60" s="71">
        <v>45076</v>
      </c>
      <c r="I60" s="71">
        <v>45109</v>
      </c>
      <c r="J60" s="71">
        <v>45136</v>
      </c>
      <c r="K60" s="71">
        <v>45167</v>
      </c>
      <c r="L60" s="71">
        <v>45201</v>
      </c>
      <c r="M60" s="84">
        <v>45231</v>
      </c>
      <c r="N60" s="84">
        <v>45263</v>
      </c>
      <c r="O60" s="84">
        <v>45291</v>
      </c>
      <c r="P60" s="87">
        <v>45289</v>
      </c>
    </row>
    <row r="61" spans="2:18" x14ac:dyDescent="0.25">
      <c r="B61" s="112"/>
      <c r="C61" s="110"/>
      <c r="D61" s="72">
        <f>219+116</f>
        <v>335</v>
      </c>
      <c r="E61" s="72">
        <f>219+116</f>
        <v>335</v>
      </c>
      <c r="F61" s="72">
        <f>219+116</f>
        <v>335</v>
      </c>
      <c r="G61" s="72">
        <f>219+116+240+388.05</f>
        <v>963.05</v>
      </c>
      <c r="H61" s="72">
        <f>219+116</f>
        <v>335</v>
      </c>
      <c r="I61" s="72">
        <f>219+116</f>
        <v>335</v>
      </c>
      <c r="J61" s="72">
        <f>219+116</f>
        <v>335</v>
      </c>
      <c r="K61" s="72">
        <f>219+116</f>
        <v>335</v>
      </c>
      <c r="L61" s="72">
        <f>229+124+36+420+234</f>
        <v>1043</v>
      </c>
      <c r="M61" s="85">
        <f>229+124</f>
        <v>353</v>
      </c>
      <c r="N61" s="85">
        <f>229+124+300</f>
        <v>653</v>
      </c>
      <c r="O61" s="85">
        <f>219+116+268</f>
        <v>603</v>
      </c>
      <c r="P61" s="85">
        <f>SUM(D61:O61)</f>
        <v>5960.05</v>
      </c>
    </row>
    <row r="62" spans="2:18" x14ac:dyDescent="0.25">
      <c r="B62" s="112"/>
      <c r="C62" s="109" t="s">
        <v>51</v>
      </c>
      <c r="D62" s="71">
        <v>44955</v>
      </c>
      <c r="E62" s="71">
        <v>44982</v>
      </c>
      <c r="F62" s="71">
        <v>45002</v>
      </c>
      <c r="G62" s="71">
        <v>45047</v>
      </c>
      <c r="H62" s="71">
        <v>45076</v>
      </c>
      <c r="I62" s="71">
        <v>45109</v>
      </c>
      <c r="J62" s="71">
        <v>45130</v>
      </c>
      <c r="K62" s="71">
        <v>45170</v>
      </c>
      <c r="L62" s="71">
        <v>45201</v>
      </c>
      <c r="M62" s="84"/>
      <c r="N62" s="84">
        <v>45263</v>
      </c>
      <c r="O62" s="84">
        <v>45291</v>
      </c>
      <c r="P62" s="87">
        <v>45289</v>
      </c>
    </row>
    <row r="63" spans="2:18" x14ac:dyDescent="0.25">
      <c r="B63" s="112"/>
      <c r="C63" s="110"/>
      <c r="D63" s="72">
        <f>545.78+38+180+50</f>
        <v>813.78</v>
      </c>
      <c r="E63" s="72">
        <v>4215.8</v>
      </c>
      <c r="F63" s="72">
        <f>750.58</f>
        <v>750.58</v>
      </c>
      <c r="G63" s="72">
        <f>4000</f>
        <v>4000</v>
      </c>
      <c r="H63" s="72">
        <v>0</v>
      </c>
      <c r="I63" s="72">
        <f>630+981.22</f>
        <v>1611.22</v>
      </c>
      <c r="J63" s="72">
        <f>11.2*4+1714.9+90+461.95+285.75</f>
        <v>2597.4</v>
      </c>
      <c r="K63" s="72">
        <f>191.49+44.22+224.73+80+70+65.96</f>
        <v>676.4</v>
      </c>
      <c r="L63" s="72">
        <f>1781.77+2283.02</f>
        <v>4064.79</v>
      </c>
      <c r="M63" s="85">
        <v>0</v>
      </c>
      <c r="N63" s="85">
        <f>688.27+648.64</f>
        <v>1336.9099999999999</v>
      </c>
      <c r="O63" s="85">
        <f>1800.19+351.23</f>
        <v>2151.42</v>
      </c>
      <c r="P63" s="85">
        <f>SUM(D63:O63)</f>
        <v>22218.299999999996</v>
      </c>
    </row>
    <row r="64" spans="2:18" x14ac:dyDescent="0.25">
      <c r="B64" s="112"/>
      <c r="C64" s="109" t="s">
        <v>47</v>
      </c>
      <c r="D64" s="71">
        <v>44955</v>
      </c>
      <c r="E64" s="71">
        <v>44984</v>
      </c>
      <c r="F64" s="71">
        <v>44989</v>
      </c>
      <c r="G64" s="71"/>
      <c r="H64" s="71"/>
      <c r="I64" s="71">
        <v>45109</v>
      </c>
      <c r="J64" s="77"/>
      <c r="K64" s="76">
        <v>45167</v>
      </c>
      <c r="L64" s="71">
        <v>45195</v>
      </c>
      <c r="M64" s="84">
        <v>45224</v>
      </c>
      <c r="N64" s="84">
        <v>45259</v>
      </c>
      <c r="O64" s="84">
        <v>45291</v>
      </c>
      <c r="P64" s="87">
        <v>45289</v>
      </c>
    </row>
    <row r="65" spans="2:18" x14ac:dyDescent="0.25">
      <c r="B65" s="112"/>
      <c r="C65" s="110"/>
      <c r="D65" s="72">
        <f>80.52</f>
        <v>80.52</v>
      </c>
      <c r="E65" s="72">
        <f>30.39</f>
        <v>30.39</v>
      </c>
      <c r="F65" s="72">
        <f>20.94+50.8+50+115</f>
        <v>236.74</v>
      </c>
      <c r="G65" s="72">
        <v>0</v>
      </c>
      <c r="H65" s="72">
        <v>0</v>
      </c>
      <c r="I65" s="72">
        <v>100</v>
      </c>
      <c r="J65" s="72">
        <v>0</v>
      </c>
      <c r="K65" s="72">
        <v>0</v>
      </c>
      <c r="L65" s="72">
        <f>32</f>
        <v>32</v>
      </c>
      <c r="M65" s="85">
        <f>102.98+38</f>
        <v>140.98000000000002</v>
      </c>
      <c r="N65" s="85">
        <v>0</v>
      </c>
      <c r="O65" s="85">
        <f>24.3</f>
        <v>24.3</v>
      </c>
      <c r="P65" s="85">
        <f>SUM(D65:O65)</f>
        <v>644.92999999999995</v>
      </c>
    </row>
    <row r="66" spans="2:18" x14ac:dyDescent="0.25">
      <c r="B66" s="112"/>
      <c r="C66" s="109" t="s">
        <v>30</v>
      </c>
      <c r="D66" s="71"/>
      <c r="E66" s="71"/>
      <c r="F66" s="71"/>
      <c r="G66" s="71">
        <v>45044</v>
      </c>
      <c r="H66" s="71"/>
      <c r="I66" s="71"/>
      <c r="J66" s="77">
        <v>45124</v>
      </c>
      <c r="K66" s="76">
        <v>45167</v>
      </c>
      <c r="L66" s="71">
        <v>45195</v>
      </c>
      <c r="M66" s="84">
        <v>45224</v>
      </c>
      <c r="N66" s="84">
        <v>45259</v>
      </c>
      <c r="O66" s="84">
        <v>45285</v>
      </c>
      <c r="P66" s="87">
        <v>45289</v>
      </c>
    </row>
    <row r="67" spans="2:18" x14ac:dyDescent="0.25">
      <c r="B67" s="112"/>
      <c r="C67" s="110"/>
      <c r="D67" s="72">
        <v>0</v>
      </c>
      <c r="E67" s="72"/>
      <c r="F67" s="72">
        <v>0</v>
      </c>
      <c r="G67" s="72">
        <f>488+1000</f>
        <v>1488</v>
      </c>
      <c r="H67" s="72"/>
      <c r="I67" s="72">
        <v>0</v>
      </c>
      <c r="J67" s="72">
        <v>487</v>
      </c>
      <c r="K67" s="72">
        <v>0</v>
      </c>
      <c r="L67" s="72">
        <f>130+52+104+104+104</f>
        <v>494</v>
      </c>
      <c r="M67" s="85">
        <f>78+104+104+101.5+52</f>
        <v>439.5</v>
      </c>
      <c r="N67" s="85">
        <f>52+26+52+26+70</f>
        <v>226</v>
      </c>
      <c r="O67" s="85">
        <f>52+52</f>
        <v>104</v>
      </c>
      <c r="P67" s="85">
        <f>SUM(D67:O67)</f>
        <v>3238.5</v>
      </c>
    </row>
    <row r="68" spans="2:18" x14ac:dyDescent="0.25">
      <c r="B68" s="112"/>
      <c r="C68" s="109" t="s">
        <v>41</v>
      </c>
      <c r="D68" s="71"/>
      <c r="E68" s="71"/>
      <c r="F68" s="71"/>
      <c r="G68" s="71"/>
      <c r="H68" s="71"/>
      <c r="I68" s="71"/>
      <c r="J68" s="77"/>
      <c r="K68" s="71"/>
      <c r="L68" s="71"/>
      <c r="M68" s="84"/>
      <c r="N68" s="84">
        <v>45259</v>
      </c>
      <c r="O68" s="84">
        <v>45291</v>
      </c>
      <c r="P68" s="87">
        <v>45289</v>
      </c>
    </row>
    <row r="69" spans="2:18" x14ac:dyDescent="0.25">
      <c r="B69" s="112"/>
      <c r="C69" s="110"/>
      <c r="D69" s="72">
        <v>0</v>
      </c>
      <c r="E69" s="72">
        <v>0</v>
      </c>
      <c r="F69" s="72">
        <v>0</v>
      </c>
      <c r="G69" s="72">
        <v>0</v>
      </c>
      <c r="H69" s="72">
        <v>0</v>
      </c>
      <c r="I69" s="72">
        <v>0</v>
      </c>
      <c r="J69" s="72">
        <v>0</v>
      </c>
      <c r="K69" s="72">
        <v>0</v>
      </c>
      <c r="L69" s="72">
        <v>409</v>
      </c>
      <c r="M69" s="85">
        <v>0</v>
      </c>
      <c r="N69" s="85">
        <v>30.1</v>
      </c>
      <c r="O69" s="85">
        <f>35.05+13.05+11.59+20.44</f>
        <v>80.13</v>
      </c>
      <c r="P69" s="85">
        <f>SUM(D69:O69)</f>
        <v>519.23</v>
      </c>
      <c r="Q69" s="34"/>
      <c r="R69" s="45"/>
    </row>
    <row r="70" spans="2:18" x14ac:dyDescent="0.25">
      <c r="B70" s="113"/>
      <c r="C70" s="38" t="s">
        <v>0</v>
      </c>
      <c r="D70" s="79">
        <f t="shared" ref="D70:P70" si="3">SUM(D57,D59,D61,D63,D65,D67,D69)</f>
        <v>1229.3</v>
      </c>
      <c r="E70" s="79">
        <f t="shared" si="3"/>
        <v>4581.1899999999996</v>
      </c>
      <c r="F70" s="79">
        <f t="shared" si="3"/>
        <v>1322.32</v>
      </c>
      <c r="G70" s="79">
        <f t="shared" si="3"/>
        <v>6451.05</v>
      </c>
      <c r="H70" s="79">
        <f t="shared" si="3"/>
        <v>335</v>
      </c>
      <c r="I70" s="79">
        <f t="shared" si="3"/>
        <v>2046.22</v>
      </c>
      <c r="J70" s="79">
        <f t="shared" si="3"/>
        <v>3419.4</v>
      </c>
      <c r="K70" s="79">
        <f t="shared" si="3"/>
        <v>1011.4</v>
      </c>
      <c r="L70" s="79">
        <f t="shared" si="3"/>
        <v>6042.79</v>
      </c>
      <c r="M70" s="79">
        <f t="shared" si="3"/>
        <v>933.48</v>
      </c>
      <c r="N70" s="79">
        <f t="shared" si="3"/>
        <v>2246.0099999999998</v>
      </c>
      <c r="O70" s="79">
        <f t="shared" si="3"/>
        <v>3662.8500000000004</v>
      </c>
      <c r="P70" s="79">
        <f t="shared" si="3"/>
        <v>33281.009999999995</v>
      </c>
    </row>
    <row r="71" spans="2:18" ht="15" customHeight="1" x14ac:dyDescent="0.25">
      <c r="B71" s="128" t="s">
        <v>65</v>
      </c>
      <c r="C71" s="129"/>
      <c r="D71" s="79">
        <f t="shared" ref="D71:P71" si="4">SUM(D19,D24,D55,D70)</f>
        <v>4373.29</v>
      </c>
      <c r="E71" s="79">
        <f t="shared" si="4"/>
        <v>6746.13</v>
      </c>
      <c r="F71" s="79">
        <f t="shared" si="4"/>
        <v>5513.75</v>
      </c>
      <c r="G71" s="79">
        <f t="shared" si="4"/>
        <v>8756.57</v>
      </c>
      <c r="H71" s="79">
        <f t="shared" si="4"/>
        <v>2129.73</v>
      </c>
      <c r="I71" s="79">
        <f t="shared" si="4"/>
        <v>3963.2</v>
      </c>
      <c r="J71" s="79">
        <f t="shared" si="4"/>
        <v>7042.66</v>
      </c>
      <c r="K71" s="79">
        <f t="shared" si="4"/>
        <v>3093.33</v>
      </c>
      <c r="L71" s="79">
        <f t="shared" si="4"/>
        <v>9182.2900000000009</v>
      </c>
      <c r="M71" s="79">
        <f t="shared" si="4"/>
        <v>3215.2099999999996</v>
      </c>
      <c r="N71" s="79">
        <f t="shared" si="4"/>
        <v>6930.630000000001</v>
      </c>
      <c r="O71" s="79">
        <f t="shared" si="4"/>
        <v>5837.8000000000011</v>
      </c>
      <c r="P71" s="56">
        <f t="shared" si="4"/>
        <v>66784.59</v>
      </c>
    </row>
    <row r="72" spans="2:18" x14ac:dyDescent="0.25">
      <c r="B72" s="130" t="s">
        <v>57</v>
      </c>
      <c r="C72" s="130"/>
      <c r="D72" s="81">
        <f t="shared" ref="D72:O72" si="5">D71-D21</f>
        <v>3231.29</v>
      </c>
      <c r="E72" s="81">
        <f t="shared" si="5"/>
        <v>6746.13</v>
      </c>
      <c r="F72" s="81">
        <f t="shared" si="5"/>
        <v>5513.75</v>
      </c>
      <c r="G72" s="81">
        <f t="shared" si="5"/>
        <v>8756.57</v>
      </c>
      <c r="H72" s="81">
        <f t="shared" si="5"/>
        <v>2129.73</v>
      </c>
      <c r="I72" s="81">
        <f t="shared" si="5"/>
        <v>3963.2</v>
      </c>
      <c r="J72" s="81">
        <f t="shared" si="5"/>
        <v>7042.66</v>
      </c>
      <c r="K72" s="81">
        <f t="shared" si="5"/>
        <v>3093.33</v>
      </c>
      <c r="L72" s="81">
        <f t="shared" si="5"/>
        <v>9182.2900000000009</v>
      </c>
      <c r="M72" s="81">
        <f t="shared" si="5"/>
        <v>3215.2099999999996</v>
      </c>
      <c r="N72" s="81">
        <f t="shared" si="5"/>
        <v>6930.630000000001</v>
      </c>
      <c r="O72" s="81">
        <f t="shared" si="5"/>
        <v>5837.8000000000011</v>
      </c>
      <c r="P72" s="79">
        <f>SUM(D72:O72)</f>
        <v>65642.590000000011</v>
      </c>
    </row>
    <row r="73" spans="2:18" x14ac:dyDescent="0.25">
      <c r="P73" s="34"/>
    </row>
    <row r="74" spans="2:18" x14ac:dyDescent="0.25">
      <c r="I74" s="34"/>
    </row>
  </sheetData>
  <mergeCells count="38">
    <mergeCell ref="C49:C50"/>
    <mergeCell ref="B3:B19"/>
    <mergeCell ref="C3:C4"/>
    <mergeCell ref="C5:C6"/>
    <mergeCell ref="C7:C8"/>
    <mergeCell ref="C9:C10"/>
    <mergeCell ref="C11:C12"/>
    <mergeCell ref="C13:C14"/>
    <mergeCell ref="C15:C16"/>
    <mergeCell ref="C17:C18"/>
    <mergeCell ref="C47:C48"/>
    <mergeCell ref="B20:B24"/>
    <mergeCell ref="C20:C21"/>
    <mergeCell ref="C22:C23"/>
    <mergeCell ref="B25:B55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B71:C71"/>
    <mergeCell ref="B72:C72"/>
    <mergeCell ref="C51:C52"/>
    <mergeCell ref="C53:C54"/>
    <mergeCell ref="B56:B70"/>
    <mergeCell ref="C56:C57"/>
    <mergeCell ref="C58:C59"/>
    <mergeCell ref="C60:C61"/>
    <mergeCell ref="C62:C63"/>
    <mergeCell ref="C64:C65"/>
    <mergeCell ref="C66:C67"/>
    <mergeCell ref="C68:C69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1BC9-6809-4288-8F1E-8A288070BE8B}">
  <dimension ref="B2:V76"/>
  <sheetViews>
    <sheetView topLeftCell="A17" zoomScaleNormal="100" workbookViewId="0">
      <pane xSplit="3" topLeftCell="D1" activePane="topRight" state="frozen"/>
      <selection activeCell="A40" sqref="A40"/>
      <selection pane="topRight" activeCell="Q57" sqref="Q57"/>
    </sheetView>
  </sheetViews>
  <sheetFormatPr defaultRowHeight="15" x14ac:dyDescent="0.25"/>
  <cols>
    <col min="3" max="3" width="18.7109375" bestFit="1" customWidth="1"/>
    <col min="4" max="4" width="9.85546875" bestFit="1" customWidth="1"/>
    <col min="5" max="5" width="10.28515625" bestFit="1" customWidth="1"/>
    <col min="6" max="6" width="10.85546875" bestFit="1" customWidth="1"/>
    <col min="7" max="7" width="10.140625" bestFit="1" customWidth="1"/>
    <col min="8" max="9" width="10.85546875" bestFit="1" customWidth="1"/>
    <col min="10" max="10" width="10.140625" bestFit="1" customWidth="1"/>
    <col min="11" max="11" width="10.28515625" bestFit="1" customWidth="1"/>
    <col min="12" max="12" width="10.140625" bestFit="1" customWidth="1"/>
    <col min="13" max="13" width="10.7109375" bestFit="1" customWidth="1"/>
    <col min="14" max="16" width="11.140625" bestFit="1" customWidth="1"/>
    <col min="17" max="17" width="10.140625" bestFit="1" customWidth="1"/>
    <col min="18" max="18" width="12" bestFit="1" customWidth="1"/>
    <col min="21" max="21" width="13.42578125" bestFit="1" customWidth="1"/>
    <col min="22" max="22" width="20.140625" bestFit="1" customWidth="1"/>
    <col min="23" max="23" width="15" bestFit="1" customWidth="1"/>
  </cols>
  <sheetData>
    <row r="2" spans="2:22" x14ac:dyDescent="0.25">
      <c r="C2" s="1"/>
      <c r="D2" s="13">
        <v>45292</v>
      </c>
      <c r="E2" s="13">
        <v>45323</v>
      </c>
      <c r="F2" s="13">
        <v>45352</v>
      </c>
      <c r="G2" s="13">
        <v>45383</v>
      </c>
      <c r="H2" s="13">
        <v>45413</v>
      </c>
      <c r="I2" s="13">
        <v>45444</v>
      </c>
      <c r="J2" s="13">
        <v>45474</v>
      </c>
      <c r="K2" s="13">
        <v>45505</v>
      </c>
      <c r="L2" s="13">
        <v>45536</v>
      </c>
      <c r="M2" s="13">
        <v>45566</v>
      </c>
      <c r="N2" s="13">
        <v>45597</v>
      </c>
      <c r="O2" s="13">
        <v>45627</v>
      </c>
      <c r="P2" s="13" t="s">
        <v>0</v>
      </c>
      <c r="R2" s="34"/>
    </row>
    <row r="3" spans="2:22" ht="15" customHeight="1" x14ac:dyDescent="0.25">
      <c r="B3" s="125" t="s">
        <v>26</v>
      </c>
      <c r="C3" s="106" t="s">
        <v>1</v>
      </c>
      <c r="D3" s="84">
        <v>45313</v>
      </c>
      <c r="E3" s="84">
        <v>45341</v>
      </c>
      <c r="F3" s="84">
        <v>45371</v>
      </c>
      <c r="G3" s="84">
        <v>45403</v>
      </c>
      <c r="H3" s="84">
        <v>45431</v>
      </c>
      <c r="I3" s="84">
        <v>45464</v>
      </c>
      <c r="J3" s="87">
        <v>45500</v>
      </c>
      <c r="K3" s="87">
        <v>45533</v>
      </c>
      <c r="L3" s="84">
        <v>45557</v>
      </c>
      <c r="M3" s="84">
        <v>45586</v>
      </c>
      <c r="N3" s="87">
        <v>45619</v>
      </c>
      <c r="O3" s="87">
        <v>45648</v>
      </c>
      <c r="P3" s="87">
        <v>45655</v>
      </c>
    </row>
    <row r="4" spans="2:22" x14ac:dyDescent="0.25">
      <c r="B4" s="126"/>
      <c r="C4" s="106"/>
      <c r="D4" s="85">
        <v>121.69</v>
      </c>
      <c r="E4" s="85">
        <v>161.66</v>
      </c>
      <c r="F4" s="85">
        <v>111.53</v>
      </c>
      <c r="G4" s="85">
        <v>87.88</v>
      </c>
      <c r="H4" s="85">
        <v>45.15</v>
      </c>
      <c r="I4" s="85">
        <v>30.47</v>
      </c>
      <c r="J4" s="85">
        <v>22.83</v>
      </c>
      <c r="K4" s="85">
        <v>23.55</v>
      </c>
      <c r="L4" s="85">
        <v>24.25</v>
      </c>
      <c r="M4" s="85">
        <v>25.45</v>
      </c>
      <c r="N4" s="85">
        <v>51.53</v>
      </c>
      <c r="O4" s="85">
        <v>117.07</v>
      </c>
      <c r="P4" s="85">
        <f>SUM(D4:O4)</f>
        <v>823.06</v>
      </c>
    </row>
    <row r="5" spans="2:22" x14ac:dyDescent="0.25">
      <c r="B5" s="126"/>
      <c r="C5" s="106" t="s">
        <v>10</v>
      </c>
      <c r="D5" s="84">
        <v>45320</v>
      </c>
      <c r="E5" s="84">
        <v>45349</v>
      </c>
      <c r="F5" s="84">
        <v>45379</v>
      </c>
      <c r="G5" s="84">
        <v>45413</v>
      </c>
      <c r="H5" s="84">
        <v>45442</v>
      </c>
      <c r="I5" s="84">
        <v>45467</v>
      </c>
      <c r="J5" s="87">
        <v>45500</v>
      </c>
      <c r="K5" s="87">
        <v>45533</v>
      </c>
      <c r="L5" s="84">
        <v>45562</v>
      </c>
      <c r="M5" s="84">
        <v>45590</v>
      </c>
      <c r="N5" s="84">
        <v>45624</v>
      </c>
      <c r="O5" s="84">
        <v>45652</v>
      </c>
      <c r="P5" s="87">
        <v>45655</v>
      </c>
    </row>
    <row r="6" spans="2:22" x14ac:dyDescent="0.25">
      <c r="B6" s="126"/>
      <c r="C6" s="106"/>
      <c r="D6" s="85">
        <v>95.31</v>
      </c>
      <c r="E6" s="85">
        <v>87.84</v>
      </c>
      <c r="F6" s="85">
        <v>69.069999999999993</v>
      </c>
      <c r="G6" s="85">
        <v>68.010000000000005</v>
      </c>
      <c r="H6" s="85">
        <v>26.27</v>
      </c>
      <c r="I6" s="85">
        <v>18.760000000000002</v>
      </c>
      <c r="J6" s="85">
        <v>18.72</v>
      </c>
      <c r="K6" s="85">
        <v>17.940000000000001</v>
      </c>
      <c r="L6" s="85">
        <v>18.53</v>
      </c>
      <c r="M6" s="85">
        <v>19.12</v>
      </c>
      <c r="N6" s="85">
        <v>26.8</v>
      </c>
      <c r="O6" s="85">
        <v>81.55</v>
      </c>
      <c r="P6" s="85">
        <f>SUM(D6:O6)</f>
        <v>547.92000000000007</v>
      </c>
    </row>
    <row r="7" spans="2:22" x14ac:dyDescent="0.25">
      <c r="B7" s="126"/>
      <c r="C7" s="106" t="s">
        <v>2</v>
      </c>
      <c r="D7" s="84">
        <v>45320</v>
      </c>
      <c r="E7" s="84">
        <v>45349</v>
      </c>
      <c r="F7" s="84">
        <v>45379</v>
      </c>
      <c r="G7" s="84">
        <v>45413</v>
      </c>
      <c r="H7" s="84">
        <v>45442</v>
      </c>
      <c r="I7" s="84">
        <v>45467</v>
      </c>
      <c r="J7" s="87">
        <v>45500</v>
      </c>
      <c r="K7" s="87">
        <v>45533</v>
      </c>
      <c r="L7" s="84">
        <v>45562</v>
      </c>
      <c r="M7" s="84">
        <v>45590</v>
      </c>
      <c r="N7" s="84">
        <v>45624</v>
      </c>
      <c r="O7" s="84">
        <v>45652</v>
      </c>
      <c r="P7" s="87">
        <v>45655</v>
      </c>
    </row>
    <row r="8" spans="2:22" x14ac:dyDescent="0.25">
      <c r="B8" s="126"/>
      <c r="C8" s="106"/>
      <c r="D8" s="91">
        <v>80.260000000000005</v>
      </c>
      <c r="E8" s="85">
        <v>88.32</v>
      </c>
      <c r="F8" s="85">
        <v>78.22</v>
      </c>
      <c r="G8" s="85">
        <v>78.17</v>
      </c>
      <c r="H8" s="85">
        <v>81.34</v>
      </c>
      <c r="I8" s="85">
        <v>129.02000000000001</v>
      </c>
      <c r="J8" s="85">
        <v>128.80000000000001</v>
      </c>
      <c r="K8" s="85">
        <v>172.73</v>
      </c>
      <c r="L8" s="85">
        <v>125.11</v>
      </c>
      <c r="M8" s="85">
        <v>92.46</v>
      </c>
      <c r="N8" s="85">
        <v>88.71</v>
      </c>
      <c r="O8" s="85">
        <v>102.85</v>
      </c>
      <c r="P8" s="85">
        <f>SUM(D8:O8)</f>
        <v>1245.9899999999998</v>
      </c>
      <c r="R8" t="s">
        <v>68</v>
      </c>
    </row>
    <row r="9" spans="2:22" x14ac:dyDescent="0.25">
      <c r="B9" s="126"/>
      <c r="C9" s="106" t="s">
        <v>11</v>
      </c>
      <c r="D9" s="84">
        <v>45320</v>
      </c>
      <c r="E9" s="84">
        <v>45349</v>
      </c>
      <c r="F9" s="84">
        <v>45379</v>
      </c>
      <c r="G9" s="84">
        <v>45413</v>
      </c>
      <c r="H9" s="84">
        <v>45442</v>
      </c>
      <c r="I9" s="84">
        <v>45467</v>
      </c>
      <c r="J9" s="87">
        <v>45500</v>
      </c>
      <c r="K9" s="87">
        <v>45529</v>
      </c>
      <c r="L9" s="84">
        <v>45562</v>
      </c>
      <c r="M9" s="84">
        <v>45590</v>
      </c>
      <c r="N9" s="84">
        <v>45624</v>
      </c>
      <c r="O9" s="84">
        <v>45642</v>
      </c>
      <c r="P9" s="87">
        <v>45655</v>
      </c>
    </row>
    <row r="10" spans="2:22" x14ac:dyDescent="0.25">
      <c r="B10" s="126"/>
      <c r="C10" s="106"/>
      <c r="D10" s="85">
        <v>48.47</v>
      </c>
      <c r="E10" s="85">
        <v>49.27</v>
      </c>
      <c r="F10" s="85">
        <v>48.4</v>
      </c>
      <c r="G10" s="85">
        <v>38.880000000000003</v>
      </c>
      <c r="H10" s="85">
        <v>36.58</v>
      </c>
      <c r="I10" s="85">
        <v>55.57</v>
      </c>
      <c r="J10" s="85">
        <v>0</v>
      </c>
      <c r="K10" s="85">
        <v>73.319999999999993</v>
      </c>
      <c r="L10" s="85">
        <v>62.88</v>
      </c>
      <c r="M10" s="85">
        <v>51.66</v>
      </c>
      <c r="N10" s="85">
        <v>35.47</v>
      </c>
      <c r="O10" s="85">
        <v>39.31</v>
      </c>
      <c r="P10" s="85">
        <f>SUM(D10:O10)</f>
        <v>539.80999999999995</v>
      </c>
      <c r="R10" t="s">
        <v>69</v>
      </c>
      <c r="S10">
        <v>5812</v>
      </c>
      <c r="U10" s="90" t="s">
        <v>71</v>
      </c>
      <c r="V10" s="90" t="s">
        <v>73</v>
      </c>
    </row>
    <row r="11" spans="2:22" x14ac:dyDescent="0.25">
      <c r="B11" s="126"/>
      <c r="C11" s="106" t="s">
        <v>7</v>
      </c>
      <c r="D11" s="84"/>
      <c r="E11" s="84"/>
      <c r="F11" s="84">
        <v>45352</v>
      </c>
      <c r="G11" s="84"/>
      <c r="H11" s="84">
        <v>45437</v>
      </c>
      <c r="I11" s="84"/>
      <c r="J11" s="84"/>
      <c r="K11" s="84">
        <v>45535</v>
      </c>
      <c r="L11" s="84"/>
      <c r="M11" s="84"/>
      <c r="N11" s="84">
        <v>45628</v>
      </c>
      <c r="O11" s="84"/>
      <c r="P11" s="87">
        <v>45655</v>
      </c>
      <c r="R11" t="s">
        <v>69</v>
      </c>
      <c r="S11">
        <v>4541</v>
      </c>
      <c r="U11" s="90" t="s">
        <v>72</v>
      </c>
      <c r="V11" t="s">
        <v>2</v>
      </c>
    </row>
    <row r="12" spans="2:22" x14ac:dyDescent="0.25">
      <c r="B12" s="126"/>
      <c r="C12" s="106"/>
      <c r="D12" s="85">
        <v>0</v>
      </c>
      <c r="E12" s="85">
        <v>0</v>
      </c>
      <c r="F12" s="85">
        <v>172.06</v>
      </c>
      <c r="G12" s="85">
        <v>0</v>
      </c>
      <c r="H12" s="85">
        <v>140.57</v>
      </c>
      <c r="I12" s="85">
        <v>0</v>
      </c>
      <c r="J12" s="85">
        <v>0</v>
      </c>
      <c r="K12" s="85">
        <v>175</v>
      </c>
      <c r="L12" s="85"/>
      <c r="M12" s="85">
        <v>0</v>
      </c>
      <c r="N12" s="85">
        <v>200.47</v>
      </c>
      <c r="O12" s="85"/>
      <c r="P12" s="85">
        <f>SUM(D12:O12)</f>
        <v>688.1</v>
      </c>
      <c r="R12" t="s">
        <v>70</v>
      </c>
      <c r="S12">
        <v>4785</v>
      </c>
      <c r="U12" t="s">
        <v>6</v>
      </c>
    </row>
    <row r="13" spans="2:22" x14ac:dyDescent="0.25">
      <c r="B13" s="126"/>
      <c r="C13" s="106" t="s">
        <v>8</v>
      </c>
      <c r="D13" s="84"/>
      <c r="E13" s="84"/>
      <c r="F13" s="84"/>
      <c r="G13" s="84"/>
      <c r="H13" s="84">
        <v>45434</v>
      </c>
      <c r="I13" s="92"/>
      <c r="J13" s="84"/>
      <c r="K13" s="84"/>
      <c r="L13" s="84"/>
      <c r="M13" s="84"/>
      <c r="N13" s="84"/>
      <c r="O13" s="88"/>
      <c r="P13" s="87">
        <v>45655</v>
      </c>
      <c r="V13" t="s">
        <v>58</v>
      </c>
    </row>
    <row r="14" spans="2:22" x14ac:dyDescent="0.25">
      <c r="B14" s="126"/>
      <c r="C14" s="106"/>
      <c r="D14" s="85">
        <v>0</v>
      </c>
      <c r="E14" s="85">
        <v>0</v>
      </c>
      <c r="F14" s="85"/>
      <c r="G14" s="85">
        <v>0</v>
      </c>
      <c r="H14" s="85">
        <v>181.5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9">
        <v>0</v>
      </c>
      <c r="P14" s="85">
        <f>SUM(D14:O14)</f>
        <v>181.5</v>
      </c>
      <c r="U14" s="47"/>
    </row>
    <row r="15" spans="2:22" x14ac:dyDescent="0.25">
      <c r="B15" s="126"/>
      <c r="C15" s="106" t="s">
        <v>3</v>
      </c>
      <c r="D15" s="84">
        <v>45311</v>
      </c>
      <c r="E15" s="84">
        <v>45349</v>
      </c>
      <c r="F15" s="84">
        <v>45372</v>
      </c>
      <c r="G15" s="84">
        <v>45413</v>
      </c>
      <c r="H15" s="84">
        <v>45432</v>
      </c>
      <c r="I15" s="84">
        <v>45463</v>
      </c>
      <c r="J15" s="87">
        <v>45493</v>
      </c>
      <c r="K15" s="87">
        <v>45524</v>
      </c>
      <c r="L15" s="84">
        <v>45556</v>
      </c>
      <c r="M15" s="84">
        <v>45585</v>
      </c>
      <c r="N15" s="84">
        <v>45616</v>
      </c>
      <c r="O15" s="84">
        <v>45646</v>
      </c>
      <c r="P15" s="87">
        <v>45655</v>
      </c>
      <c r="U15" s="47"/>
    </row>
    <row r="16" spans="2:22" x14ac:dyDescent="0.25">
      <c r="B16" s="126"/>
      <c r="C16" s="106"/>
      <c r="D16" s="85">
        <v>50.99</v>
      </c>
      <c r="E16" s="85">
        <v>50.99</v>
      </c>
      <c r="F16" s="85">
        <v>50.99</v>
      </c>
      <c r="G16" s="85">
        <v>50.99</v>
      </c>
      <c r="H16" s="85">
        <v>50.99</v>
      </c>
      <c r="I16" s="85">
        <v>50.99</v>
      </c>
      <c r="J16" s="85">
        <v>55.49</v>
      </c>
      <c r="K16" s="85">
        <v>55.49</v>
      </c>
      <c r="L16" s="85">
        <v>60.99</v>
      </c>
      <c r="M16" s="85">
        <v>55.49</v>
      </c>
      <c r="N16" s="85">
        <v>72.989999999999995</v>
      </c>
      <c r="O16" s="85">
        <v>47.55</v>
      </c>
      <c r="P16" s="85">
        <f>SUM(D16:O16)</f>
        <v>653.93999999999994</v>
      </c>
      <c r="U16" s="47"/>
    </row>
    <row r="17" spans="2:21" x14ac:dyDescent="0.25">
      <c r="B17" s="126"/>
      <c r="C17" s="106" t="s">
        <v>5</v>
      </c>
      <c r="D17" s="84">
        <v>45320</v>
      </c>
      <c r="E17" s="84">
        <v>45349</v>
      </c>
      <c r="F17" s="84">
        <v>45379</v>
      </c>
      <c r="G17" s="84">
        <v>45413</v>
      </c>
      <c r="H17" s="84">
        <v>45434</v>
      </c>
      <c r="I17" s="84">
        <v>45467</v>
      </c>
      <c r="J17" s="87">
        <v>45500</v>
      </c>
      <c r="K17" s="87">
        <v>45533</v>
      </c>
      <c r="L17" s="84">
        <v>45562</v>
      </c>
      <c r="M17" s="84">
        <v>45590</v>
      </c>
      <c r="N17" s="84">
        <v>45624</v>
      </c>
      <c r="O17" s="84">
        <v>45642</v>
      </c>
      <c r="P17" s="87">
        <v>45655</v>
      </c>
      <c r="U17" s="47"/>
    </row>
    <row r="18" spans="2:21" x14ac:dyDescent="0.25">
      <c r="B18" s="126"/>
      <c r="C18" s="106"/>
      <c r="D18" s="85">
        <v>10</v>
      </c>
      <c r="E18" s="85">
        <v>10</v>
      </c>
      <c r="F18" s="85">
        <v>10</v>
      </c>
      <c r="G18" s="85">
        <v>0</v>
      </c>
      <c r="H18" s="85">
        <v>0</v>
      </c>
      <c r="I18" s="85">
        <v>0</v>
      </c>
      <c r="J18" s="85">
        <v>2.86</v>
      </c>
      <c r="K18" s="85">
        <v>10</v>
      </c>
      <c r="L18" s="85">
        <v>9.9499999999999993</v>
      </c>
      <c r="M18" s="85">
        <v>10</v>
      </c>
      <c r="N18" s="85">
        <v>10</v>
      </c>
      <c r="O18" s="85">
        <v>10</v>
      </c>
      <c r="P18" s="85">
        <f>SUM(D18:O18)</f>
        <v>82.81</v>
      </c>
      <c r="U18" s="47"/>
    </row>
    <row r="19" spans="2:21" ht="15" customHeight="1" x14ac:dyDescent="0.25">
      <c r="B19" s="127"/>
      <c r="C19" s="42" t="s">
        <v>0</v>
      </c>
      <c r="D19" s="79">
        <f t="shared" ref="D19:P19" si="0">SUM(D4,D6,D8,D10,D12,D14,D16,D18)</f>
        <v>406.72</v>
      </c>
      <c r="E19" s="79">
        <f t="shared" si="0"/>
        <v>448.08</v>
      </c>
      <c r="F19" s="79">
        <f t="shared" si="0"/>
        <v>540.27</v>
      </c>
      <c r="G19" s="79">
        <f t="shared" si="0"/>
        <v>323.93</v>
      </c>
      <c r="H19" s="79">
        <f t="shared" si="0"/>
        <v>562.4</v>
      </c>
      <c r="I19" s="79">
        <f t="shared" si="0"/>
        <v>284.81</v>
      </c>
      <c r="J19" s="79">
        <f t="shared" si="0"/>
        <v>228.70000000000005</v>
      </c>
      <c r="K19" s="79">
        <f t="shared" si="0"/>
        <v>528.03</v>
      </c>
      <c r="L19" s="79">
        <f t="shared" si="0"/>
        <v>301.70999999999998</v>
      </c>
      <c r="M19" s="79">
        <f t="shared" si="0"/>
        <v>254.18</v>
      </c>
      <c r="N19" s="79">
        <f t="shared" si="0"/>
        <v>485.97</v>
      </c>
      <c r="O19" s="79">
        <f t="shared" si="0"/>
        <v>398.33000000000004</v>
      </c>
      <c r="P19" s="79">
        <f t="shared" si="0"/>
        <v>4763.13</v>
      </c>
      <c r="U19" s="47"/>
    </row>
    <row r="20" spans="2:21" x14ac:dyDescent="0.25">
      <c r="B20" s="118" t="s">
        <v>58</v>
      </c>
      <c r="C20" s="107" t="s">
        <v>59</v>
      </c>
      <c r="D20" s="84">
        <v>45318</v>
      </c>
      <c r="E20" s="84"/>
      <c r="F20" s="84"/>
      <c r="G20" s="84"/>
      <c r="H20" s="84"/>
      <c r="I20" s="90"/>
      <c r="J20" s="84"/>
      <c r="K20" s="84"/>
      <c r="L20" s="84"/>
      <c r="M20" s="84"/>
      <c r="N20" s="84"/>
      <c r="O20" s="84"/>
      <c r="P20" s="87"/>
      <c r="U20" s="47"/>
    </row>
    <row r="21" spans="2:21" x14ac:dyDescent="0.25">
      <c r="B21" s="119"/>
      <c r="C21" s="108"/>
      <c r="D21" s="85">
        <f>61+1316.23</f>
        <v>1377.23</v>
      </c>
      <c r="E21" s="85"/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f>SUM(D21:O21)</f>
        <v>1377.23</v>
      </c>
      <c r="U21" s="47"/>
    </row>
    <row r="22" spans="2:21" x14ac:dyDescent="0.25">
      <c r="B22" s="119"/>
      <c r="C22" s="107" t="s">
        <v>62</v>
      </c>
      <c r="D22" s="84"/>
      <c r="E22" s="84"/>
      <c r="F22" s="84"/>
      <c r="G22" s="84"/>
      <c r="H22" s="84"/>
      <c r="I22" s="84"/>
      <c r="J22" s="84">
        <v>45478</v>
      </c>
      <c r="K22" s="84"/>
      <c r="L22" s="84"/>
      <c r="M22" s="84"/>
      <c r="N22" s="84"/>
      <c r="O22" s="84">
        <v>45646</v>
      </c>
      <c r="P22" s="84"/>
      <c r="U22" s="46"/>
    </row>
    <row r="23" spans="2:21" ht="15" customHeight="1" x14ac:dyDescent="0.25">
      <c r="B23" s="119"/>
      <c r="C23" s="108"/>
      <c r="D23" s="85">
        <v>0</v>
      </c>
      <c r="E23" s="85"/>
      <c r="F23" s="85">
        <v>0</v>
      </c>
      <c r="G23" s="85">
        <v>0</v>
      </c>
      <c r="H23" s="85">
        <v>0</v>
      </c>
      <c r="I23" s="85"/>
      <c r="J23" s="85">
        <v>2621.25</v>
      </c>
      <c r="K23" s="85">
        <v>0</v>
      </c>
      <c r="L23" s="85">
        <v>0</v>
      </c>
      <c r="M23" s="85">
        <v>0</v>
      </c>
      <c r="N23" s="85">
        <v>0</v>
      </c>
      <c r="O23" s="85">
        <v>1807.49</v>
      </c>
      <c r="P23" s="85">
        <f>SUM(D23:O23)</f>
        <v>4428.74</v>
      </c>
      <c r="Q23" s="40"/>
    </row>
    <row r="24" spans="2:21" ht="15" customHeight="1" x14ac:dyDescent="0.25">
      <c r="B24" s="120"/>
      <c r="C24" s="39" t="s">
        <v>0</v>
      </c>
      <c r="D24" s="79">
        <f t="shared" ref="D24:P24" si="1">SUM(D21,D23)</f>
        <v>1377.23</v>
      </c>
      <c r="E24" s="79">
        <f t="shared" si="1"/>
        <v>0</v>
      </c>
      <c r="F24" s="79">
        <f t="shared" si="1"/>
        <v>0</v>
      </c>
      <c r="G24" s="79">
        <f t="shared" si="1"/>
        <v>0</v>
      </c>
      <c r="H24" s="79">
        <f t="shared" si="1"/>
        <v>0</v>
      </c>
      <c r="I24" s="79">
        <f t="shared" si="1"/>
        <v>0</v>
      </c>
      <c r="J24" s="79">
        <f t="shared" si="1"/>
        <v>2621.25</v>
      </c>
      <c r="K24" s="79">
        <f t="shared" si="1"/>
        <v>0</v>
      </c>
      <c r="L24" s="79">
        <f t="shared" si="1"/>
        <v>0</v>
      </c>
      <c r="M24" s="79">
        <f t="shared" si="1"/>
        <v>0</v>
      </c>
      <c r="N24" s="79">
        <f t="shared" si="1"/>
        <v>0</v>
      </c>
      <c r="O24" s="79">
        <f t="shared" si="1"/>
        <v>1807.49</v>
      </c>
      <c r="P24" s="79">
        <f t="shared" si="1"/>
        <v>5805.9699999999993</v>
      </c>
      <c r="Q24" s="41"/>
    </row>
    <row r="25" spans="2:21" x14ac:dyDescent="0.25">
      <c r="B25" s="121" t="s">
        <v>24</v>
      </c>
      <c r="C25" s="104" t="s">
        <v>32</v>
      </c>
      <c r="D25" s="84">
        <v>45320</v>
      </c>
      <c r="E25" s="84">
        <v>45349</v>
      </c>
      <c r="F25" s="84">
        <v>45379</v>
      </c>
      <c r="G25" s="84">
        <v>45413</v>
      </c>
      <c r="H25" s="84">
        <v>45442</v>
      </c>
      <c r="I25" s="84">
        <v>45475</v>
      </c>
      <c r="J25" s="87">
        <v>45500</v>
      </c>
      <c r="K25" s="87">
        <v>45533</v>
      </c>
      <c r="L25" s="84">
        <v>45567</v>
      </c>
      <c r="M25" s="84">
        <v>45590</v>
      </c>
      <c r="N25" s="84">
        <v>45629</v>
      </c>
      <c r="O25" s="84">
        <v>45657</v>
      </c>
      <c r="P25" s="87">
        <v>45655</v>
      </c>
      <c r="Q25" s="41"/>
      <c r="S25" s="34"/>
    </row>
    <row r="26" spans="2:21" x14ac:dyDescent="0.25">
      <c r="B26" s="122"/>
      <c r="C26" s="105"/>
      <c r="D26" s="85">
        <v>135.74</v>
      </c>
      <c r="E26" s="85">
        <f>303.92</f>
        <v>303.92</v>
      </c>
      <c r="F26" s="85">
        <v>327.07</v>
      </c>
      <c r="G26" s="85">
        <v>136.88999999999999</v>
      </c>
      <c r="H26" s="85">
        <v>158.11000000000001</v>
      </c>
      <c r="I26" s="85">
        <v>181.09</v>
      </c>
      <c r="J26" s="85">
        <v>0</v>
      </c>
      <c r="K26" s="85">
        <v>0</v>
      </c>
      <c r="L26" s="86">
        <v>9.3000000000000007</v>
      </c>
      <c r="M26" s="85">
        <v>0</v>
      </c>
      <c r="N26" s="85">
        <v>0</v>
      </c>
      <c r="O26" s="85">
        <v>463.65</v>
      </c>
      <c r="P26" s="85">
        <f>SUM(D26:O26)</f>
        <v>1715.77</v>
      </c>
      <c r="Q26" s="40"/>
    </row>
    <row r="27" spans="2:21" x14ac:dyDescent="0.25">
      <c r="B27" s="122"/>
      <c r="C27" s="104" t="s">
        <v>33</v>
      </c>
      <c r="D27" s="84">
        <v>45320</v>
      </c>
      <c r="E27" s="84">
        <v>45349</v>
      </c>
      <c r="F27" s="84">
        <v>45379</v>
      </c>
      <c r="G27" s="84">
        <v>45413</v>
      </c>
      <c r="H27" s="84">
        <v>45442</v>
      </c>
      <c r="I27" s="84">
        <v>45475</v>
      </c>
      <c r="J27" s="87">
        <v>45500</v>
      </c>
      <c r="K27" s="87">
        <v>45533</v>
      </c>
      <c r="L27" s="84">
        <v>45567</v>
      </c>
      <c r="M27" s="84">
        <v>45597</v>
      </c>
      <c r="N27" s="84">
        <v>45624</v>
      </c>
      <c r="O27" s="84">
        <v>45657</v>
      </c>
      <c r="P27" s="87">
        <v>45655</v>
      </c>
      <c r="Q27" s="41"/>
      <c r="R27" s="34"/>
    </row>
    <row r="28" spans="2:21" x14ac:dyDescent="0.25">
      <c r="B28" s="122"/>
      <c r="C28" s="105"/>
      <c r="D28" s="85">
        <v>6.56</v>
      </c>
      <c r="E28" s="85">
        <v>49.26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478.1</v>
      </c>
      <c r="P28" s="85">
        <f>SUM(D28:O28)</f>
        <v>533.92000000000007</v>
      </c>
      <c r="Q28" s="40"/>
    </row>
    <row r="29" spans="2:21" x14ac:dyDescent="0.25">
      <c r="B29" s="122"/>
      <c r="C29" s="104" t="s">
        <v>34</v>
      </c>
      <c r="D29" s="84">
        <v>45320</v>
      </c>
      <c r="E29" s="84">
        <v>45349</v>
      </c>
      <c r="F29" s="84">
        <v>45379</v>
      </c>
      <c r="G29" s="84">
        <v>45413</v>
      </c>
      <c r="H29" s="84">
        <v>45442</v>
      </c>
      <c r="I29" s="84">
        <v>45475</v>
      </c>
      <c r="J29" s="87">
        <v>45500</v>
      </c>
      <c r="K29" s="87">
        <v>45533</v>
      </c>
      <c r="L29" s="84">
        <v>45567</v>
      </c>
      <c r="M29" s="84">
        <v>45590</v>
      </c>
      <c r="N29" s="84">
        <v>45624</v>
      </c>
      <c r="O29" s="84">
        <v>45657</v>
      </c>
      <c r="P29" s="87">
        <v>45655</v>
      </c>
      <c r="Q29" s="41"/>
    </row>
    <row r="30" spans="2:21" x14ac:dyDescent="0.25">
      <c r="B30" s="122"/>
      <c r="C30" s="105"/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f>SUM(D30:O30)</f>
        <v>0</v>
      </c>
      <c r="Q30" s="40"/>
      <c r="T30" s="34"/>
    </row>
    <row r="31" spans="2:21" ht="15" customHeight="1" x14ac:dyDescent="0.25">
      <c r="B31" s="122"/>
      <c r="C31" s="104" t="s">
        <v>50</v>
      </c>
      <c r="D31" s="84">
        <v>45320</v>
      </c>
      <c r="E31" s="84">
        <v>45349</v>
      </c>
      <c r="F31" s="84">
        <v>45379</v>
      </c>
      <c r="G31" s="84">
        <v>45413</v>
      </c>
      <c r="H31" s="84">
        <v>45442</v>
      </c>
      <c r="I31" s="84">
        <v>45475</v>
      </c>
      <c r="J31" s="87">
        <v>45500</v>
      </c>
      <c r="K31" s="87">
        <v>45533</v>
      </c>
      <c r="L31" s="84">
        <v>45567</v>
      </c>
      <c r="M31" s="84">
        <v>45597</v>
      </c>
      <c r="N31" s="84">
        <v>45624</v>
      </c>
      <c r="O31" s="84">
        <v>45657</v>
      </c>
      <c r="P31" s="87">
        <v>45655</v>
      </c>
      <c r="Q31" s="41"/>
      <c r="T31" s="34"/>
    </row>
    <row r="32" spans="2:21" x14ac:dyDescent="0.25">
      <c r="B32" s="122"/>
      <c r="C32" s="105"/>
      <c r="D32" s="86">
        <v>0</v>
      </c>
      <c r="E32" s="86">
        <v>0</v>
      </c>
      <c r="F32" s="86">
        <v>0</v>
      </c>
      <c r="G32" s="86">
        <v>0</v>
      </c>
      <c r="H32" s="86">
        <v>0</v>
      </c>
      <c r="I32" s="86">
        <v>0</v>
      </c>
      <c r="J32" s="86">
        <f>232.27+412.82</f>
        <v>645.09</v>
      </c>
      <c r="K32" s="86">
        <v>0</v>
      </c>
      <c r="L32" s="86">
        <v>0</v>
      </c>
      <c r="M32" s="86">
        <v>0</v>
      </c>
      <c r="N32" s="86">
        <v>0</v>
      </c>
      <c r="O32" s="86">
        <v>0</v>
      </c>
      <c r="P32" s="86">
        <f>SUM(D32:O32)</f>
        <v>645.09</v>
      </c>
      <c r="Q32" s="40"/>
      <c r="T32" s="34"/>
    </row>
    <row r="33" spans="2:20" ht="15" customHeight="1" x14ac:dyDescent="0.25">
      <c r="B33" s="122"/>
      <c r="C33" s="104" t="s">
        <v>61</v>
      </c>
      <c r="D33" s="84">
        <v>45320</v>
      </c>
      <c r="E33" s="84">
        <v>45349</v>
      </c>
      <c r="F33" s="84">
        <v>45379</v>
      </c>
      <c r="G33" s="84">
        <v>45413</v>
      </c>
      <c r="H33" s="84">
        <v>45442</v>
      </c>
      <c r="I33" s="84">
        <v>45475</v>
      </c>
      <c r="J33" s="87">
        <v>45500</v>
      </c>
      <c r="K33" s="87">
        <v>45533</v>
      </c>
      <c r="L33" s="84">
        <v>45567</v>
      </c>
      <c r="M33" s="84">
        <v>45597</v>
      </c>
      <c r="N33" s="84">
        <v>45629</v>
      </c>
      <c r="O33" s="84">
        <v>45657</v>
      </c>
      <c r="P33" s="87">
        <v>45655</v>
      </c>
      <c r="Q33" s="41"/>
      <c r="T33" s="34"/>
    </row>
    <row r="34" spans="2:20" x14ac:dyDescent="0.25">
      <c r="B34" s="122"/>
      <c r="C34" s="105"/>
      <c r="D34" s="86">
        <v>0</v>
      </c>
      <c r="E34" s="86">
        <v>0</v>
      </c>
      <c r="F34" s="86">
        <v>0</v>
      </c>
      <c r="G34" s="86">
        <v>0</v>
      </c>
      <c r="H34" s="86">
        <v>0</v>
      </c>
      <c r="I34" s="86">
        <v>0</v>
      </c>
      <c r="J34" s="86">
        <v>0</v>
      </c>
      <c r="K34" s="86">
        <v>0</v>
      </c>
      <c r="L34" s="85">
        <v>0</v>
      </c>
      <c r="M34" s="86">
        <v>0</v>
      </c>
      <c r="N34" s="86">
        <v>0</v>
      </c>
      <c r="O34" s="86">
        <f>10-O18</f>
        <v>0</v>
      </c>
      <c r="P34" s="86">
        <f>SUM(D34:O34)</f>
        <v>0</v>
      </c>
      <c r="Q34" s="40"/>
      <c r="T34" s="34"/>
    </row>
    <row r="35" spans="2:20" x14ac:dyDescent="0.25">
      <c r="B35" s="122"/>
      <c r="C35" s="104" t="s">
        <v>44</v>
      </c>
      <c r="D35" s="84">
        <v>45320</v>
      </c>
      <c r="E35" s="84">
        <v>45349</v>
      </c>
      <c r="F35" s="84">
        <v>45379</v>
      </c>
      <c r="G35" s="84">
        <v>45413</v>
      </c>
      <c r="H35" s="84">
        <v>45442</v>
      </c>
      <c r="I35" s="84">
        <v>45475</v>
      </c>
      <c r="J35" s="87">
        <v>45500</v>
      </c>
      <c r="K35" s="87">
        <v>45533</v>
      </c>
      <c r="L35" s="84">
        <v>45567</v>
      </c>
      <c r="M35" s="84">
        <v>45597</v>
      </c>
      <c r="N35" s="84">
        <v>45627</v>
      </c>
      <c r="O35" s="84">
        <v>45657</v>
      </c>
      <c r="P35" s="87">
        <v>45655</v>
      </c>
      <c r="Q35" s="41"/>
      <c r="T35" s="34"/>
    </row>
    <row r="36" spans="2:20" x14ac:dyDescent="0.25">
      <c r="B36" s="122"/>
      <c r="C36" s="105"/>
      <c r="D36" s="85">
        <f>2929.58+229-D16-D67-D61-D8-D18-D21-D63-D69</f>
        <v>280.7199999999998</v>
      </c>
      <c r="E36" s="85">
        <f>905-E8-E16-E67-E21-E63-E18-E69+229</f>
        <v>329.95000000000005</v>
      </c>
      <c r="F36" s="85">
        <f>864.44-F16-F67-F63-F8-F18+229</f>
        <v>601.23</v>
      </c>
      <c r="G36" s="85">
        <f>2021.57-G16-G67-G63-G8-G18+229+988.92-G69</f>
        <v>287.98</v>
      </c>
      <c r="H36" s="85">
        <f>1658-H16-H67-H63-H8-H18-H14-H69+229</f>
        <v>677.17</v>
      </c>
      <c r="I36" s="85">
        <f>1540.83+760-I8-I18-I16-I67-I63-I69-I71</f>
        <v>597.93000000000029</v>
      </c>
      <c r="J36" s="85">
        <f>1129.79+438.21-J16-J67-J63-J8-J18-J69+270</f>
        <v>774.1</v>
      </c>
      <c r="K36" s="85">
        <f>961.28-K16-K71-K63+229</f>
        <v>549.04</v>
      </c>
      <c r="L36" s="85">
        <f>415.67-300</f>
        <v>115.67000000000002</v>
      </c>
      <c r="M36" s="85">
        <f>603-78-52.91-78-52-92.46</f>
        <v>249.63000000000005</v>
      </c>
      <c r="N36" s="85">
        <f>1511.73-N16-N67-N63-N71-N8-N69</f>
        <v>865.31</v>
      </c>
      <c r="O36" s="85">
        <f>1602.85-O67-O71-O69-O63-O8</f>
        <v>614.99999999999989</v>
      </c>
      <c r="P36" s="86">
        <f>SUM(D36:O36)</f>
        <v>5943.73</v>
      </c>
      <c r="Q36" s="40"/>
      <c r="T36" s="34"/>
    </row>
    <row r="37" spans="2:20" x14ac:dyDescent="0.25">
      <c r="B37" s="122"/>
      <c r="C37" s="104" t="s">
        <v>40</v>
      </c>
      <c r="D37" s="84">
        <v>45320</v>
      </c>
      <c r="E37" s="84">
        <v>45349</v>
      </c>
      <c r="F37" s="84">
        <v>45379</v>
      </c>
      <c r="G37" s="84">
        <v>45413</v>
      </c>
      <c r="H37" s="84">
        <v>45442</v>
      </c>
      <c r="I37" s="84">
        <v>45475</v>
      </c>
      <c r="J37" s="87">
        <v>45500</v>
      </c>
      <c r="K37" s="87">
        <v>45533</v>
      </c>
      <c r="L37" s="84">
        <v>45567</v>
      </c>
      <c r="M37" s="84">
        <v>45597</v>
      </c>
      <c r="N37" s="84">
        <v>45624</v>
      </c>
      <c r="O37" s="84">
        <v>45657</v>
      </c>
      <c r="P37" s="87">
        <v>45655</v>
      </c>
      <c r="Q37" s="41"/>
      <c r="T37" s="34"/>
    </row>
    <row r="38" spans="2:20" x14ac:dyDescent="0.25">
      <c r="B38" s="122"/>
      <c r="C38" s="105"/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6">
        <f>SUM(D38:O38)</f>
        <v>0</v>
      </c>
      <c r="Q38" s="40"/>
      <c r="T38" s="34"/>
    </row>
    <row r="39" spans="2:20" ht="15" customHeight="1" x14ac:dyDescent="0.25">
      <c r="B39" s="122"/>
      <c r="C39" s="104" t="s">
        <v>35</v>
      </c>
      <c r="D39" s="84">
        <v>45320</v>
      </c>
      <c r="E39" s="84">
        <v>45349</v>
      </c>
      <c r="F39" s="84">
        <v>45379</v>
      </c>
      <c r="G39" s="84">
        <v>45413</v>
      </c>
      <c r="H39" s="84">
        <v>45442</v>
      </c>
      <c r="I39" s="84">
        <v>45475</v>
      </c>
      <c r="J39" s="87">
        <v>45500</v>
      </c>
      <c r="K39" s="87">
        <v>45533</v>
      </c>
      <c r="L39" s="84">
        <v>45567</v>
      </c>
      <c r="M39" s="84">
        <v>45602</v>
      </c>
      <c r="N39" s="84">
        <v>45629</v>
      </c>
      <c r="O39" s="84">
        <v>45657</v>
      </c>
      <c r="P39" s="87">
        <v>45655</v>
      </c>
      <c r="Q39" s="41"/>
    </row>
    <row r="40" spans="2:20" x14ac:dyDescent="0.25">
      <c r="B40" s="122"/>
      <c r="C40" s="105"/>
      <c r="D40" s="85">
        <v>247.82</v>
      </c>
      <c r="E40" s="85">
        <v>476.17</v>
      </c>
      <c r="F40" s="85">
        <f>480.18+320.59-229</f>
        <v>571.77</v>
      </c>
      <c r="G40" s="85">
        <v>23.73</v>
      </c>
      <c r="H40" s="85">
        <v>82.44</v>
      </c>
      <c r="I40" s="85">
        <v>0</v>
      </c>
      <c r="J40" s="85">
        <v>0</v>
      </c>
      <c r="K40" s="85">
        <v>0</v>
      </c>
      <c r="L40" s="85">
        <v>0</v>
      </c>
      <c r="M40" s="85">
        <v>0</v>
      </c>
      <c r="N40" s="85">
        <v>0</v>
      </c>
      <c r="O40" s="85">
        <v>324.29000000000002</v>
      </c>
      <c r="P40" s="85">
        <f>SUM(D40:O40)</f>
        <v>1726.22</v>
      </c>
      <c r="Q40" s="40"/>
    </row>
    <row r="41" spans="2:20" x14ac:dyDescent="0.25">
      <c r="B41" s="122"/>
      <c r="C41" s="117" t="s">
        <v>36</v>
      </c>
      <c r="D41" s="84">
        <v>45320</v>
      </c>
      <c r="E41" s="84">
        <v>45349</v>
      </c>
      <c r="F41" s="84">
        <v>45379</v>
      </c>
      <c r="G41" s="84">
        <v>45413</v>
      </c>
      <c r="H41" s="84">
        <v>45442</v>
      </c>
      <c r="I41" s="84">
        <v>45475</v>
      </c>
      <c r="J41" s="87">
        <v>45500</v>
      </c>
      <c r="K41" s="87">
        <v>45533</v>
      </c>
      <c r="L41" s="84">
        <v>45567</v>
      </c>
      <c r="M41" s="84">
        <v>45597</v>
      </c>
      <c r="N41" s="84">
        <v>45624</v>
      </c>
      <c r="O41" s="84">
        <v>45657</v>
      </c>
      <c r="P41" s="87">
        <v>45655</v>
      </c>
      <c r="Q41" s="41"/>
    </row>
    <row r="42" spans="2:20" x14ac:dyDescent="0.25">
      <c r="B42" s="122"/>
      <c r="C42" s="117"/>
      <c r="D42" s="85">
        <v>48.24</v>
      </c>
      <c r="E42" s="85">
        <v>79.28</v>
      </c>
      <c r="F42" s="85">
        <v>0</v>
      </c>
      <c r="G42" s="85">
        <v>0</v>
      </c>
      <c r="H42" s="85">
        <v>0</v>
      </c>
      <c r="I42" s="85">
        <v>0</v>
      </c>
      <c r="J42" s="85">
        <v>0</v>
      </c>
      <c r="K42" s="85">
        <v>0</v>
      </c>
      <c r="L42" s="85">
        <v>0</v>
      </c>
      <c r="M42" s="85">
        <v>73.650000000000006</v>
      </c>
      <c r="N42" s="85">
        <v>336.05</v>
      </c>
      <c r="O42" s="85">
        <v>265.39</v>
      </c>
      <c r="P42" s="85">
        <f>SUM(D42:O42)</f>
        <v>802.61</v>
      </c>
      <c r="Q42" s="40"/>
    </row>
    <row r="43" spans="2:20" ht="15" customHeight="1" x14ac:dyDescent="0.25">
      <c r="B43" s="122"/>
      <c r="C43" s="124" t="s">
        <v>37</v>
      </c>
      <c r="D43" s="84">
        <v>45320</v>
      </c>
      <c r="E43" s="84">
        <v>45349</v>
      </c>
      <c r="F43" s="84">
        <v>45379</v>
      </c>
      <c r="G43" s="84">
        <v>45413</v>
      </c>
      <c r="H43" s="84">
        <v>45442</v>
      </c>
      <c r="I43" s="84">
        <v>45475</v>
      </c>
      <c r="J43" s="87">
        <v>45500</v>
      </c>
      <c r="K43" s="87">
        <v>45533</v>
      </c>
      <c r="L43" s="84">
        <v>45567</v>
      </c>
      <c r="M43" s="84">
        <v>45597</v>
      </c>
      <c r="N43" s="84">
        <v>45624</v>
      </c>
      <c r="O43" s="84">
        <v>45657</v>
      </c>
      <c r="P43" s="87">
        <v>45655</v>
      </c>
    </row>
    <row r="44" spans="2:20" x14ac:dyDescent="0.25">
      <c r="B44" s="122"/>
      <c r="C44" s="105"/>
      <c r="D44" s="85">
        <v>0</v>
      </c>
      <c r="E44" s="85">
        <v>0</v>
      </c>
      <c r="F44" s="85">
        <v>0</v>
      </c>
      <c r="G44" s="85">
        <v>125.13</v>
      </c>
      <c r="H44" s="85">
        <v>0</v>
      </c>
      <c r="I44" s="85">
        <v>0</v>
      </c>
      <c r="J44" s="85">
        <v>974.13</v>
      </c>
      <c r="K44" s="85">
        <v>0</v>
      </c>
      <c r="L44" s="85">
        <v>0</v>
      </c>
      <c r="M44" s="85">
        <v>0</v>
      </c>
      <c r="N44" s="85">
        <v>0</v>
      </c>
      <c r="O44" s="85">
        <v>0</v>
      </c>
      <c r="P44" s="85">
        <f>SUM(D44:O44)</f>
        <v>1099.26</v>
      </c>
      <c r="Q44" s="40"/>
    </row>
    <row r="45" spans="2:20" x14ac:dyDescent="0.25">
      <c r="B45" s="122"/>
      <c r="C45" s="104" t="s">
        <v>67</v>
      </c>
      <c r="D45" s="84">
        <v>45320</v>
      </c>
      <c r="E45" s="84">
        <v>45349</v>
      </c>
      <c r="F45" s="84">
        <v>45379</v>
      </c>
      <c r="G45" s="84">
        <v>45413</v>
      </c>
      <c r="H45" s="84">
        <v>45442</v>
      </c>
      <c r="I45" s="84">
        <v>45475</v>
      </c>
      <c r="J45" s="87">
        <v>45500</v>
      </c>
      <c r="K45" s="87">
        <v>45533</v>
      </c>
      <c r="L45" s="84">
        <v>45567</v>
      </c>
      <c r="M45" s="84">
        <v>45597</v>
      </c>
      <c r="N45" s="84">
        <v>45629</v>
      </c>
      <c r="O45" s="84">
        <v>45657</v>
      </c>
      <c r="P45" s="87">
        <v>45655</v>
      </c>
      <c r="Q45" s="34"/>
    </row>
    <row r="46" spans="2:20" x14ac:dyDescent="0.25">
      <c r="B46" s="122"/>
      <c r="C46" s="105"/>
      <c r="D46" s="86">
        <v>0</v>
      </c>
      <c r="E46" s="86">
        <v>0</v>
      </c>
      <c r="F46" s="86">
        <v>0</v>
      </c>
      <c r="G46" s="86">
        <v>0</v>
      </c>
      <c r="H46" s="86">
        <v>0</v>
      </c>
      <c r="I46" s="86">
        <v>0</v>
      </c>
      <c r="J46" s="86">
        <v>57.77</v>
      </c>
      <c r="K46" s="86">
        <v>0</v>
      </c>
      <c r="L46" s="86">
        <v>0</v>
      </c>
      <c r="M46" s="86">
        <v>0</v>
      </c>
      <c r="N46" s="86">
        <v>48.35</v>
      </c>
      <c r="O46" s="86">
        <v>0</v>
      </c>
      <c r="P46" s="85">
        <f>SUM(D46:O46)</f>
        <v>106.12</v>
      </c>
      <c r="Q46" s="34"/>
    </row>
    <row r="47" spans="2:20" x14ac:dyDescent="0.25">
      <c r="B47" s="122"/>
      <c r="C47" s="104" t="s">
        <v>60</v>
      </c>
      <c r="D47" s="84">
        <v>45320</v>
      </c>
      <c r="E47" s="84">
        <v>45349</v>
      </c>
      <c r="F47" s="84">
        <v>45379</v>
      </c>
      <c r="G47" s="84">
        <v>45413</v>
      </c>
      <c r="H47" s="84">
        <v>45442</v>
      </c>
      <c r="I47" s="84">
        <v>45475</v>
      </c>
      <c r="J47" s="87">
        <v>45500</v>
      </c>
      <c r="K47" s="84">
        <v>45533</v>
      </c>
      <c r="L47" s="84">
        <v>45567</v>
      </c>
      <c r="M47" s="84">
        <v>45590</v>
      </c>
      <c r="N47" s="84">
        <v>45624</v>
      </c>
      <c r="O47" s="84">
        <v>45657</v>
      </c>
      <c r="P47" s="87">
        <v>45655</v>
      </c>
    </row>
    <row r="48" spans="2:20" x14ac:dyDescent="0.25">
      <c r="B48" s="122"/>
      <c r="C48" s="105"/>
      <c r="D48" s="86">
        <f>704.18-678.08</f>
        <v>26.099999999999909</v>
      </c>
      <c r="E48" s="86">
        <v>145.27000000000001</v>
      </c>
      <c r="F48" s="86">
        <f>3483.16+44.21-F65</f>
        <v>44.210000000000036</v>
      </c>
      <c r="G48" s="85">
        <v>0</v>
      </c>
      <c r="H48" s="85">
        <v>0</v>
      </c>
      <c r="I48" s="85">
        <v>715.27</v>
      </c>
      <c r="J48" s="85">
        <f>848.43-728.43</f>
        <v>120</v>
      </c>
      <c r="K48" s="85">
        <v>210.01</v>
      </c>
      <c r="L48" s="85">
        <v>29.84</v>
      </c>
      <c r="M48" s="85">
        <v>0</v>
      </c>
      <c r="N48" s="85">
        <v>0</v>
      </c>
      <c r="O48" s="85">
        <v>192.76</v>
      </c>
      <c r="P48" s="85">
        <f>SUM(D48:O48)</f>
        <v>1483.4599999999998</v>
      </c>
      <c r="Q48" s="40"/>
    </row>
    <row r="49" spans="2:18" x14ac:dyDescent="0.25">
      <c r="B49" s="122"/>
      <c r="C49" s="104" t="s">
        <v>66</v>
      </c>
      <c r="D49" s="84">
        <v>45320</v>
      </c>
      <c r="E49" s="84">
        <v>45349</v>
      </c>
      <c r="F49" s="84">
        <v>45379</v>
      </c>
      <c r="G49" s="84">
        <v>45413</v>
      </c>
      <c r="H49" s="84">
        <v>45442</v>
      </c>
      <c r="I49" s="84">
        <v>45475</v>
      </c>
      <c r="J49" s="87">
        <v>45500</v>
      </c>
      <c r="K49" s="84">
        <v>45533</v>
      </c>
      <c r="L49" s="84">
        <v>45567</v>
      </c>
      <c r="M49" s="84">
        <v>45590</v>
      </c>
      <c r="N49" s="84">
        <v>45624</v>
      </c>
      <c r="O49" s="84">
        <v>45657</v>
      </c>
      <c r="P49" s="87">
        <v>45655</v>
      </c>
    </row>
    <row r="50" spans="2:18" x14ac:dyDescent="0.25">
      <c r="B50" s="122"/>
      <c r="C50" s="105"/>
      <c r="D50" s="86">
        <f>3302.91-(178.52+158.46+373.83+60.72*4+227.02+1603.72)</f>
        <v>518.47999999999956</v>
      </c>
      <c r="E50" s="86">
        <v>34.119999999999997</v>
      </c>
      <c r="F50" s="86">
        <v>0</v>
      </c>
      <c r="G50" s="85">
        <f>851.65-G65</f>
        <v>-43.790000000000077</v>
      </c>
      <c r="H50" s="85">
        <v>36.19</v>
      </c>
      <c r="I50" s="85">
        <v>146.47999999999999</v>
      </c>
      <c r="J50" s="85">
        <f>2096.95-2050.07</f>
        <v>46.879999999999654</v>
      </c>
      <c r="K50" s="85">
        <f>3478.91-K65</f>
        <v>15.909999999999854</v>
      </c>
      <c r="L50" s="85">
        <v>196.98</v>
      </c>
      <c r="M50" s="85">
        <v>99.78</v>
      </c>
      <c r="N50" s="85">
        <v>233.55</v>
      </c>
      <c r="O50" s="85">
        <f>1394.57-O65</f>
        <v>598.69999999999993</v>
      </c>
      <c r="P50" s="85">
        <f>SUM(D50:O50)</f>
        <v>1883.2799999999988</v>
      </c>
      <c r="Q50" s="40"/>
    </row>
    <row r="51" spans="2:18" x14ac:dyDescent="0.25">
      <c r="B51" s="122"/>
      <c r="C51" s="131" t="s">
        <v>75</v>
      </c>
      <c r="D51" s="84">
        <v>45320</v>
      </c>
      <c r="E51" s="84">
        <v>45349</v>
      </c>
      <c r="F51" s="84">
        <v>45379</v>
      </c>
      <c r="G51" s="84">
        <v>45413</v>
      </c>
      <c r="H51" s="84">
        <v>45442</v>
      </c>
      <c r="I51" s="84">
        <v>45475</v>
      </c>
      <c r="J51" s="87">
        <v>45500</v>
      </c>
      <c r="K51" s="84">
        <v>45533</v>
      </c>
      <c r="L51" s="84">
        <v>45567</v>
      </c>
      <c r="M51" s="84">
        <v>45590</v>
      </c>
      <c r="N51" s="84">
        <v>45624</v>
      </c>
      <c r="O51" s="84">
        <v>45657</v>
      </c>
      <c r="P51" s="87">
        <v>45655</v>
      </c>
      <c r="Q51" s="34"/>
    </row>
    <row r="52" spans="2:18" x14ac:dyDescent="0.25">
      <c r="B52" s="122"/>
      <c r="C52" s="132"/>
      <c r="D52" s="86">
        <v>0</v>
      </c>
      <c r="E52" s="86">
        <v>0</v>
      </c>
      <c r="F52" s="86">
        <v>0</v>
      </c>
      <c r="G52" s="85">
        <v>0</v>
      </c>
      <c r="H52" s="85">
        <v>0</v>
      </c>
      <c r="I52" s="85">
        <v>0</v>
      </c>
      <c r="J52" s="85">
        <v>0</v>
      </c>
      <c r="K52" s="85">
        <f>4933.33-229-K67</f>
        <v>116.42000000000007</v>
      </c>
      <c r="L52" s="85">
        <f>2100-L8-L16-L18-L63-78</f>
        <v>1488.95</v>
      </c>
      <c r="M52" s="85">
        <f>2032.26-M71-M16-78-78-M63</f>
        <v>134.76999999999998</v>
      </c>
      <c r="N52" s="85">
        <v>154.06</v>
      </c>
      <c r="O52" s="85">
        <v>0</v>
      </c>
      <c r="P52" s="85">
        <f>SUM(D52:O52)</f>
        <v>1894.2</v>
      </c>
      <c r="Q52" s="34"/>
    </row>
    <row r="53" spans="2:18" x14ac:dyDescent="0.25">
      <c r="B53" s="122"/>
      <c r="C53" s="104" t="s">
        <v>64</v>
      </c>
      <c r="D53" s="84">
        <v>45320</v>
      </c>
      <c r="E53" s="84">
        <v>45349</v>
      </c>
      <c r="F53" s="84">
        <v>45379</v>
      </c>
      <c r="G53" s="84">
        <v>45413</v>
      </c>
      <c r="H53" s="84">
        <v>45442</v>
      </c>
      <c r="I53" s="84">
        <v>45475</v>
      </c>
      <c r="J53" s="87">
        <v>45500</v>
      </c>
      <c r="K53" s="84">
        <v>45533</v>
      </c>
      <c r="L53" s="84">
        <v>45567</v>
      </c>
      <c r="M53" s="84">
        <v>45602</v>
      </c>
      <c r="N53" s="84">
        <v>45629</v>
      </c>
      <c r="O53" s="84">
        <v>45657</v>
      </c>
      <c r="P53" s="87">
        <v>45655</v>
      </c>
      <c r="Q53" s="34"/>
    </row>
    <row r="54" spans="2:18" x14ac:dyDescent="0.25">
      <c r="B54" s="122"/>
      <c r="C54" s="105"/>
      <c r="D54" s="86">
        <v>255.51</v>
      </c>
      <c r="E54" s="86">
        <v>0</v>
      </c>
      <c r="F54" s="86">
        <v>3.91</v>
      </c>
      <c r="G54" s="86">
        <v>230.33</v>
      </c>
      <c r="H54" s="86">
        <v>381.7</v>
      </c>
      <c r="I54" s="86">
        <v>545.54999999999995</v>
      </c>
      <c r="J54" s="86">
        <v>447.73</v>
      </c>
      <c r="K54" s="86">
        <v>445.07</v>
      </c>
      <c r="L54" s="86">
        <v>252.64</v>
      </c>
      <c r="M54" s="86">
        <v>486.01</v>
      </c>
      <c r="N54" s="86">
        <v>295.24</v>
      </c>
      <c r="O54" s="86">
        <v>326.45999999999998</v>
      </c>
      <c r="P54" s="85">
        <f>SUM(D54:O54)</f>
        <v>3670.1499999999996</v>
      </c>
      <c r="Q54" s="34"/>
    </row>
    <row r="55" spans="2:18" x14ac:dyDescent="0.25">
      <c r="B55" s="122"/>
      <c r="C55" s="104" t="s">
        <v>49</v>
      </c>
      <c r="D55" s="84">
        <v>45320</v>
      </c>
      <c r="E55" s="84">
        <v>45349</v>
      </c>
      <c r="F55" s="84">
        <v>45379</v>
      </c>
      <c r="G55" s="84">
        <v>45413</v>
      </c>
      <c r="H55" s="84">
        <v>45442</v>
      </c>
      <c r="I55" s="84">
        <v>45475</v>
      </c>
      <c r="J55" s="87">
        <v>45500</v>
      </c>
      <c r="K55" s="87">
        <v>45533</v>
      </c>
      <c r="L55" s="84">
        <v>45567</v>
      </c>
      <c r="M55" s="84">
        <v>45597</v>
      </c>
      <c r="N55" s="84">
        <v>45624</v>
      </c>
      <c r="O55" s="84">
        <v>45657</v>
      </c>
      <c r="P55" s="87">
        <v>45655</v>
      </c>
      <c r="Q55" s="34"/>
    </row>
    <row r="56" spans="2:18" x14ac:dyDescent="0.25">
      <c r="B56" s="122"/>
      <c r="C56" s="105"/>
      <c r="D56" s="85">
        <v>0</v>
      </c>
      <c r="E56" s="85">
        <v>0</v>
      </c>
      <c r="F56" s="85">
        <v>0</v>
      </c>
      <c r="G56" s="85">
        <v>12.17</v>
      </c>
      <c r="H56" s="85">
        <v>0</v>
      </c>
      <c r="I56" s="85">
        <v>0</v>
      </c>
      <c r="J56" s="85">
        <v>0</v>
      </c>
      <c r="K56" s="85">
        <v>0</v>
      </c>
      <c r="L56" s="85">
        <v>0</v>
      </c>
      <c r="M56" s="85">
        <v>26.74</v>
      </c>
      <c r="N56" s="85">
        <v>0</v>
      </c>
      <c r="O56" s="85">
        <v>64.56</v>
      </c>
      <c r="P56" s="85">
        <f>SUM(D56:O56)</f>
        <v>103.47</v>
      </c>
      <c r="Q56" s="34"/>
      <c r="R56" s="34"/>
    </row>
    <row r="57" spans="2:18" ht="15" customHeight="1" x14ac:dyDescent="0.25">
      <c r="B57" s="123"/>
      <c r="C57" s="37" t="s">
        <v>0</v>
      </c>
      <c r="D57" s="79">
        <f>SUM(D26,D28,D30,D32,D34,D36,D38,D40,D42,D44,D46,D48,D50,D52,D54,D56)</f>
        <v>1519.1699999999994</v>
      </c>
      <c r="E57" s="79">
        <f t="shared" ref="E57:P57" si="2">SUM(E26,E28,E30,E32,E34,E36,E38,E40,E42,E44,E46,E48,E50,E52,E54,E56)</f>
        <v>1417.97</v>
      </c>
      <c r="F57" s="79">
        <f t="shared" si="2"/>
        <v>1548.19</v>
      </c>
      <c r="G57" s="79">
        <f t="shared" si="2"/>
        <v>772.43999999999994</v>
      </c>
      <c r="H57" s="79">
        <f t="shared" si="2"/>
        <v>1335.6100000000001</v>
      </c>
      <c r="I57" s="79">
        <f t="shared" si="2"/>
        <v>2186.3200000000006</v>
      </c>
      <c r="J57" s="79">
        <f t="shared" si="2"/>
        <v>3065.7</v>
      </c>
      <c r="K57" s="79">
        <f t="shared" si="2"/>
        <v>1336.4499999999998</v>
      </c>
      <c r="L57" s="79">
        <f t="shared" si="2"/>
        <v>2093.38</v>
      </c>
      <c r="M57" s="79">
        <f t="shared" si="2"/>
        <v>1070.5800000000002</v>
      </c>
      <c r="N57" s="79">
        <f t="shared" si="2"/>
        <v>1932.5599999999997</v>
      </c>
      <c r="O57" s="79">
        <f t="shared" si="2"/>
        <v>3328.9099999999994</v>
      </c>
      <c r="P57" s="79">
        <f t="shared" si="2"/>
        <v>21607.279999999999</v>
      </c>
      <c r="Q57" s="34"/>
      <c r="R57" s="34"/>
    </row>
    <row r="58" spans="2:18" ht="15" customHeight="1" x14ac:dyDescent="0.25">
      <c r="B58" s="111" t="s">
        <v>25</v>
      </c>
      <c r="C58" s="103" t="s">
        <v>54</v>
      </c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>
        <v>45657</v>
      </c>
      <c r="P58" s="87">
        <v>45655</v>
      </c>
    </row>
    <row r="59" spans="2:18" x14ac:dyDescent="0.25">
      <c r="B59" s="112"/>
      <c r="C59" s="103"/>
      <c r="D59" s="85">
        <v>0</v>
      </c>
      <c r="E59" s="85">
        <v>0</v>
      </c>
      <c r="F59" s="85">
        <v>0</v>
      </c>
      <c r="G59" s="85">
        <v>0</v>
      </c>
      <c r="H59" s="85">
        <v>0</v>
      </c>
      <c r="I59" s="85">
        <v>0</v>
      </c>
      <c r="J59" s="85">
        <v>0</v>
      </c>
      <c r="K59" s="85">
        <v>0</v>
      </c>
      <c r="L59" s="85">
        <v>0</v>
      </c>
      <c r="M59" s="85">
        <v>0</v>
      </c>
      <c r="N59" s="85">
        <v>0</v>
      </c>
      <c r="O59" s="85">
        <v>700</v>
      </c>
      <c r="P59" s="85">
        <f>SUM(D59:O59)</f>
        <v>700</v>
      </c>
    </row>
    <row r="60" spans="2:18" x14ac:dyDescent="0.25">
      <c r="B60" s="112"/>
      <c r="C60" s="103" t="s">
        <v>45</v>
      </c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>
        <v>45657</v>
      </c>
      <c r="P60" s="87">
        <v>45655</v>
      </c>
    </row>
    <row r="61" spans="2:18" x14ac:dyDescent="0.25">
      <c r="B61" s="112"/>
      <c r="C61" s="103"/>
      <c r="D61" s="85">
        <v>0</v>
      </c>
      <c r="E61" s="85">
        <v>0</v>
      </c>
      <c r="F61" s="85">
        <v>0</v>
      </c>
      <c r="G61" s="85">
        <v>0</v>
      </c>
      <c r="H61" s="85">
        <v>0</v>
      </c>
      <c r="I61" s="85">
        <v>0</v>
      </c>
      <c r="J61" s="85">
        <v>0</v>
      </c>
      <c r="K61" s="85">
        <v>0</v>
      </c>
      <c r="L61" s="85">
        <v>0</v>
      </c>
      <c r="M61" s="85">
        <v>0</v>
      </c>
      <c r="N61" s="85">
        <v>0</v>
      </c>
      <c r="O61" s="85">
        <v>0</v>
      </c>
      <c r="P61" s="85">
        <f>SUM(D61:O61)</f>
        <v>0</v>
      </c>
    </row>
    <row r="62" spans="2:18" x14ac:dyDescent="0.25">
      <c r="B62" s="112"/>
      <c r="C62" s="109" t="s">
        <v>63</v>
      </c>
      <c r="D62" s="84">
        <v>45320</v>
      </c>
      <c r="E62" s="84">
        <v>45349</v>
      </c>
      <c r="F62" s="84">
        <v>45377</v>
      </c>
      <c r="G62" s="84">
        <v>45413</v>
      </c>
      <c r="H62" s="84">
        <v>45442</v>
      </c>
      <c r="I62" s="84">
        <v>45475</v>
      </c>
      <c r="J62" s="84">
        <v>45502</v>
      </c>
      <c r="K62" s="84">
        <v>45533</v>
      </c>
      <c r="L62" s="84">
        <v>45567</v>
      </c>
      <c r="M62" s="84">
        <v>45597</v>
      </c>
      <c r="N62" s="84">
        <v>45629</v>
      </c>
      <c r="O62" s="84">
        <v>45657</v>
      </c>
      <c r="P62" s="87">
        <v>45655</v>
      </c>
    </row>
    <row r="63" spans="2:18" x14ac:dyDescent="0.25">
      <c r="B63" s="112"/>
      <c r="C63" s="110"/>
      <c r="D63" s="85">
        <f>229+300+124</f>
        <v>653</v>
      </c>
      <c r="E63" s="85">
        <f>229+124</f>
        <v>353</v>
      </c>
      <c r="F63" s="85">
        <f>229+124</f>
        <v>353</v>
      </c>
      <c r="G63" s="85">
        <f>124+79+611.43+229+124+250+988.92</f>
        <v>2406.35</v>
      </c>
      <c r="H63" s="85">
        <f>229+124+153</f>
        <v>506</v>
      </c>
      <c r="I63" s="85">
        <f>124+24.99+24.99+229+124+6.29+1+5.29+654</f>
        <v>1193.56</v>
      </c>
      <c r="J63" s="85">
        <f>229+182.75</f>
        <v>411.75</v>
      </c>
      <c r="K63" s="85">
        <f>229+124+182.75+25+25</f>
        <v>585.75</v>
      </c>
      <c r="L63" s="85">
        <f>229+49+59</f>
        <v>337</v>
      </c>
      <c r="M63" s="85">
        <f>236</f>
        <v>236</v>
      </c>
      <c r="N63" s="85">
        <f>236</f>
        <v>236</v>
      </c>
      <c r="O63" s="85">
        <f>236+236+225+110</f>
        <v>807</v>
      </c>
      <c r="P63" s="85">
        <f>SUM(D63:O63)</f>
        <v>8078.41</v>
      </c>
    </row>
    <row r="64" spans="2:18" x14ac:dyDescent="0.25">
      <c r="B64" s="112"/>
      <c r="C64" s="109" t="s">
        <v>51</v>
      </c>
      <c r="D64" s="84">
        <v>45320</v>
      </c>
      <c r="E64" s="84">
        <v>45347</v>
      </c>
      <c r="F64" s="84">
        <v>45368</v>
      </c>
      <c r="G64" s="84">
        <v>45413</v>
      </c>
      <c r="H64" s="84">
        <v>45442</v>
      </c>
      <c r="I64" s="84">
        <v>45475</v>
      </c>
      <c r="J64" s="84">
        <v>45496</v>
      </c>
      <c r="K64" s="84">
        <v>45536</v>
      </c>
      <c r="L64" s="84">
        <v>45567</v>
      </c>
      <c r="M64" s="84"/>
      <c r="N64" s="84">
        <v>45629</v>
      </c>
      <c r="O64" s="84">
        <v>45657</v>
      </c>
      <c r="P64" s="87">
        <v>45655</v>
      </c>
    </row>
    <row r="65" spans="2:18" x14ac:dyDescent="0.25">
      <c r="B65" s="112"/>
      <c r="C65" s="110"/>
      <c r="D65" s="85">
        <f>678.08+178.52+158.46+373.83+60.72*4+227.02+1603.72</f>
        <v>3462.51</v>
      </c>
      <c r="E65" s="85">
        <v>0</v>
      </c>
      <c r="F65" s="85">
        <f>101.85+1625.43+269.17+381.88+1104.83</f>
        <v>3483.16</v>
      </c>
      <c r="G65" s="85">
        <f>895.44</f>
        <v>895.44</v>
      </c>
      <c r="H65" s="85">
        <v>0</v>
      </c>
      <c r="I65" s="85">
        <v>0</v>
      </c>
      <c r="J65" s="85">
        <f>728.43+2050.07</f>
        <v>2778.5</v>
      </c>
      <c r="K65" s="85">
        <v>3463</v>
      </c>
      <c r="L65" s="85">
        <v>0</v>
      </c>
      <c r="M65" s="85">
        <v>0</v>
      </c>
      <c r="N65" s="85">
        <v>0</v>
      </c>
      <c r="O65" s="85">
        <f>247.5+315.37+125+108</f>
        <v>795.87</v>
      </c>
      <c r="P65" s="85">
        <f>SUM(D65:O65)</f>
        <v>14878.480000000001</v>
      </c>
    </row>
    <row r="66" spans="2:18" x14ac:dyDescent="0.25">
      <c r="B66" s="112"/>
      <c r="C66" s="109" t="s">
        <v>47</v>
      </c>
      <c r="D66" s="84">
        <v>45320</v>
      </c>
      <c r="E66" s="84">
        <v>45349</v>
      </c>
      <c r="F66" s="84">
        <v>45355</v>
      </c>
      <c r="G66" s="84"/>
      <c r="H66" s="84"/>
      <c r="I66" s="84">
        <v>45475</v>
      </c>
      <c r="J66" s="93">
        <v>45500</v>
      </c>
      <c r="K66" s="87">
        <v>45533</v>
      </c>
      <c r="L66" s="84">
        <v>45561</v>
      </c>
      <c r="M66" s="84">
        <v>45590</v>
      </c>
      <c r="N66" s="84">
        <v>45625</v>
      </c>
      <c r="O66" s="84">
        <v>45657</v>
      </c>
      <c r="P66" s="87">
        <v>45655</v>
      </c>
    </row>
    <row r="67" spans="2:18" x14ac:dyDescent="0.25">
      <c r="B67" s="112"/>
      <c r="C67" s="110"/>
      <c r="D67" s="85">
        <f>44.11+35.08+341.19</f>
        <v>420.38</v>
      </c>
      <c r="E67" s="85">
        <v>41.74</v>
      </c>
      <c r="F67" s="85">
        <v>0</v>
      </c>
      <c r="G67" s="85">
        <v>0</v>
      </c>
      <c r="H67" s="85">
        <v>0</v>
      </c>
      <c r="I67" s="85">
        <f>32+179.33</f>
        <v>211.33</v>
      </c>
      <c r="J67" s="85">
        <v>120</v>
      </c>
      <c r="K67" s="85">
        <f>4418.38+169.53</f>
        <v>4587.91</v>
      </c>
      <c r="L67" s="85">
        <v>0</v>
      </c>
      <c r="M67" s="85">
        <v>52.91</v>
      </c>
      <c r="N67" s="85">
        <f>14.72</f>
        <v>14.72</v>
      </c>
      <c r="O67" s="85">
        <v>0</v>
      </c>
      <c r="P67" s="85">
        <f>SUM(D67:O67)</f>
        <v>5448.99</v>
      </c>
    </row>
    <row r="68" spans="2:18" x14ac:dyDescent="0.25">
      <c r="B68" s="112"/>
      <c r="C68" s="109" t="s">
        <v>30</v>
      </c>
      <c r="D68" s="84">
        <v>45314</v>
      </c>
      <c r="E68" s="84">
        <v>45349</v>
      </c>
      <c r="F68" s="84">
        <v>45384</v>
      </c>
      <c r="G68" s="84">
        <v>45410</v>
      </c>
      <c r="H68" s="84">
        <v>45437</v>
      </c>
      <c r="I68" s="84">
        <v>45477</v>
      </c>
      <c r="J68" s="93">
        <v>45490</v>
      </c>
      <c r="K68" s="87">
        <v>45533</v>
      </c>
      <c r="L68" s="84">
        <v>45561</v>
      </c>
      <c r="M68" s="84">
        <v>45590</v>
      </c>
      <c r="N68" s="84">
        <v>45625</v>
      </c>
      <c r="O68" s="84">
        <v>45651</v>
      </c>
      <c r="P68" s="87">
        <v>45655</v>
      </c>
    </row>
    <row r="69" spans="2:18" x14ac:dyDescent="0.25">
      <c r="B69" s="112"/>
      <c r="C69" s="110"/>
      <c r="D69" s="85">
        <f>78+65+91+52</f>
        <v>286</v>
      </c>
      <c r="E69" s="85">
        <f>39+78+78+65</f>
        <v>260</v>
      </c>
      <c r="F69" s="85">
        <f>52+104+104+91</f>
        <v>351</v>
      </c>
      <c r="G69" s="85">
        <f>104*4</f>
        <v>416</v>
      </c>
      <c r="H69" s="85">
        <f>78+104+104+104</f>
        <v>390</v>
      </c>
      <c r="I69" s="85">
        <f>78+40</f>
        <v>118</v>
      </c>
      <c r="J69" s="85">
        <f>75+270</f>
        <v>345</v>
      </c>
      <c r="K69" s="85">
        <f>515.5+309.3+120+167.3</f>
        <v>1112.0999999999999</v>
      </c>
      <c r="L69" s="85">
        <f>78+40+104+78+78</f>
        <v>378</v>
      </c>
      <c r="M69" s="85">
        <f>78+52+78+78+78</f>
        <v>364</v>
      </c>
      <c r="N69" s="85">
        <f>78+78+78</f>
        <v>234</v>
      </c>
      <c r="O69" s="85">
        <f>78</f>
        <v>78</v>
      </c>
      <c r="P69" s="85">
        <f>SUM(D69:O69)</f>
        <v>4332.1000000000004</v>
      </c>
    </row>
    <row r="70" spans="2:18" x14ac:dyDescent="0.25">
      <c r="B70" s="112"/>
      <c r="C70" s="109" t="s">
        <v>41</v>
      </c>
      <c r="D70" s="84"/>
      <c r="E70" s="84"/>
      <c r="F70" s="84">
        <v>45372</v>
      </c>
      <c r="G70" s="84">
        <v>45410</v>
      </c>
      <c r="H70" s="84"/>
      <c r="I70" s="84"/>
      <c r="J70" s="93"/>
      <c r="K70" s="84"/>
      <c r="L70" s="84"/>
      <c r="M70" s="84">
        <v>45591</v>
      </c>
      <c r="N70" s="84">
        <v>45625</v>
      </c>
      <c r="O70" s="84">
        <v>45657</v>
      </c>
      <c r="P70" s="87">
        <v>45655</v>
      </c>
    </row>
    <row r="71" spans="2:18" x14ac:dyDescent="0.25">
      <c r="B71" s="112"/>
      <c r="C71" s="110"/>
      <c r="D71" s="85">
        <v>0</v>
      </c>
      <c r="E71" s="85">
        <v>0</v>
      </c>
      <c r="F71" s="85">
        <f>9600+7000</f>
        <v>16600</v>
      </c>
      <c r="G71" s="85">
        <v>8600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85">
        <v>1450</v>
      </c>
      <c r="N71" s="85">
        <v>0</v>
      </c>
      <c r="O71" s="85">
        <v>0</v>
      </c>
      <c r="P71" s="85">
        <f>SUM(D71:O71)</f>
        <v>26650</v>
      </c>
      <c r="Q71" s="34"/>
      <c r="R71" s="45"/>
    </row>
    <row r="72" spans="2:18" x14ac:dyDescent="0.25">
      <c r="B72" s="113"/>
      <c r="C72" s="38" t="s">
        <v>0</v>
      </c>
      <c r="D72" s="79">
        <f t="shared" ref="D72:P72" si="3">SUM(D59,D61,D63,D65,D67,D69,D71)</f>
        <v>4821.8900000000003</v>
      </c>
      <c r="E72" s="79">
        <f t="shared" si="3"/>
        <v>654.74</v>
      </c>
      <c r="F72" s="79">
        <f t="shared" si="3"/>
        <v>20787.16</v>
      </c>
      <c r="G72" s="79">
        <f t="shared" si="3"/>
        <v>12317.79</v>
      </c>
      <c r="H72" s="79">
        <f t="shared" si="3"/>
        <v>896</v>
      </c>
      <c r="I72" s="79">
        <f t="shared" si="3"/>
        <v>1522.8899999999999</v>
      </c>
      <c r="J72" s="79">
        <f t="shared" si="3"/>
        <v>3655.25</v>
      </c>
      <c r="K72" s="79">
        <f>SUM(K59,K61,K63,K65,K67,K69,K71)</f>
        <v>9748.76</v>
      </c>
      <c r="L72" s="79">
        <f t="shared" si="3"/>
        <v>715</v>
      </c>
      <c r="M72" s="79">
        <f t="shared" si="3"/>
        <v>2102.91</v>
      </c>
      <c r="N72" s="79">
        <f t="shared" si="3"/>
        <v>484.72</v>
      </c>
      <c r="O72" s="79">
        <f t="shared" si="3"/>
        <v>2380.87</v>
      </c>
      <c r="P72" s="79">
        <f t="shared" si="3"/>
        <v>60087.979999999996</v>
      </c>
    </row>
    <row r="73" spans="2:18" ht="15" customHeight="1" x14ac:dyDescent="0.25">
      <c r="B73" s="128" t="s">
        <v>65</v>
      </c>
      <c r="C73" s="129"/>
      <c r="D73" s="79">
        <f t="shared" ref="D73:P73" si="4">SUM(D19,D24,D57,D72)</f>
        <v>8125.01</v>
      </c>
      <c r="E73" s="79">
        <f t="shared" si="4"/>
        <v>2520.79</v>
      </c>
      <c r="F73" s="79">
        <f t="shared" si="4"/>
        <v>22875.62</v>
      </c>
      <c r="G73" s="79">
        <f t="shared" si="4"/>
        <v>13414.16</v>
      </c>
      <c r="H73" s="79">
        <f t="shared" si="4"/>
        <v>2794.01</v>
      </c>
      <c r="I73" s="79">
        <f t="shared" si="4"/>
        <v>3994.0200000000004</v>
      </c>
      <c r="J73" s="79">
        <f t="shared" si="4"/>
        <v>9570.9</v>
      </c>
      <c r="K73" s="79">
        <f t="shared" si="4"/>
        <v>11613.24</v>
      </c>
      <c r="L73" s="79">
        <f t="shared" si="4"/>
        <v>3110.09</v>
      </c>
      <c r="M73" s="79">
        <f t="shared" si="4"/>
        <v>3427.67</v>
      </c>
      <c r="N73" s="79">
        <f t="shared" si="4"/>
        <v>2903.25</v>
      </c>
      <c r="O73" s="79">
        <f t="shared" si="4"/>
        <v>7915.5999999999995</v>
      </c>
      <c r="P73" s="79">
        <f t="shared" si="4"/>
        <v>92264.359999999986</v>
      </c>
    </row>
    <row r="74" spans="2:18" x14ac:dyDescent="0.25">
      <c r="B74" s="130" t="s">
        <v>57</v>
      </c>
      <c r="C74" s="130"/>
      <c r="D74" s="81">
        <f t="shared" ref="D74:O74" si="5">D73-D21</f>
        <v>6747.7800000000007</v>
      </c>
      <c r="E74" s="81">
        <f t="shared" si="5"/>
        <v>2520.79</v>
      </c>
      <c r="F74" s="81">
        <f t="shared" si="5"/>
        <v>22875.62</v>
      </c>
      <c r="G74" s="81">
        <f t="shared" si="5"/>
        <v>13414.16</v>
      </c>
      <c r="H74" s="81">
        <f t="shared" si="5"/>
        <v>2794.01</v>
      </c>
      <c r="I74" s="81">
        <f t="shared" si="5"/>
        <v>3994.0200000000004</v>
      </c>
      <c r="J74" s="81">
        <f t="shared" si="5"/>
        <v>9570.9</v>
      </c>
      <c r="K74" s="81">
        <f t="shared" si="5"/>
        <v>11613.24</v>
      </c>
      <c r="L74" s="81">
        <f t="shared" si="5"/>
        <v>3110.09</v>
      </c>
      <c r="M74" s="81">
        <f t="shared" si="5"/>
        <v>3427.67</v>
      </c>
      <c r="N74" s="81">
        <f t="shared" si="5"/>
        <v>2903.25</v>
      </c>
      <c r="O74" s="81">
        <f t="shared" si="5"/>
        <v>7915.5999999999995</v>
      </c>
      <c r="P74" s="79">
        <f>SUM(D74:O74)</f>
        <v>90887.13</v>
      </c>
    </row>
    <row r="75" spans="2:18" x14ac:dyDescent="0.25">
      <c r="P75" s="34"/>
    </row>
    <row r="76" spans="2:18" x14ac:dyDescent="0.25">
      <c r="I76" s="34"/>
    </row>
  </sheetData>
  <mergeCells count="39">
    <mergeCell ref="B3:B19"/>
    <mergeCell ref="C3:C4"/>
    <mergeCell ref="C5:C6"/>
    <mergeCell ref="C7:C8"/>
    <mergeCell ref="C9:C10"/>
    <mergeCell ref="C11:C12"/>
    <mergeCell ref="C13:C14"/>
    <mergeCell ref="C15:C16"/>
    <mergeCell ref="C17:C18"/>
    <mergeCell ref="C47:C48"/>
    <mergeCell ref="B20:B24"/>
    <mergeCell ref="C20:C21"/>
    <mergeCell ref="C22:C23"/>
    <mergeCell ref="B25:B57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70:C71"/>
    <mergeCell ref="B73:C73"/>
    <mergeCell ref="B74:C74"/>
    <mergeCell ref="C49:C50"/>
    <mergeCell ref="C53:C54"/>
    <mergeCell ref="C55:C56"/>
    <mergeCell ref="B58:B72"/>
    <mergeCell ref="C58:C59"/>
    <mergeCell ref="C60:C61"/>
    <mergeCell ref="C62:C63"/>
    <mergeCell ref="C64:C65"/>
    <mergeCell ref="C66:C67"/>
    <mergeCell ref="C68:C69"/>
    <mergeCell ref="C51:C5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7F5B-5506-4C5C-9657-2EBDD85FAE63}">
  <dimension ref="B2:V74"/>
  <sheetViews>
    <sheetView tabSelected="1" topLeftCell="A10" zoomScaleNormal="100" workbookViewId="0">
      <pane xSplit="3" topLeftCell="D1" activePane="topRight" state="frozen"/>
      <selection activeCell="A40" sqref="A40"/>
      <selection pane="topRight" activeCell="P71" sqref="P71"/>
    </sheetView>
  </sheetViews>
  <sheetFormatPr defaultRowHeight="15" x14ac:dyDescent="0.25"/>
  <cols>
    <col min="3" max="3" width="18.7109375" bestFit="1" customWidth="1"/>
    <col min="4" max="4" width="9.85546875" bestFit="1" customWidth="1"/>
    <col min="5" max="5" width="10.28515625" bestFit="1" customWidth="1"/>
    <col min="6" max="6" width="10.85546875" bestFit="1" customWidth="1"/>
    <col min="7" max="7" width="10.140625" bestFit="1" customWidth="1"/>
    <col min="8" max="9" width="10.85546875" bestFit="1" customWidth="1"/>
    <col min="10" max="10" width="10.140625" bestFit="1" customWidth="1"/>
    <col min="11" max="11" width="10.28515625" bestFit="1" customWidth="1"/>
    <col min="12" max="12" width="10.140625" bestFit="1" customWidth="1"/>
    <col min="13" max="13" width="10.7109375" bestFit="1" customWidth="1"/>
    <col min="14" max="16" width="11.140625" bestFit="1" customWidth="1"/>
    <col min="17" max="17" width="10.140625" bestFit="1" customWidth="1"/>
    <col min="18" max="18" width="12" bestFit="1" customWidth="1"/>
    <col min="21" max="21" width="13.42578125" bestFit="1" customWidth="1"/>
    <col min="22" max="22" width="20.140625" bestFit="1" customWidth="1"/>
    <col min="23" max="23" width="15" bestFit="1" customWidth="1"/>
  </cols>
  <sheetData>
    <row r="2" spans="2:22" x14ac:dyDescent="0.25">
      <c r="C2" s="1"/>
      <c r="D2" s="13">
        <v>45658</v>
      </c>
      <c r="E2" s="13">
        <v>45689</v>
      </c>
      <c r="F2" s="13">
        <v>45717</v>
      </c>
      <c r="G2" s="13">
        <v>45748</v>
      </c>
      <c r="H2" s="13">
        <v>45778</v>
      </c>
      <c r="I2" s="13">
        <v>45809</v>
      </c>
      <c r="J2" s="13">
        <v>45839</v>
      </c>
      <c r="K2" s="13">
        <v>45870</v>
      </c>
      <c r="L2" s="13">
        <v>45901</v>
      </c>
      <c r="M2" s="13">
        <v>45931</v>
      </c>
      <c r="N2" s="13">
        <v>45962</v>
      </c>
      <c r="O2" s="13">
        <v>45992</v>
      </c>
      <c r="P2" s="13" t="s">
        <v>0</v>
      </c>
      <c r="R2" s="34"/>
    </row>
    <row r="3" spans="2:22" ht="15" customHeight="1" x14ac:dyDescent="0.25">
      <c r="B3" s="125" t="s">
        <v>26</v>
      </c>
      <c r="C3" s="106" t="s">
        <v>1</v>
      </c>
      <c r="D3" s="84">
        <v>45679</v>
      </c>
      <c r="E3" s="84">
        <v>45707</v>
      </c>
      <c r="F3" s="84">
        <v>45736</v>
      </c>
      <c r="G3" s="84">
        <v>45768</v>
      </c>
      <c r="H3" s="84">
        <v>45796</v>
      </c>
      <c r="I3" s="84">
        <v>45829</v>
      </c>
      <c r="J3" s="87">
        <v>45865</v>
      </c>
      <c r="K3" s="68">
        <v>45898</v>
      </c>
      <c r="L3" s="67">
        <v>45922</v>
      </c>
      <c r="M3" s="67">
        <v>45951</v>
      </c>
      <c r="N3" s="68">
        <v>45984</v>
      </c>
      <c r="O3" s="68">
        <v>46013</v>
      </c>
      <c r="P3" s="68">
        <v>46020</v>
      </c>
    </row>
    <row r="4" spans="2:22" x14ac:dyDescent="0.25">
      <c r="B4" s="126"/>
      <c r="C4" s="106"/>
      <c r="D4" s="85">
        <v>142.66</v>
      </c>
      <c r="E4" s="85">
        <v>184.43</v>
      </c>
      <c r="F4" s="85">
        <v>127.37</v>
      </c>
      <c r="G4" s="85">
        <v>103.73</v>
      </c>
      <c r="H4" s="85">
        <v>57.93</v>
      </c>
      <c r="I4" s="85">
        <v>35.39</v>
      </c>
      <c r="J4" s="85">
        <v>27.64</v>
      </c>
      <c r="K4" s="69">
        <v>23.55</v>
      </c>
      <c r="L4" s="69">
        <v>24.25</v>
      </c>
      <c r="M4" s="69">
        <v>25.45</v>
      </c>
      <c r="N4" s="69">
        <v>51.53</v>
      </c>
      <c r="O4" s="69">
        <v>117.07</v>
      </c>
      <c r="P4" s="69">
        <f>SUM(D4:O4)</f>
        <v>921</v>
      </c>
    </row>
    <row r="5" spans="2:22" x14ac:dyDescent="0.25">
      <c r="B5" s="126"/>
      <c r="C5" s="106" t="s">
        <v>10</v>
      </c>
      <c r="D5" s="84">
        <v>45686</v>
      </c>
      <c r="E5" s="84">
        <v>45715</v>
      </c>
      <c r="F5" s="84">
        <v>45744</v>
      </c>
      <c r="G5" s="84">
        <v>45778</v>
      </c>
      <c r="H5" s="84">
        <v>45807</v>
      </c>
      <c r="I5" s="84">
        <v>45832</v>
      </c>
      <c r="J5" s="87">
        <v>45865</v>
      </c>
      <c r="K5" s="68">
        <v>45898</v>
      </c>
      <c r="L5" s="67">
        <v>45927</v>
      </c>
      <c r="M5" s="67">
        <v>45955</v>
      </c>
      <c r="N5" s="67">
        <v>45989</v>
      </c>
      <c r="O5" s="67">
        <v>46017</v>
      </c>
      <c r="P5" s="68">
        <v>46020</v>
      </c>
    </row>
    <row r="6" spans="2:22" x14ac:dyDescent="0.25">
      <c r="B6" s="126"/>
      <c r="C6" s="106"/>
      <c r="D6" s="85">
        <v>111.3</v>
      </c>
      <c r="E6" s="85">
        <v>106.71</v>
      </c>
      <c r="F6" s="85">
        <v>74.84</v>
      </c>
      <c r="G6" s="85">
        <v>48.1</v>
      </c>
      <c r="H6" s="85">
        <v>37.020000000000003</v>
      </c>
      <c r="I6" s="85">
        <v>20.12</v>
      </c>
      <c r="J6" s="85">
        <v>20.059999999999999</v>
      </c>
      <c r="K6" s="69">
        <v>17.940000000000001</v>
      </c>
      <c r="L6" s="69">
        <v>18.53</v>
      </c>
      <c r="M6" s="69">
        <v>19.12</v>
      </c>
      <c r="N6" s="69">
        <v>26.8</v>
      </c>
      <c r="O6" s="69">
        <v>81.55</v>
      </c>
      <c r="P6" s="69">
        <f>SUM(D6:O6)</f>
        <v>582.09</v>
      </c>
    </row>
    <row r="7" spans="2:22" x14ac:dyDescent="0.25">
      <c r="B7" s="126"/>
      <c r="C7" s="106" t="s">
        <v>2</v>
      </c>
      <c r="D7" s="84">
        <v>45686</v>
      </c>
      <c r="E7" s="84">
        <v>45715</v>
      </c>
      <c r="F7" s="84">
        <v>45744</v>
      </c>
      <c r="G7" s="84">
        <v>45778</v>
      </c>
      <c r="H7" s="84">
        <v>45807</v>
      </c>
      <c r="I7" s="84">
        <v>45832</v>
      </c>
      <c r="J7" s="87">
        <v>45865</v>
      </c>
      <c r="K7" s="68">
        <v>45898</v>
      </c>
      <c r="L7" s="67">
        <v>45927</v>
      </c>
      <c r="M7" s="67">
        <v>45955</v>
      </c>
      <c r="N7" s="67">
        <v>45989</v>
      </c>
      <c r="O7" s="67">
        <v>46017</v>
      </c>
      <c r="P7" s="68">
        <v>46020</v>
      </c>
    </row>
    <row r="8" spans="2:22" x14ac:dyDescent="0.25">
      <c r="B8" s="126"/>
      <c r="C8" s="106"/>
      <c r="D8" s="91">
        <v>101.21</v>
      </c>
      <c r="E8" s="85">
        <v>133.51</v>
      </c>
      <c r="F8" s="85">
        <v>96.87</v>
      </c>
      <c r="G8" s="85">
        <v>92.69</v>
      </c>
      <c r="H8" s="85">
        <v>75.260000000000005</v>
      </c>
      <c r="I8" s="85">
        <v>99.87</v>
      </c>
      <c r="J8" s="85">
        <v>199.86</v>
      </c>
      <c r="K8" s="69">
        <v>172.73</v>
      </c>
      <c r="L8" s="69">
        <v>125.11</v>
      </c>
      <c r="M8" s="69">
        <v>92.46</v>
      </c>
      <c r="N8" s="69">
        <v>88.71</v>
      </c>
      <c r="O8" s="69">
        <v>102.85</v>
      </c>
      <c r="P8" s="69">
        <f>SUM(D8:O8)</f>
        <v>1381.1299999999999</v>
      </c>
      <c r="R8" t="s">
        <v>68</v>
      </c>
    </row>
    <row r="9" spans="2:22" x14ac:dyDescent="0.25">
      <c r="B9" s="126"/>
      <c r="C9" s="106" t="s">
        <v>11</v>
      </c>
      <c r="D9" s="84">
        <v>45686</v>
      </c>
      <c r="E9" s="84">
        <v>45715</v>
      </c>
      <c r="F9" s="84">
        <v>45744</v>
      </c>
      <c r="G9" s="84">
        <v>45778</v>
      </c>
      <c r="H9" s="84">
        <v>45807</v>
      </c>
      <c r="I9" s="84">
        <v>45832</v>
      </c>
      <c r="J9" s="87">
        <v>45865</v>
      </c>
      <c r="K9" s="68">
        <v>45894</v>
      </c>
      <c r="L9" s="67">
        <v>45927</v>
      </c>
      <c r="M9" s="67">
        <v>45955</v>
      </c>
      <c r="N9" s="67">
        <v>45989</v>
      </c>
      <c r="O9" s="67">
        <v>46007</v>
      </c>
      <c r="P9" s="68">
        <v>46020</v>
      </c>
    </row>
    <row r="10" spans="2:22" x14ac:dyDescent="0.25">
      <c r="B10" s="126"/>
      <c r="C10" s="106"/>
      <c r="D10" s="85">
        <v>58.04</v>
      </c>
      <c r="E10" s="85">
        <v>56.8</v>
      </c>
      <c r="F10" s="85">
        <v>40.61</v>
      </c>
      <c r="G10" s="85">
        <v>32.71</v>
      </c>
      <c r="H10" s="85">
        <v>46.51</v>
      </c>
      <c r="I10" s="85">
        <v>35.619999999999997</v>
      </c>
      <c r="J10" s="85">
        <v>76.33</v>
      </c>
      <c r="K10" s="69">
        <v>73.319999999999993</v>
      </c>
      <c r="L10" s="69">
        <v>62.88</v>
      </c>
      <c r="M10" s="69">
        <v>51.66</v>
      </c>
      <c r="N10" s="69">
        <v>35.47</v>
      </c>
      <c r="O10" s="69">
        <v>39.31</v>
      </c>
      <c r="P10" s="69">
        <f>SUM(D10:O10)</f>
        <v>609.26</v>
      </c>
      <c r="R10" t="s">
        <v>69</v>
      </c>
      <c r="S10">
        <v>5812</v>
      </c>
      <c r="U10" s="90" t="s">
        <v>71</v>
      </c>
      <c r="V10" s="90" t="s">
        <v>73</v>
      </c>
    </row>
    <row r="11" spans="2:22" x14ac:dyDescent="0.25">
      <c r="B11" s="126"/>
      <c r="C11" s="106" t="s">
        <v>7</v>
      </c>
      <c r="D11" s="84"/>
      <c r="E11" s="84"/>
      <c r="F11" s="84">
        <v>45717</v>
      </c>
      <c r="G11" s="84"/>
      <c r="H11" s="84">
        <v>45802</v>
      </c>
      <c r="I11" s="84"/>
      <c r="J11" s="84"/>
      <c r="K11" s="67">
        <v>45900</v>
      </c>
      <c r="L11" s="67"/>
      <c r="M11" s="67"/>
      <c r="N11" s="67">
        <v>45993</v>
      </c>
      <c r="O11" s="67"/>
      <c r="P11" s="68">
        <v>46020</v>
      </c>
      <c r="R11" t="s">
        <v>69</v>
      </c>
      <c r="S11">
        <v>4541</v>
      </c>
      <c r="U11" s="90" t="s">
        <v>72</v>
      </c>
      <c r="V11" t="s">
        <v>2</v>
      </c>
    </row>
    <row r="12" spans="2:22" x14ac:dyDescent="0.25">
      <c r="B12" s="126"/>
      <c r="C12" s="106"/>
      <c r="D12" s="85">
        <v>0</v>
      </c>
      <c r="E12" s="85">
        <v>0</v>
      </c>
      <c r="F12" s="85">
        <v>161.56</v>
      </c>
      <c r="G12" s="85">
        <v>0</v>
      </c>
      <c r="H12" s="85">
        <v>193.04</v>
      </c>
      <c r="I12" s="85">
        <v>0</v>
      </c>
      <c r="J12" s="85">
        <v>0</v>
      </c>
      <c r="K12" s="69">
        <v>175</v>
      </c>
      <c r="L12" s="69"/>
      <c r="M12" s="69">
        <v>0</v>
      </c>
      <c r="N12" s="69">
        <v>200.47</v>
      </c>
      <c r="O12" s="69"/>
      <c r="P12" s="69">
        <f>SUM(D12:O12)</f>
        <v>730.07</v>
      </c>
      <c r="R12" t="s">
        <v>70</v>
      </c>
      <c r="S12">
        <v>4785</v>
      </c>
      <c r="U12" t="s">
        <v>6</v>
      </c>
    </row>
    <row r="13" spans="2:22" x14ac:dyDescent="0.25">
      <c r="B13" s="126"/>
      <c r="C13" s="106" t="s">
        <v>8</v>
      </c>
      <c r="D13" s="84"/>
      <c r="E13" s="84"/>
      <c r="F13" s="84"/>
      <c r="G13" s="84"/>
      <c r="H13" s="84">
        <v>45799</v>
      </c>
      <c r="I13" s="84">
        <v>45823</v>
      </c>
      <c r="J13" s="84"/>
      <c r="K13" s="67"/>
      <c r="L13" s="67"/>
      <c r="M13" s="67"/>
      <c r="N13" s="67"/>
      <c r="O13" s="94"/>
      <c r="P13" s="68">
        <v>46020</v>
      </c>
      <c r="V13" t="s">
        <v>58</v>
      </c>
    </row>
    <row r="14" spans="2:22" x14ac:dyDescent="0.25">
      <c r="B14" s="126"/>
      <c r="C14" s="106"/>
      <c r="D14" s="85">
        <v>0</v>
      </c>
      <c r="E14" s="85">
        <v>0</v>
      </c>
      <c r="F14" s="85"/>
      <c r="G14" s="85">
        <v>0</v>
      </c>
      <c r="H14" s="85">
        <f>60.39</f>
        <v>60.39</v>
      </c>
      <c r="I14" s="85">
        <v>161.04</v>
      </c>
      <c r="J14" s="85">
        <v>0</v>
      </c>
      <c r="K14" s="69">
        <v>0</v>
      </c>
      <c r="L14" s="69">
        <v>0</v>
      </c>
      <c r="M14" s="69">
        <v>0</v>
      </c>
      <c r="N14" s="69">
        <v>0</v>
      </c>
      <c r="O14" s="95">
        <v>0</v>
      </c>
      <c r="P14" s="69">
        <f>SUM(D14:O14)</f>
        <v>221.43</v>
      </c>
      <c r="U14" s="47"/>
    </row>
    <row r="15" spans="2:22" x14ac:dyDescent="0.25">
      <c r="B15" s="126"/>
      <c r="C15" s="106" t="s">
        <v>3</v>
      </c>
      <c r="D15" s="84">
        <v>45677</v>
      </c>
      <c r="E15" s="84">
        <v>45715</v>
      </c>
      <c r="F15" s="84">
        <v>45737</v>
      </c>
      <c r="G15" s="84">
        <v>45778</v>
      </c>
      <c r="H15" s="84">
        <v>45797</v>
      </c>
      <c r="I15" s="84">
        <v>45828</v>
      </c>
      <c r="J15" s="87">
        <v>45858</v>
      </c>
      <c r="K15" s="68">
        <v>45889</v>
      </c>
      <c r="L15" s="67">
        <v>45921</v>
      </c>
      <c r="M15" s="67">
        <v>45950</v>
      </c>
      <c r="N15" s="67">
        <v>45981</v>
      </c>
      <c r="O15" s="67">
        <v>46011</v>
      </c>
      <c r="P15" s="68">
        <v>46020</v>
      </c>
      <c r="U15" s="47"/>
    </row>
    <row r="16" spans="2:22" x14ac:dyDescent="0.25">
      <c r="B16" s="126"/>
      <c r="C16" s="106"/>
      <c r="D16" s="85">
        <v>50</v>
      </c>
      <c r="E16" s="85">
        <v>50</v>
      </c>
      <c r="F16" s="85">
        <v>50</v>
      </c>
      <c r="G16" s="85">
        <v>50</v>
      </c>
      <c r="H16" s="85">
        <v>50</v>
      </c>
      <c r="I16" s="85">
        <v>50</v>
      </c>
      <c r="J16" s="85">
        <v>50</v>
      </c>
      <c r="K16" s="69">
        <v>50</v>
      </c>
      <c r="L16" s="69">
        <v>50</v>
      </c>
      <c r="M16" s="69">
        <v>50</v>
      </c>
      <c r="N16" s="69">
        <v>50</v>
      </c>
      <c r="O16" s="69">
        <v>50</v>
      </c>
      <c r="P16" s="69">
        <f>SUM(D16:O16)</f>
        <v>600</v>
      </c>
      <c r="U16" s="47"/>
    </row>
    <row r="17" spans="2:21" x14ac:dyDescent="0.25">
      <c r="B17" s="126"/>
      <c r="C17" s="106" t="s">
        <v>5</v>
      </c>
      <c r="D17" s="84">
        <v>45686</v>
      </c>
      <c r="E17" s="84">
        <v>45715</v>
      </c>
      <c r="F17" s="84">
        <v>45744</v>
      </c>
      <c r="G17" s="84">
        <v>45778</v>
      </c>
      <c r="H17" s="84">
        <v>45799</v>
      </c>
      <c r="I17" s="84">
        <v>45832</v>
      </c>
      <c r="J17" s="87">
        <v>45865</v>
      </c>
      <c r="K17" s="68">
        <v>45898</v>
      </c>
      <c r="L17" s="67">
        <v>45927</v>
      </c>
      <c r="M17" s="67">
        <v>45955</v>
      </c>
      <c r="N17" s="67">
        <v>45989</v>
      </c>
      <c r="O17" s="67">
        <v>46007</v>
      </c>
      <c r="P17" s="68">
        <v>46020</v>
      </c>
      <c r="U17" s="47"/>
    </row>
    <row r="18" spans="2:21" x14ac:dyDescent="0.25">
      <c r="B18" s="126"/>
      <c r="C18" s="106"/>
      <c r="D18" s="85">
        <v>15</v>
      </c>
      <c r="E18" s="85">
        <v>15</v>
      </c>
      <c r="F18" s="85">
        <v>15</v>
      </c>
      <c r="G18" s="85">
        <v>15</v>
      </c>
      <c r="H18" s="85">
        <v>15</v>
      </c>
      <c r="I18" s="85">
        <v>15</v>
      </c>
      <c r="J18" s="85">
        <v>15</v>
      </c>
      <c r="K18" s="69">
        <v>10</v>
      </c>
      <c r="L18" s="69">
        <v>9.9499999999999993</v>
      </c>
      <c r="M18" s="69">
        <v>10</v>
      </c>
      <c r="N18" s="69">
        <v>10</v>
      </c>
      <c r="O18" s="69">
        <v>10</v>
      </c>
      <c r="P18" s="69">
        <f>SUM(D18:O18)</f>
        <v>154.94999999999999</v>
      </c>
      <c r="U18" s="47"/>
    </row>
    <row r="19" spans="2:21" ht="15" customHeight="1" x14ac:dyDescent="0.25">
      <c r="B19" s="127"/>
      <c r="C19" s="42" t="s">
        <v>0</v>
      </c>
      <c r="D19" s="79">
        <f t="shared" ref="D19:P19" si="0">SUM(D4,D6,D8,D10,D12,D14,D16,D18)</f>
        <v>478.21</v>
      </c>
      <c r="E19" s="79">
        <f t="shared" si="0"/>
        <v>546.45000000000005</v>
      </c>
      <c r="F19" s="79">
        <f t="shared" si="0"/>
        <v>566.25</v>
      </c>
      <c r="G19" s="79">
        <f t="shared" si="0"/>
        <v>342.23</v>
      </c>
      <c r="H19" s="79">
        <f t="shared" si="0"/>
        <v>535.15</v>
      </c>
      <c r="I19" s="79">
        <f t="shared" si="0"/>
        <v>417.03999999999996</v>
      </c>
      <c r="J19" s="79">
        <f t="shared" si="0"/>
        <v>388.89</v>
      </c>
      <c r="K19" s="79">
        <f t="shared" si="0"/>
        <v>522.54</v>
      </c>
      <c r="L19" s="79">
        <f t="shared" si="0"/>
        <v>290.71999999999997</v>
      </c>
      <c r="M19" s="79">
        <f t="shared" si="0"/>
        <v>248.69</v>
      </c>
      <c r="N19" s="79">
        <f t="shared" si="0"/>
        <v>462.98</v>
      </c>
      <c r="O19" s="79">
        <f t="shared" si="0"/>
        <v>400.78000000000003</v>
      </c>
      <c r="P19" s="79">
        <f t="shared" si="0"/>
        <v>5199.93</v>
      </c>
      <c r="U19" s="47"/>
    </row>
    <row r="20" spans="2:21" x14ac:dyDescent="0.25">
      <c r="B20" s="133" t="s">
        <v>76</v>
      </c>
      <c r="C20" s="107" t="s">
        <v>59</v>
      </c>
      <c r="D20" s="84">
        <v>45684</v>
      </c>
      <c r="E20" s="84"/>
      <c r="F20" s="84"/>
      <c r="G20" s="84"/>
      <c r="H20" s="84"/>
      <c r="I20" s="90"/>
      <c r="J20" s="84"/>
      <c r="K20" s="67"/>
      <c r="L20" s="67"/>
      <c r="M20" s="67"/>
      <c r="N20" s="67"/>
      <c r="O20" s="67"/>
      <c r="P20" s="68"/>
      <c r="U20" s="47"/>
    </row>
    <row r="21" spans="2:21" x14ac:dyDescent="0.25">
      <c r="B21" s="134"/>
      <c r="C21" s="108"/>
      <c r="D21" s="85">
        <v>1312.79</v>
      </c>
      <c r="E21" s="85"/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f>SUM(D21:O21)</f>
        <v>1312.79</v>
      </c>
      <c r="U21" s="47"/>
    </row>
    <row r="22" spans="2:21" x14ac:dyDescent="0.25">
      <c r="B22" s="134"/>
      <c r="C22" s="107" t="s">
        <v>62</v>
      </c>
      <c r="D22" s="84"/>
      <c r="E22" s="84"/>
      <c r="F22" s="84"/>
      <c r="G22" s="84"/>
      <c r="H22" s="84"/>
      <c r="I22" s="84"/>
      <c r="J22" s="84">
        <v>45843</v>
      </c>
      <c r="K22" s="67"/>
      <c r="L22" s="67"/>
      <c r="M22" s="67"/>
      <c r="N22" s="67"/>
      <c r="O22" s="67">
        <v>46011</v>
      </c>
      <c r="P22" s="67"/>
      <c r="U22" s="46"/>
    </row>
    <row r="23" spans="2:21" ht="15" customHeight="1" x14ac:dyDescent="0.25">
      <c r="B23" s="134"/>
      <c r="C23" s="108"/>
      <c r="D23" s="85">
        <v>0</v>
      </c>
      <c r="E23" s="85"/>
      <c r="F23" s="85">
        <v>0</v>
      </c>
      <c r="G23" s="85">
        <v>0</v>
      </c>
      <c r="H23" s="85">
        <v>0</v>
      </c>
      <c r="I23" s="85"/>
      <c r="J23" s="85">
        <v>2621.25</v>
      </c>
      <c r="K23" s="69">
        <v>0</v>
      </c>
      <c r="L23" s="69">
        <v>0</v>
      </c>
      <c r="M23" s="69">
        <v>0</v>
      </c>
      <c r="N23" s="69">
        <v>0</v>
      </c>
      <c r="O23" s="69">
        <v>1807.49</v>
      </c>
      <c r="P23" s="69">
        <f>SUM(D23:O23)</f>
        <v>4428.74</v>
      </c>
      <c r="Q23" s="40"/>
    </row>
    <row r="24" spans="2:21" ht="15" customHeight="1" x14ac:dyDescent="0.25">
      <c r="B24" s="135"/>
      <c r="C24" s="39" t="s">
        <v>0</v>
      </c>
      <c r="D24" s="79">
        <f t="shared" ref="D24:P24" si="1">SUM(D21,D23)</f>
        <v>1312.79</v>
      </c>
      <c r="E24" s="79">
        <f t="shared" si="1"/>
        <v>0</v>
      </c>
      <c r="F24" s="79">
        <f t="shared" si="1"/>
        <v>0</v>
      </c>
      <c r="G24" s="79">
        <f t="shared" si="1"/>
        <v>0</v>
      </c>
      <c r="H24" s="79">
        <f t="shared" si="1"/>
        <v>0</v>
      </c>
      <c r="I24" s="79">
        <f t="shared" si="1"/>
        <v>0</v>
      </c>
      <c r="J24" s="79">
        <f t="shared" si="1"/>
        <v>2621.25</v>
      </c>
      <c r="K24" s="79">
        <f t="shared" si="1"/>
        <v>0</v>
      </c>
      <c r="L24" s="79">
        <f t="shared" si="1"/>
        <v>0</v>
      </c>
      <c r="M24" s="79">
        <f t="shared" si="1"/>
        <v>0</v>
      </c>
      <c r="N24" s="79">
        <f t="shared" si="1"/>
        <v>0</v>
      </c>
      <c r="O24" s="79">
        <f t="shared" si="1"/>
        <v>1807.49</v>
      </c>
      <c r="P24" s="79">
        <f t="shared" si="1"/>
        <v>5741.53</v>
      </c>
      <c r="Q24" s="41"/>
    </row>
    <row r="25" spans="2:21" x14ac:dyDescent="0.25">
      <c r="B25" s="121" t="s">
        <v>24</v>
      </c>
      <c r="C25" s="104" t="s">
        <v>32</v>
      </c>
      <c r="D25" s="84">
        <v>45686</v>
      </c>
      <c r="E25" s="84">
        <v>45715</v>
      </c>
      <c r="F25" s="84">
        <v>45744</v>
      </c>
      <c r="G25" s="84">
        <v>45778</v>
      </c>
      <c r="H25" s="84">
        <v>45807</v>
      </c>
      <c r="I25" s="84">
        <v>45840</v>
      </c>
      <c r="J25" s="87">
        <v>45865</v>
      </c>
      <c r="K25" s="68">
        <v>45898</v>
      </c>
      <c r="L25" s="67">
        <v>45932</v>
      </c>
      <c r="M25" s="67">
        <v>45955</v>
      </c>
      <c r="N25" s="67">
        <v>45994</v>
      </c>
      <c r="O25" s="67">
        <v>46022</v>
      </c>
      <c r="P25" s="68">
        <v>46020</v>
      </c>
      <c r="Q25" s="41"/>
      <c r="S25" s="34"/>
    </row>
    <row r="26" spans="2:21" x14ac:dyDescent="0.25">
      <c r="B26" s="122"/>
      <c r="C26" s="105"/>
      <c r="D26" s="85">
        <v>72.44</v>
      </c>
      <c r="E26" s="85">
        <v>304.37</v>
      </c>
      <c r="F26" s="85">
        <v>181.85</v>
      </c>
      <c r="G26" s="85">
        <f>261.56-G69</f>
        <v>51.56</v>
      </c>
      <c r="H26" s="85">
        <v>24.78</v>
      </c>
      <c r="I26" s="85">
        <v>202.32</v>
      </c>
      <c r="J26" s="85">
        <v>0</v>
      </c>
      <c r="K26" s="69">
        <v>0</v>
      </c>
      <c r="L26" s="70">
        <v>9.3000000000000007</v>
      </c>
      <c r="M26" s="69">
        <v>0</v>
      </c>
      <c r="N26" s="69">
        <v>0</v>
      </c>
      <c r="O26" s="69">
        <v>463.65</v>
      </c>
      <c r="P26" s="69">
        <f>SUM(D26:O26)</f>
        <v>1310.27</v>
      </c>
      <c r="Q26" s="40"/>
    </row>
    <row r="27" spans="2:21" x14ac:dyDescent="0.25">
      <c r="B27" s="122"/>
      <c r="C27" s="104" t="s">
        <v>33</v>
      </c>
      <c r="D27" s="84">
        <v>45686</v>
      </c>
      <c r="E27" s="84">
        <v>45715</v>
      </c>
      <c r="F27" s="84">
        <v>45744</v>
      </c>
      <c r="G27" s="84">
        <v>45778</v>
      </c>
      <c r="H27" s="84">
        <v>45807</v>
      </c>
      <c r="I27" s="84">
        <v>45840</v>
      </c>
      <c r="J27" s="87">
        <v>45865</v>
      </c>
      <c r="K27" s="68">
        <v>45898</v>
      </c>
      <c r="L27" s="67">
        <v>45932</v>
      </c>
      <c r="M27" s="67">
        <v>45962</v>
      </c>
      <c r="N27" s="67">
        <v>45989</v>
      </c>
      <c r="O27" s="67">
        <v>46022</v>
      </c>
      <c r="P27" s="68">
        <v>46020</v>
      </c>
      <c r="Q27" s="41"/>
      <c r="R27" s="34"/>
    </row>
    <row r="28" spans="2:21" x14ac:dyDescent="0.25">
      <c r="B28" s="122"/>
      <c r="C28" s="105"/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69">
        <v>0</v>
      </c>
      <c r="L28" s="69">
        <v>0</v>
      </c>
      <c r="M28" s="69">
        <v>0</v>
      </c>
      <c r="N28" s="69">
        <v>0</v>
      </c>
      <c r="O28" s="69">
        <v>478.1</v>
      </c>
      <c r="P28" s="69">
        <f>SUM(D28:O28)</f>
        <v>478.1</v>
      </c>
      <c r="Q28" s="40"/>
    </row>
    <row r="29" spans="2:21" x14ac:dyDescent="0.25">
      <c r="B29" s="122"/>
      <c r="C29" s="104" t="s">
        <v>34</v>
      </c>
      <c r="D29" s="84">
        <v>45686</v>
      </c>
      <c r="E29" s="84">
        <v>45715</v>
      </c>
      <c r="F29" s="84">
        <v>45744</v>
      </c>
      <c r="G29" s="84">
        <v>45778</v>
      </c>
      <c r="H29" s="84">
        <v>45807</v>
      </c>
      <c r="I29" s="84">
        <v>45840</v>
      </c>
      <c r="J29" s="87">
        <v>45865</v>
      </c>
      <c r="K29" s="68">
        <v>45898</v>
      </c>
      <c r="L29" s="67">
        <v>45932</v>
      </c>
      <c r="M29" s="67">
        <v>45955</v>
      </c>
      <c r="N29" s="67">
        <v>45989</v>
      </c>
      <c r="O29" s="67">
        <v>46022</v>
      </c>
      <c r="P29" s="68">
        <v>46020</v>
      </c>
      <c r="Q29" s="41"/>
    </row>
    <row r="30" spans="2:21" x14ac:dyDescent="0.25">
      <c r="B30" s="122"/>
      <c r="C30" s="105"/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69">
        <f>SUM(D30:O30)</f>
        <v>0</v>
      </c>
      <c r="Q30" s="40"/>
      <c r="T30" s="34"/>
    </row>
    <row r="31" spans="2:21" ht="15" customHeight="1" x14ac:dyDescent="0.25">
      <c r="B31" s="122"/>
      <c r="C31" s="104" t="s">
        <v>50</v>
      </c>
      <c r="D31" s="84">
        <v>45686</v>
      </c>
      <c r="E31" s="84">
        <v>45715</v>
      </c>
      <c r="F31" s="84">
        <v>45744</v>
      </c>
      <c r="G31" s="84">
        <v>45778</v>
      </c>
      <c r="H31" s="84">
        <v>45807</v>
      </c>
      <c r="I31" s="84">
        <v>45840</v>
      </c>
      <c r="J31" s="87">
        <v>45865</v>
      </c>
      <c r="K31" s="68">
        <v>45898</v>
      </c>
      <c r="L31" s="67">
        <v>45932</v>
      </c>
      <c r="M31" s="67">
        <v>45962</v>
      </c>
      <c r="N31" s="67">
        <v>45989</v>
      </c>
      <c r="O31" s="67">
        <v>46022</v>
      </c>
      <c r="P31" s="68">
        <v>46020</v>
      </c>
      <c r="Q31" s="41"/>
      <c r="T31" s="34"/>
    </row>
    <row r="32" spans="2:21" x14ac:dyDescent="0.25">
      <c r="B32" s="122"/>
      <c r="C32" s="105"/>
      <c r="D32" s="86">
        <v>0</v>
      </c>
      <c r="E32" s="86">
        <v>0</v>
      </c>
      <c r="F32" s="86">
        <v>0</v>
      </c>
      <c r="G32" s="86">
        <v>0</v>
      </c>
      <c r="H32" s="86">
        <v>0</v>
      </c>
      <c r="I32" s="86">
        <v>0</v>
      </c>
      <c r="J32" s="86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f>SUM(D32:O32)</f>
        <v>0</v>
      </c>
      <c r="Q32" s="40"/>
      <c r="T32" s="34"/>
    </row>
    <row r="33" spans="2:20" ht="15" customHeight="1" x14ac:dyDescent="0.25">
      <c r="B33" s="122"/>
      <c r="C33" s="104" t="s">
        <v>61</v>
      </c>
      <c r="D33" s="84">
        <v>45686</v>
      </c>
      <c r="E33" s="84">
        <v>45715</v>
      </c>
      <c r="F33" s="84">
        <v>45744</v>
      </c>
      <c r="G33" s="84">
        <v>45778</v>
      </c>
      <c r="H33" s="84">
        <v>45807</v>
      </c>
      <c r="I33" s="84">
        <v>45840</v>
      </c>
      <c r="J33" s="87">
        <v>45865</v>
      </c>
      <c r="K33" s="68">
        <v>45898</v>
      </c>
      <c r="L33" s="67">
        <v>45932</v>
      </c>
      <c r="M33" s="67">
        <v>45962</v>
      </c>
      <c r="N33" s="67">
        <v>45994</v>
      </c>
      <c r="O33" s="67">
        <v>46022</v>
      </c>
      <c r="P33" s="68">
        <v>46020</v>
      </c>
      <c r="Q33" s="41"/>
      <c r="T33" s="34"/>
    </row>
    <row r="34" spans="2:20" x14ac:dyDescent="0.25">
      <c r="B34" s="122"/>
      <c r="C34" s="105"/>
      <c r="D34" s="86">
        <v>0</v>
      </c>
      <c r="E34" s="86">
        <v>0</v>
      </c>
      <c r="F34" s="86">
        <v>0</v>
      </c>
      <c r="G34" s="86">
        <v>0</v>
      </c>
      <c r="H34" s="86">
        <v>0</v>
      </c>
      <c r="I34" s="86">
        <v>0</v>
      </c>
      <c r="J34" s="86">
        <v>0</v>
      </c>
      <c r="K34" s="70">
        <v>0</v>
      </c>
      <c r="L34" s="69">
        <v>0</v>
      </c>
      <c r="M34" s="70">
        <v>0</v>
      </c>
      <c r="N34" s="70">
        <v>0</v>
      </c>
      <c r="O34" s="70">
        <f>10-O18</f>
        <v>0</v>
      </c>
      <c r="P34" s="70">
        <f>SUM(D34:O34)</f>
        <v>0</v>
      </c>
      <c r="Q34" s="40"/>
      <c r="T34" s="34"/>
    </row>
    <row r="35" spans="2:20" x14ac:dyDescent="0.25">
      <c r="B35" s="122"/>
      <c r="C35" s="104" t="s">
        <v>44</v>
      </c>
      <c r="D35" s="84">
        <v>45686</v>
      </c>
      <c r="E35" s="84">
        <v>45715</v>
      </c>
      <c r="F35" s="84">
        <v>45744</v>
      </c>
      <c r="G35" s="84">
        <v>45778</v>
      </c>
      <c r="H35" s="84">
        <v>45807</v>
      </c>
      <c r="I35" s="84">
        <v>45840</v>
      </c>
      <c r="J35" s="87">
        <v>45865</v>
      </c>
      <c r="K35" s="68">
        <v>45898</v>
      </c>
      <c r="L35" s="67">
        <v>45932</v>
      </c>
      <c r="M35" s="67">
        <v>45962</v>
      </c>
      <c r="N35" s="67">
        <v>45992</v>
      </c>
      <c r="O35" s="67">
        <v>46022</v>
      </c>
      <c r="P35" s="68">
        <v>46020</v>
      </c>
      <c r="Q35" s="41"/>
      <c r="T35" s="34"/>
    </row>
    <row r="36" spans="2:20" x14ac:dyDescent="0.25">
      <c r="B36" s="122"/>
      <c r="C36" s="105"/>
      <c r="D36" s="85">
        <f>2100+229-D8-D16-D21-D61-D65-D67</f>
        <v>270</v>
      </c>
      <c r="E36" s="85">
        <f>1735.56-E8-E16-E65-E21-E61-E67+229-E10</f>
        <v>963.25</v>
      </c>
      <c r="F36" s="85">
        <f>2100-F16-F65-F61-F8-E10-F67</f>
        <v>379.29000000000008</v>
      </c>
      <c r="G36" s="85">
        <f>3900-G16-G65-G61-G8-G67</f>
        <v>417.84999999999991</v>
      </c>
      <c r="H36" s="85">
        <f>1932.46-H16-H65-H61-H67</f>
        <v>656.21</v>
      </c>
      <c r="I36" s="85">
        <f>1123.96-I8-I16-I65-I61-I67-I69</f>
        <v>660.09000000000015</v>
      </c>
      <c r="J36" s="85">
        <f>909.68-J16-J65-J61-J8</f>
        <v>423.81999999999994</v>
      </c>
      <c r="K36" s="69">
        <f>961.28-K16-K69-K61+229</f>
        <v>554.53</v>
      </c>
      <c r="L36" s="69">
        <f>415.67-300</f>
        <v>115.67000000000002</v>
      </c>
      <c r="M36" s="69">
        <f>603-78-52.91-78-52-92.46</f>
        <v>249.63000000000005</v>
      </c>
      <c r="N36" s="69">
        <f>1511.73-N16-N65-N61-N69-N8-N67</f>
        <v>888.3</v>
      </c>
      <c r="O36" s="69">
        <f>1602.85-O65-O69-O67-O61-O8</f>
        <v>614.99999999999989</v>
      </c>
      <c r="P36" s="70">
        <f>SUM(D36:O36)</f>
        <v>6193.64</v>
      </c>
      <c r="Q36" s="40"/>
      <c r="T36" s="34"/>
    </row>
    <row r="37" spans="2:20" x14ac:dyDescent="0.25">
      <c r="B37" s="122"/>
      <c r="C37" s="104" t="s">
        <v>40</v>
      </c>
      <c r="D37" s="84">
        <v>45686</v>
      </c>
      <c r="E37" s="84">
        <v>45715</v>
      </c>
      <c r="F37" s="84">
        <v>45744</v>
      </c>
      <c r="G37" s="84">
        <v>45778</v>
      </c>
      <c r="H37" s="84">
        <v>45807</v>
      </c>
      <c r="I37" s="84">
        <v>45840</v>
      </c>
      <c r="J37" s="87">
        <v>45865</v>
      </c>
      <c r="K37" s="68">
        <v>45898</v>
      </c>
      <c r="L37" s="67">
        <v>45932</v>
      </c>
      <c r="M37" s="67">
        <v>45962</v>
      </c>
      <c r="N37" s="67">
        <v>45989</v>
      </c>
      <c r="O37" s="67">
        <v>46022</v>
      </c>
      <c r="P37" s="68">
        <v>46020</v>
      </c>
      <c r="Q37" s="41"/>
      <c r="T37" s="34"/>
    </row>
    <row r="38" spans="2:20" x14ac:dyDescent="0.25">
      <c r="B38" s="122"/>
      <c r="C38" s="105"/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70">
        <f>SUM(D38:O38)</f>
        <v>0</v>
      </c>
      <c r="Q38" s="40"/>
      <c r="T38" s="34"/>
    </row>
    <row r="39" spans="2:20" ht="15" customHeight="1" x14ac:dyDescent="0.25">
      <c r="B39" s="122"/>
      <c r="C39" s="104" t="s">
        <v>35</v>
      </c>
      <c r="D39" s="84">
        <v>45686</v>
      </c>
      <c r="E39" s="84">
        <v>45715</v>
      </c>
      <c r="F39" s="84">
        <v>45744</v>
      </c>
      <c r="G39" s="84">
        <v>45778</v>
      </c>
      <c r="H39" s="84">
        <v>45807</v>
      </c>
      <c r="I39" s="84">
        <v>45840</v>
      </c>
      <c r="J39" s="87">
        <v>45865</v>
      </c>
      <c r="K39" s="68">
        <v>45898</v>
      </c>
      <c r="L39" s="67">
        <v>45932</v>
      </c>
      <c r="M39" s="67">
        <v>45967</v>
      </c>
      <c r="N39" s="67">
        <v>45994</v>
      </c>
      <c r="O39" s="67">
        <v>46022</v>
      </c>
      <c r="P39" s="68">
        <v>46020</v>
      </c>
      <c r="Q39" s="41"/>
    </row>
    <row r="40" spans="2:20" x14ac:dyDescent="0.25">
      <c r="B40" s="122"/>
      <c r="C40" s="105"/>
      <c r="D40" s="85">
        <v>147.69</v>
      </c>
      <c r="E40" s="85">
        <v>151.43</v>
      </c>
      <c r="F40" s="85">
        <v>184.4</v>
      </c>
      <c r="G40" s="85">
        <v>182.23</v>
      </c>
      <c r="H40" s="85">
        <v>28.55</v>
      </c>
      <c r="I40" s="85">
        <v>0</v>
      </c>
      <c r="J40" s="85">
        <v>0</v>
      </c>
      <c r="K40" s="69">
        <v>0</v>
      </c>
      <c r="L40" s="69">
        <v>0</v>
      </c>
      <c r="M40" s="69">
        <v>0</v>
      </c>
      <c r="N40" s="69">
        <v>0</v>
      </c>
      <c r="O40" s="69">
        <v>324.29000000000002</v>
      </c>
      <c r="P40" s="69">
        <f>SUM(D40:O40)</f>
        <v>1018.5899999999999</v>
      </c>
      <c r="Q40" s="40"/>
    </row>
    <row r="41" spans="2:20" x14ac:dyDescent="0.25">
      <c r="B41" s="122"/>
      <c r="C41" s="117" t="s">
        <v>36</v>
      </c>
      <c r="D41" s="84">
        <v>45686</v>
      </c>
      <c r="E41" s="84">
        <v>45715</v>
      </c>
      <c r="F41" s="84">
        <v>45744</v>
      </c>
      <c r="G41" s="84">
        <v>45778</v>
      </c>
      <c r="H41" s="84">
        <v>45807</v>
      </c>
      <c r="I41" s="84">
        <v>45840</v>
      </c>
      <c r="J41" s="87">
        <v>45865</v>
      </c>
      <c r="K41" s="68">
        <v>45898</v>
      </c>
      <c r="L41" s="67">
        <v>45932</v>
      </c>
      <c r="M41" s="67">
        <v>45962</v>
      </c>
      <c r="N41" s="67">
        <v>45989</v>
      </c>
      <c r="O41" s="67">
        <v>46022</v>
      </c>
      <c r="P41" s="68">
        <v>46020</v>
      </c>
      <c r="Q41" s="41"/>
    </row>
    <row r="42" spans="2:20" x14ac:dyDescent="0.25">
      <c r="B42" s="122"/>
      <c r="C42" s="117"/>
      <c r="D42" s="85">
        <v>0</v>
      </c>
      <c r="E42" s="85">
        <v>0</v>
      </c>
      <c r="F42" s="85">
        <v>0</v>
      </c>
      <c r="G42" s="85">
        <v>0</v>
      </c>
      <c r="H42" s="85">
        <v>0</v>
      </c>
      <c r="I42" s="85">
        <v>0</v>
      </c>
      <c r="J42" s="85">
        <v>0</v>
      </c>
      <c r="K42" s="69">
        <v>0</v>
      </c>
      <c r="L42" s="69">
        <v>0</v>
      </c>
      <c r="M42" s="69">
        <v>73.650000000000006</v>
      </c>
      <c r="N42" s="69">
        <v>336.05</v>
      </c>
      <c r="O42" s="69">
        <v>265.39</v>
      </c>
      <c r="P42" s="69">
        <f>SUM(D42:O42)</f>
        <v>675.09</v>
      </c>
      <c r="Q42" s="40"/>
    </row>
    <row r="43" spans="2:20" ht="15" customHeight="1" x14ac:dyDescent="0.25">
      <c r="B43" s="122"/>
      <c r="C43" s="124" t="s">
        <v>37</v>
      </c>
      <c r="D43" s="84">
        <v>45686</v>
      </c>
      <c r="E43" s="84">
        <v>45715</v>
      </c>
      <c r="F43" s="84">
        <v>45744</v>
      </c>
      <c r="G43" s="84">
        <v>45778</v>
      </c>
      <c r="H43" s="84">
        <v>45807</v>
      </c>
      <c r="I43" s="84">
        <v>45840</v>
      </c>
      <c r="J43" s="87">
        <v>45865</v>
      </c>
      <c r="K43" s="68">
        <v>45898</v>
      </c>
      <c r="L43" s="67">
        <v>45932</v>
      </c>
      <c r="M43" s="67">
        <v>45962</v>
      </c>
      <c r="N43" s="67">
        <v>45989</v>
      </c>
      <c r="O43" s="67">
        <v>46022</v>
      </c>
      <c r="P43" s="68">
        <v>46020</v>
      </c>
    </row>
    <row r="44" spans="2:20" x14ac:dyDescent="0.25">
      <c r="B44" s="122"/>
      <c r="C44" s="105"/>
      <c r="D44" s="85">
        <v>0</v>
      </c>
      <c r="E44" s="85">
        <v>0</v>
      </c>
      <c r="F44" s="85">
        <v>0</v>
      </c>
      <c r="G44" s="85">
        <v>0</v>
      </c>
      <c r="H44" s="85">
        <v>0</v>
      </c>
      <c r="I44" s="85">
        <v>0</v>
      </c>
      <c r="J44" s="85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69">
        <f>SUM(D44:O44)</f>
        <v>0</v>
      </c>
      <c r="Q44" s="40"/>
    </row>
    <row r="45" spans="2:20" x14ac:dyDescent="0.25">
      <c r="B45" s="122"/>
      <c r="C45" s="104" t="s">
        <v>67</v>
      </c>
      <c r="D45" s="84">
        <v>45686</v>
      </c>
      <c r="E45" s="84">
        <v>45715</v>
      </c>
      <c r="F45" s="84">
        <v>45744</v>
      </c>
      <c r="G45" s="84">
        <v>45778</v>
      </c>
      <c r="H45" s="84">
        <v>45807</v>
      </c>
      <c r="I45" s="84">
        <v>45840</v>
      </c>
      <c r="J45" s="87">
        <v>45865</v>
      </c>
      <c r="K45" s="68">
        <v>45898</v>
      </c>
      <c r="L45" s="67">
        <v>45932</v>
      </c>
      <c r="M45" s="67">
        <v>45962</v>
      </c>
      <c r="N45" s="67">
        <v>45994</v>
      </c>
      <c r="O45" s="67">
        <v>46022</v>
      </c>
      <c r="P45" s="68">
        <v>46020</v>
      </c>
      <c r="Q45" s="34"/>
    </row>
    <row r="46" spans="2:20" x14ac:dyDescent="0.25">
      <c r="B46" s="122"/>
      <c r="C46" s="105"/>
      <c r="D46" s="86">
        <v>0</v>
      </c>
      <c r="E46" s="86">
        <v>0</v>
      </c>
      <c r="F46" s="86">
        <v>0</v>
      </c>
      <c r="G46" s="86">
        <v>0</v>
      </c>
      <c r="H46" s="86">
        <v>0</v>
      </c>
      <c r="I46" s="86">
        <v>0</v>
      </c>
      <c r="J46" s="86">
        <v>0</v>
      </c>
      <c r="K46" s="70">
        <v>0</v>
      </c>
      <c r="L46" s="70">
        <v>0</v>
      </c>
      <c r="M46" s="70">
        <v>0</v>
      </c>
      <c r="N46" s="70">
        <v>48.35</v>
      </c>
      <c r="O46" s="70">
        <v>0</v>
      </c>
      <c r="P46" s="69">
        <f>SUM(D46:O46)</f>
        <v>48.35</v>
      </c>
      <c r="Q46" s="34"/>
    </row>
    <row r="47" spans="2:20" x14ac:dyDescent="0.25">
      <c r="B47" s="122"/>
      <c r="C47" s="104" t="s">
        <v>60</v>
      </c>
      <c r="D47" s="84">
        <v>45686</v>
      </c>
      <c r="E47" s="84">
        <v>45715</v>
      </c>
      <c r="F47" s="84">
        <v>45744</v>
      </c>
      <c r="G47" s="84">
        <v>45778</v>
      </c>
      <c r="H47" s="84">
        <v>45807</v>
      </c>
      <c r="I47" s="84">
        <v>45840</v>
      </c>
      <c r="J47" s="87">
        <v>45865</v>
      </c>
      <c r="K47" s="84">
        <v>45898</v>
      </c>
      <c r="L47" s="84">
        <v>45932</v>
      </c>
      <c r="M47" s="84">
        <v>45955</v>
      </c>
      <c r="N47" s="84">
        <v>45989</v>
      </c>
      <c r="O47" s="84">
        <v>46022</v>
      </c>
      <c r="P47" s="68">
        <v>46020</v>
      </c>
    </row>
    <row r="48" spans="2:20" x14ac:dyDescent="0.25">
      <c r="B48" s="122"/>
      <c r="C48" s="105"/>
      <c r="D48" s="86">
        <v>9.09</v>
      </c>
      <c r="E48" s="86">
        <v>11.86</v>
      </c>
      <c r="F48" s="86">
        <v>29.47</v>
      </c>
      <c r="G48" s="85">
        <v>0</v>
      </c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69">
        <f>SUM(D48:O48)</f>
        <v>50.42</v>
      </c>
      <c r="Q48" s="40"/>
    </row>
    <row r="49" spans="2:18" x14ac:dyDescent="0.25">
      <c r="B49" s="122"/>
      <c r="C49" s="104" t="s">
        <v>66</v>
      </c>
      <c r="D49" s="84">
        <v>45686</v>
      </c>
      <c r="E49" s="84">
        <v>45715</v>
      </c>
      <c r="F49" s="84">
        <v>45744</v>
      </c>
      <c r="G49" s="84">
        <v>45778</v>
      </c>
      <c r="H49" s="84">
        <v>45807</v>
      </c>
      <c r="I49" s="84">
        <v>45840</v>
      </c>
      <c r="J49" s="87">
        <v>45865</v>
      </c>
      <c r="K49" s="67">
        <v>45898</v>
      </c>
      <c r="L49" s="67">
        <v>45932</v>
      </c>
      <c r="M49" s="67">
        <v>45955</v>
      </c>
      <c r="N49" s="67">
        <v>45989</v>
      </c>
      <c r="O49" s="67">
        <v>46022</v>
      </c>
      <c r="P49" s="68">
        <v>46020</v>
      </c>
    </row>
    <row r="50" spans="2:18" x14ac:dyDescent="0.25">
      <c r="B50" s="122"/>
      <c r="C50" s="105"/>
      <c r="D50" s="86">
        <f>1008.62-D63</f>
        <v>495.69000000000005</v>
      </c>
      <c r="E50" s="86">
        <f>1129.61-E63</f>
        <v>109.19999999999993</v>
      </c>
      <c r="F50" s="86">
        <v>437.15</v>
      </c>
      <c r="G50" s="85">
        <f>2433.02-G63</f>
        <v>288.13000000000011</v>
      </c>
      <c r="H50" s="85">
        <f>6172.74-H63</f>
        <v>1206.2399999999998</v>
      </c>
      <c r="I50" s="85">
        <v>105.54</v>
      </c>
      <c r="J50" s="85">
        <f>1265.72-J63</f>
        <v>872.09</v>
      </c>
      <c r="K50" s="69">
        <f>3478.91-K63</f>
        <v>15.909999999999854</v>
      </c>
      <c r="L50" s="69">
        <v>196.98</v>
      </c>
      <c r="M50" s="69">
        <v>99.78</v>
      </c>
      <c r="N50" s="69">
        <v>233.55</v>
      </c>
      <c r="O50" s="69">
        <f>1394.57-O63</f>
        <v>598.69999999999993</v>
      </c>
      <c r="P50" s="69">
        <f>SUM(D50:O50)</f>
        <v>4658.96</v>
      </c>
      <c r="Q50" s="40"/>
    </row>
    <row r="51" spans="2:18" x14ac:dyDescent="0.25">
      <c r="B51" s="122"/>
      <c r="C51" s="131" t="s">
        <v>75</v>
      </c>
      <c r="D51" s="84">
        <v>45686</v>
      </c>
      <c r="E51" s="84">
        <v>45715</v>
      </c>
      <c r="F51" s="84">
        <v>45744</v>
      </c>
      <c r="G51" s="84">
        <v>45778</v>
      </c>
      <c r="H51" s="84">
        <v>45807</v>
      </c>
      <c r="I51" s="84">
        <v>45840</v>
      </c>
      <c r="J51" s="87">
        <v>45865</v>
      </c>
      <c r="K51" s="67">
        <v>45898</v>
      </c>
      <c r="L51" s="67">
        <v>45932</v>
      </c>
      <c r="M51" s="67">
        <v>45955</v>
      </c>
      <c r="N51" s="67">
        <v>45989</v>
      </c>
      <c r="O51" s="67">
        <v>46022</v>
      </c>
      <c r="P51" s="68">
        <v>46020</v>
      </c>
      <c r="Q51" s="34"/>
    </row>
    <row r="52" spans="2:18" x14ac:dyDescent="0.25">
      <c r="B52" s="122"/>
      <c r="C52" s="132"/>
      <c r="D52" s="86">
        <v>0</v>
      </c>
      <c r="E52" s="86">
        <v>0</v>
      </c>
      <c r="F52" s="86">
        <v>0</v>
      </c>
      <c r="G52" s="85">
        <v>0</v>
      </c>
      <c r="H52" s="85">
        <v>0</v>
      </c>
      <c r="I52" s="85">
        <v>0</v>
      </c>
      <c r="J52" s="85">
        <v>0.9</v>
      </c>
      <c r="K52" s="69">
        <f>4933.33-229-K65</f>
        <v>116.42000000000007</v>
      </c>
      <c r="L52" s="69">
        <f>2100-L8-L16-L18-L61-78</f>
        <v>1499.94</v>
      </c>
      <c r="M52" s="69">
        <f>2032.26-M69-M16-78-78-M61</f>
        <v>140.26</v>
      </c>
      <c r="N52" s="69">
        <v>154.06</v>
      </c>
      <c r="O52" s="69">
        <v>0</v>
      </c>
      <c r="P52" s="69">
        <f>SUM(D52:O52)</f>
        <v>1911.5800000000002</v>
      </c>
      <c r="Q52" s="34"/>
    </row>
    <row r="53" spans="2:18" x14ac:dyDescent="0.25">
      <c r="B53" s="122"/>
      <c r="C53" s="104" t="s">
        <v>64</v>
      </c>
      <c r="D53" s="84">
        <v>45686</v>
      </c>
      <c r="E53" s="84">
        <v>45715</v>
      </c>
      <c r="F53" s="84">
        <v>45744</v>
      </c>
      <c r="G53" s="84">
        <v>45778</v>
      </c>
      <c r="H53" s="84">
        <v>45807</v>
      </c>
      <c r="I53" s="84">
        <v>45840</v>
      </c>
      <c r="J53" s="87">
        <v>45865</v>
      </c>
      <c r="K53" s="67">
        <v>45898</v>
      </c>
      <c r="L53" s="67">
        <v>45932</v>
      </c>
      <c r="M53" s="67">
        <v>45967</v>
      </c>
      <c r="N53" s="67">
        <v>45994</v>
      </c>
      <c r="O53" s="67">
        <v>46022</v>
      </c>
      <c r="P53" s="68">
        <v>46020</v>
      </c>
      <c r="Q53" s="34"/>
    </row>
    <row r="54" spans="2:18" x14ac:dyDescent="0.25">
      <c r="B54" s="122"/>
      <c r="C54" s="105"/>
      <c r="D54" s="86">
        <v>110.91</v>
      </c>
      <c r="E54" s="86">
        <v>0</v>
      </c>
      <c r="F54" s="86">
        <v>0</v>
      </c>
      <c r="G54" s="86">
        <v>194.67</v>
      </c>
      <c r="H54" s="86">
        <v>553.99</v>
      </c>
      <c r="I54" s="86">
        <v>561.91</v>
      </c>
      <c r="J54" s="86">
        <v>342.7</v>
      </c>
      <c r="K54" s="70">
        <v>445.07</v>
      </c>
      <c r="L54" s="70">
        <v>252.64</v>
      </c>
      <c r="M54" s="70">
        <v>486.01</v>
      </c>
      <c r="N54" s="70">
        <v>295.24</v>
      </c>
      <c r="O54" s="70">
        <v>326.45999999999998</v>
      </c>
      <c r="P54" s="69">
        <f>SUM(D54:O54)</f>
        <v>3569.5999999999995</v>
      </c>
      <c r="Q54" s="34"/>
    </row>
    <row r="55" spans="2:18" x14ac:dyDescent="0.25">
      <c r="B55" s="122"/>
      <c r="C55" s="104" t="s">
        <v>49</v>
      </c>
      <c r="D55" s="84">
        <v>45686</v>
      </c>
      <c r="E55" s="84">
        <v>45715</v>
      </c>
      <c r="F55" s="84">
        <v>45744</v>
      </c>
      <c r="G55" s="84">
        <v>45778</v>
      </c>
      <c r="H55" s="84">
        <v>45807</v>
      </c>
      <c r="I55" s="84">
        <v>45840</v>
      </c>
      <c r="J55" s="87">
        <v>45865</v>
      </c>
      <c r="K55" s="68">
        <v>45898</v>
      </c>
      <c r="L55" s="67">
        <v>45932</v>
      </c>
      <c r="M55" s="67">
        <v>45962</v>
      </c>
      <c r="N55" s="67">
        <v>45989</v>
      </c>
      <c r="O55" s="67">
        <v>46022</v>
      </c>
      <c r="P55" s="68">
        <v>46020</v>
      </c>
      <c r="Q55" s="34"/>
    </row>
    <row r="56" spans="2:18" x14ac:dyDescent="0.25">
      <c r="B56" s="122"/>
      <c r="C56" s="105"/>
      <c r="D56" s="85">
        <v>0</v>
      </c>
      <c r="E56" s="85">
        <v>0</v>
      </c>
      <c r="F56" s="85">
        <v>0</v>
      </c>
      <c r="G56" s="85">
        <v>86.89</v>
      </c>
      <c r="H56" s="85">
        <v>0</v>
      </c>
      <c r="I56" s="85">
        <v>0</v>
      </c>
      <c r="J56" s="85">
        <v>0</v>
      </c>
      <c r="K56" s="69">
        <v>0</v>
      </c>
      <c r="L56" s="69">
        <v>0</v>
      </c>
      <c r="M56" s="69">
        <v>26.74</v>
      </c>
      <c r="N56" s="69">
        <v>0</v>
      </c>
      <c r="O56" s="69">
        <v>64.56</v>
      </c>
      <c r="P56" s="69">
        <f>SUM(D56:O56)</f>
        <v>178.19</v>
      </c>
      <c r="Q56" s="34"/>
      <c r="R56" s="34"/>
    </row>
    <row r="57" spans="2:18" ht="15" customHeight="1" x14ac:dyDescent="0.25">
      <c r="B57" s="123"/>
      <c r="C57" s="37" t="s">
        <v>0</v>
      </c>
      <c r="D57" s="79">
        <f>SUM(D26,D28,D30,D32,D34,D36,D38,D40,D42,D44,D46,D48,D50,D52,D54,D56)</f>
        <v>1105.8200000000002</v>
      </c>
      <c r="E57" s="79">
        <f t="shared" ref="E57:P57" si="2">SUM(E26,E28,E30,E32,E34,E36,E38,E40,E42,E44,E46,E48,E50,E52,E54,E56)</f>
        <v>1540.1099999999997</v>
      </c>
      <c r="F57" s="79">
        <f t="shared" si="2"/>
        <v>1212.1600000000001</v>
      </c>
      <c r="G57" s="79">
        <f t="shared" si="2"/>
        <v>1221.3300000000002</v>
      </c>
      <c r="H57" s="79">
        <f t="shared" si="2"/>
        <v>2469.7699999999995</v>
      </c>
      <c r="I57" s="79">
        <f t="shared" si="2"/>
        <v>1529.8600000000001</v>
      </c>
      <c r="J57" s="79">
        <f t="shared" si="2"/>
        <v>1639.51</v>
      </c>
      <c r="K57" s="79">
        <f t="shared" si="2"/>
        <v>1131.9299999999998</v>
      </c>
      <c r="L57" s="79">
        <f t="shared" si="2"/>
        <v>2074.5300000000002</v>
      </c>
      <c r="M57" s="79">
        <f t="shared" si="2"/>
        <v>1076.07</v>
      </c>
      <c r="N57" s="79">
        <f t="shared" si="2"/>
        <v>1955.5499999999997</v>
      </c>
      <c r="O57" s="79">
        <f t="shared" si="2"/>
        <v>3136.1499999999996</v>
      </c>
      <c r="P57" s="79">
        <f t="shared" si="2"/>
        <v>20092.79</v>
      </c>
      <c r="Q57" s="34"/>
      <c r="R57" s="34"/>
    </row>
    <row r="58" spans="2:18" ht="15" customHeight="1" x14ac:dyDescent="0.25">
      <c r="B58" s="111" t="s">
        <v>25</v>
      </c>
      <c r="C58" s="103" t="s">
        <v>54</v>
      </c>
      <c r="D58" s="84"/>
      <c r="E58" s="84"/>
      <c r="F58" s="84"/>
      <c r="G58" s="84"/>
      <c r="H58" s="84"/>
      <c r="I58" s="84"/>
      <c r="J58" s="84"/>
      <c r="K58" s="67"/>
      <c r="L58" s="67"/>
      <c r="M58" s="67"/>
      <c r="N58" s="67"/>
      <c r="O58" s="67">
        <v>46022</v>
      </c>
      <c r="P58" s="68">
        <v>46020</v>
      </c>
    </row>
    <row r="59" spans="2:18" x14ac:dyDescent="0.25">
      <c r="B59" s="112"/>
      <c r="C59" s="103"/>
      <c r="D59" s="85">
        <v>0</v>
      </c>
      <c r="E59" s="85">
        <v>0</v>
      </c>
      <c r="F59" s="85">
        <v>0</v>
      </c>
      <c r="G59" s="85">
        <v>0</v>
      </c>
      <c r="H59" s="85">
        <v>0</v>
      </c>
      <c r="I59" s="85">
        <v>0</v>
      </c>
      <c r="J59" s="85">
        <v>0</v>
      </c>
      <c r="K59" s="69">
        <v>0</v>
      </c>
      <c r="L59" s="69">
        <v>0</v>
      </c>
      <c r="M59" s="69">
        <v>0</v>
      </c>
      <c r="N59" s="69">
        <v>0</v>
      </c>
      <c r="O59" s="69">
        <v>700</v>
      </c>
      <c r="P59" s="69">
        <f>SUM(D59:O59)</f>
        <v>700</v>
      </c>
    </row>
    <row r="60" spans="2:18" x14ac:dyDescent="0.25">
      <c r="B60" s="112"/>
      <c r="C60" s="109" t="s">
        <v>63</v>
      </c>
      <c r="D60" s="84">
        <v>45686</v>
      </c>
      <c r="E60" s="84">
        <v>45715</v>
      </c>
      <c r="F60" s="84">
        <v>45742</v>
      </c>
      <c r="G60" s="84">
        <v>45778</v>
      </c>
      <c r="H60" s="84">
        <v>45807</v>
      </c>
      <c r="I60" s="84">
        <v>45840</v>
      </c>
      <c r="J60" s="84">
        <v>45867</v>
      </c>
      <c r="K60" s="67">
        <v>45898</v>
      </c>
      <c r="L60" s="67">
        <v>45932</v>
      </c>
      <c r="M60" s="67">
        <v>45962</v>
      </c>
      <c r="N60" s="67">
        <v>45994</v>
      </c>
      <c r="O60" s="67">
        <v>46022</v>
      </c>
      <c r="P60" s="68">
        <v>46020</v>
      </c>
    </row>
    <row r="61" spans="2:18" x14ac:dyDescent="0.25">
      <c r="B61" s="112"/>
      <c r="C61" s="110"/>
      <c r="D61" s="85">
        <f>236</f>
        <v>236</v>
      </c>
      <c r="E61" s="85">
        <f>236+236+120</f>
        <v>592</v>
      </c>
      <c r="F61" s="85">
        <f>199+199+670+236</f>
        <v>1304</v>
      </c>
      <c r="G61" s="85">
        <f>1047+649+236+450+153</f>
        <v>2535</v>
      </c>
      <c r="H61" s="85">
        <f>236+403.75</f>
        <v>639.75</v>
      </c>
      <c r="I61" s="85">
        <f>236</f>
        <v>236</v>
      </c>
      <c r="J61" s="85">
        <f>236</f>
        <v>236</v>
      </c>
      <c r="K61" s="69">
        <f>229+124+182.75+25+25</f>
        <v>585.75</v>
      </c>
      <c r="L61" s="69">
        <f>229+49+59</f>
        <v>337</v>
      </c>
      <c r="M61" s="69">
        <f>236</f>
        <v>236</v>
      </c>
      <c r="N61" s="69">
        <f>236</f>
        <v>236</v>
      </c>
      <c r="O61" s="69">
        <f>236+236+225+110</f>
        <v>807</v>
      </c>
      <c r="P61" s="69">
        <f>SUM(D61:O61)</f>
        <v>7980.5</v>
      </c>
    </row>
    <row r="62" spans="2:18" x14ac:dyDescent="0.25">
      <c r="B62" s="112"/>
      <c r="C62" s="109" t="s">
        <v>51</v>
      </c>
      <c r="D62" s="84">
        <v>45686</v>
      </c>
      <c r="E62" s="84">
        <v>45713</v>
      </c>
      <c r="F62" s="84">
        <v>45733</v>
      </c>
      <c r="G62" s="84">
        <v>45778</v>
      </c>
      <c r="H62" s="84">
        <v>45807</v>
      </c>
      <c r="I62" s="84">
        <v>45840</v>
      </c>
      <c r="J62" s="84">
        <v>45861</v>
      </c>
      <c r="K62" s="67">
        <v>45901</v>
      </c>
      <c r="L62" s="67">
        <v>45932</v>
      </c>
      <c r="M62" s="67"/>
      <c r="N62" s="67">
        <v>45994</v>
      </c>
      <c r="O62" s="67">
        <v>46022</v>
      </c>
      <c r="P62" s="68">
        <v>46020</v>
      </c>
    </row>
    <row r="63" spans="2:18" x14ac:dyDescent="0.25">
      <c r="B63" s="112"/>
      <c r="C63" s="110"/>
      <c r="D63" s="85">
        <f>512.93</f>
        <v>512.92999999999995</v>
      </c>
      <c r="E63" s="85">
        <f>113.89+906.52</f>
        <v>1020.41</v>
      </c>
      <c r="F63" s="85">
        <v>0</v>
      </c>
      <c r="G63" s="85">
        <f>723.88+886.16+534.85</f>
        <v>2144.89</v>
      </c>
      <c r="H63" s="85">
        <f>514.64+1719.3+1733.69+317.3+681.57</f>
        <v>4966.5</v>
      </c>
      <c r="I63" s="85">
        <v>0</v>
      </c>
      <c r="J63" s="85">
        <f>179.8+213.83</f>
        <v>393.63</v>
      </c>
      <c r="K63" s="69">
        <v>3463</v>
      </c>
      <c r="L63" s="69">
        <v>0</v>
      </c>
      <c r="M63" s="69">
        <v>0</v>
      </c>
      <c r="N63" s="69">
        <v>0</v>
      </c>
      <c r="O63" s="69">
        <f>247.5+315.37+125+108</f>
        <v>795.87</v>
      </c>
      <c r="P63" s="69">
        <f>SUM(D63:O63)</f>
        <v>13297.23</v>
      </c>
    </row>
    <row r="64" spans="2:18" x14ac:dyDescent="0.25">
      <c r="B64" s="112"/>
      <c r="C64" s="109" t="s">
        <v>47</v>
      </c>
      <c r="D64" s="84">
        <v>45686</v>
      </c>
      <c r="E64" s="84">
        <v>45715</v>
      </c>
      <c r="F64" s="84">
        <v>45720</v>
      </c>
      <c r="G64" s="84">
        <v>45773</v>
      </c>
      <c r="H64" s="84">
        <v>45809</v>
      </c>
      <c r="I64" s="84">
        <v>45840</v>
      </c>
      <c r="J64" s="93">
        <v>45865</v>
      </c>
      <c r="K64" s="68">
        <v>45898</v>
      </c>
      <c r="L64" s="67">
        <v>45926</v>
      </c>
      <c r="M64" s="67">
        <v>45955</v>
      </c>
      <c r="N64" s="67">
        <v>45990</v>
      </c>
      <c r="O64" s="67">
        <v>46022</v>
      </c>
      <c r="P64" s="68">
        <v>46020</v>
      </c>
    </row>
    <row r="65" spans="2:18" x14ac:dyDescent="0.25">
      <c r="B65" s="112"/>
      <c r="C65" s="110"/>
      <c r="D65" s="85">
        <v>0</v>
      </c>
      <c r="E65" s="85">
        <v>0</v>
      </c>
      <c r="F65" s="85">
        <f>18.04</f>
        <v>18.04</v>
      </c>
      <c r="G65" s="85">
        <f>527.25+4.21</f>
        <v>531.46</v>
      </c>
      <c r="H65" s="85">
        <f>150+137.5</f>
        <v>287.5</v>
      </c>
      <c r="I65" s="85">
        <v>0</v>
      </c>
      <c r="J65" s="85">
        <v>0</v>
      </c>
      <c r="K65" s="69">
        <f>4418.38+169.53</f>
        <v>4587.91</v>
      </c>
      <c r="L65" s="69">
        <v>0</v>
      </c>
      <c r="M65" s="69">
        <v>52.91</v>
      </c>
      <c r="N65" s="69">
        <f>14.72</f>
        <v>14.72</v>
      </c>
      <c r="O65" s="69">
        <v>0</v>
      </c>
      <c r="P65" s="69">
        <f>SUM(D65:O65)</f>
        <v>5492.54</v>
      </c>
    </row>
    <row r="66" spans="2:18" x14ac:dyDescent="0.25">
      <c r="B66" s="112"/>
      <c r="C66" s="109" t="s">
        <v>30</v>
      </c>
      <c r="D66" s="84">
        <v>45680</v>
      </c>
      <c r="E66" s="84">
        <v>45715</v>
      </c>
      <c r="F66" s="84">
        <v>45749</v>
      </c>
      <c r="G66" s="84">
        <v>45775</v>
      </c>
      <c r="H66" s="84">
        <v>45802</v>
      </c>
      <c r="I66" s="84">
        <v>45842</v>
      </c>
      <c r="J66" s="93">
        <v>45855</v>
      </c>
      <c r="K66" s="68">
        <v>45898</v>
      </c>
      <c r="L66" s="67">
        <v>45926</v>
      </c>
      <c r="M66" s="67">
        <v>45955</v>
      </c>
      <c r="N66" s="67">
        <v>45990</v>
      </c>
      <c r="O66" s="67">
        <v>46016</v>
      </c>
      <c r="P66" s="68">
        <v>46020</v>
      </c>
    </row>
    <row r="67" spans="2:18" x14ac:dyDescent="0.25">
      <c r="B67" s="112"/>
      <c r="C67" s="110"/>
      <c r="D67" s="85">
        <f>78+78+78+99+26</f>
        <v>359</v>
      </c>
      <c r="E67" s="85">
        <f>78+52+39</f>
        <v>169</v>
      </c>
      <c r="F67" s="85">
        <f>65+65+65</f>
        <v>195</v>
      </c>
      <c r="G67" s="85">
        <f>65+78+65+65</f>
        <v>273</v>
      </c>
      <c r="H67" s="85">
        <f>65+78+78+78</f>
        <v>299</v>
      </c>
      <c r="I67" s="85">
        <f>78</f>
        <v>78</v>
      </c>
      <c r="J67" s="85">
        <f>525*3</f>
        <v>1575</v>
      </c>
      <c r="K67" s="69">
        <f>515.5+309.3+120+167.3</f>
        <v>1112.0999999999999</v>
      </c>
      <c r="L67" s="69">
        <f>78+40+104+78+78</f>
        <v>378</v>
      </c>
      <c r="M67" s="69">
        <f>78+52+78+78+78</f>
        <v>364</v>
      </c>
      <c r="N67" s="69">
        <f>78+78+78</f>
        <v>234</v>
      </c>
      <c r="O67" s="69">
        <f>78</f>
        <v>78</v>
      </c>
      <c r="P67" s="69">
        <f>SUM(D67:O67)</f>
        <v>5114.1000000000004</v>
      </c>
    </row>
    <row r="68" spans="2:18" x14ac:dyDescent="0.25">
      <c r="B68" s="112"/>
      <c r="C68" s="109" t="s">
        <v>41</v>
      </c>
      <c r="D68" s="84"/>
      <c r="E68" s="84"/>
      <c r="F68" s="84"/>
      <c r="G68" s="84">
        <v>45773</v>
      </c>
      <c r="H68" s="84"/>
      <c r="I68" s="84"/>
      <c r="J68" s="93"/>
      <c r="K68" s="67"/>
      <c r="L68" s="67"/>
      <c r="M68" s="67">
        <v>45956</v>
      </c>
      <c r="N68" s="67">
        <v>45990</v>
      </c>
      <c r="O68" s="67">
        <v>46022</v>
      </c>
      <c r="P68" s="68">
        <v>46020</v>
      </c>
    </row>
    <row r="69" spans="2:18" x14ac:dyDescent="0.25">
      <c r="B69" s="112"/>
      <c r="C69" s="110"/>
      <c r="D69" s="85">
        <v>0</v>
      </c>
      <c r="E69" s="85">
        <v>0</v>
      </c>
      <c r="F69" s="85">
        <v>0</v>
      </c>
      <c r="G69" s="85">
        <f>210</f>
        <v>210</v>
      </c>
      <c r="H69" s="85">
        <v>0</v>
      </c>
      <c r="I69" s="85">
        <v>0</v>
      </c>
      <c r="J69" s="85">
        <v>0</v>
      </c>
      <c r="K69" s="69">
        <v>0</v>
      </c>
      <c r="L69" s="69">
        <v>0</v>
      </c>
      <c r="M69" s="69">
        <v>1450</v>
      </c>
      <c r="N69" s="69">
        <v>0</v>
      </c>
      <c r="O69" s="69">
        <v>0</v>
      </c>
      <c r="P69" s="69">
        <f>SUM(D69:O69)</f>
        <v>1660</v>
      </c>
      <c r="Q69" s="34"/>
      <c r="R69" s="45"/>
    </row>
    <row r="70" spans="2:18" x14ac:dyDescent="0.25">
      <c r="B70" s="113"/>
      <c r="C70" s="38" t="s">
        <v>0</v>
      </c>
      <c r="D70" s="79">
        <f>SUM(D59,D61,D63,D65,D67,D69)</f>
        <v>1107.9299999999998</v>
      </c>
      <c r="E70" s="79">
        <f t="shared" ref="E70:P70" si="3">SUM(E59,E61,E63,E65,E67,E69)</f>
        <v>1781.4099999999999</v>
      </c>
      <c r="F70" s="79">
        <f t="shared" si="3"/>
        <v>1517.04</v>
      </c>
      <c r="G70" s="79">
        <f t="shared" si="3"/>
        <v>5694.3499999999995</v>
      </c>
      <c r="H70" s="79">
        <f t="shared" si="3"/>
        <v>6192.75</v>
      </c>
      <c r="I70" s="79">
        <f t="shared" si="3"/>
        <v>314</v>
      </c>
      <c r="J70" s="79">
        <f t="shared" si="3"/>
        <v>2204.63</v>
      </c>
      <c r="K70" s="79">
        <f t="shared" si="3"/>
        <v>9748.76</v>
      </c>
      <c r="L70" s="79">
        <f t="shared" si="3"/>
        <v>715</v>
      </c>
      <c r="M70" s="79">
        <f t="shared" si="3"/>
        <v>2102.91</v>
      </c>
      <c r="N70" s="79">
        <f t="shared" si="3"/>
        <v>484.72</v>
      </c>
      <c r="O70" s="79">
        <f t="shared" si="3"/>
        <v>2380.87</v>
      </c>
      <c r="P70" s="79">
        <f t="shared" si="3"/>
        <v>34244.370000000003</v>
      </c>
    </row>
    <row r="71" spans="2:18" ht="15" customHeight="1" x14ac:dyDescent="0.25">
      <c r="B71" s="128" t="s">
        <v>65</v>
      </c>
      <c r="C71" s="129"/>
      <c r="D71" s="79">
        <f t="shared" ref="D71:P71" si="4">SUM(D19,D24,D57,D70)</f>
        <v>4004.75</v>
      </c>
      <c r="E71" s="79">
        <f t="shared" si="4"/>
        <v>3867.9699999999993</v>
      </c>
      <c r="F71" s="79">
        <f t="shared" si="4"/>
        <v>3295.45</v>
      </c>
      <c r="G71" s="79">
        <f t="shared" si="4"/>
        <v>7257.91</v>
      </c>
      <c r="H71" s="79">
        <f t="shared" si="4"/>
        <v>9197.67</v>
      </c>
      <c r="I71" s="79">
        <f t="shared" si="4"/>
        <v>2260.9</v>
      </c>
      <c r="J71" s="79">
        <f t="shared" si="4"/>
        <v>6854.28</v>
      </c>
      <c r="K71" s="79">
        <f t="shared" si="4"/>
        <v>11403.23</v>
      </c>
      <c r="L71" s="79">
        <f t="shared" si="4"/>
        <v>3080.25</v>
      </c>
      <c r="M71" s="79">
        <f t="shared" si="4"/>
        <v>3427.67</v>
      </c>
      <c r="N71" s="79">
        <f t="shared" si="4"/>
        <v>2903.25</v>
      </c>
      <c r="O71" s="79">
        <f t="shared" si="4"/>
        <v>7725.29</v>
      </c>
      <c r="P71" s="79">
        <f t="shared" si="4"/>
        <v>65278.62</v>
      </c>
    </row>
    <row r="72" spans="2:18" x14ac:dyDescent="0.25">
      <c r="B72" s="130" t="s">
        <v>57</v>
      </c>
      <c r="C72" s="130"/>
      <c r="D72" s="81">
        <f t="shared" ref="D72:O72" si="5">D71-D21</f>
        <v>2691.96</v>
      </c>
      <c r="E72" s="81">
        <f t="shared" si="5"/>
        <v>3867.9699999999993</v>
      </c>
      <c r="F72" s="81">
        <f t="shared" si="5"/>
        <v>3295.45</v>
      </c>
      <c r="G72" s="81">
        <f t="shared" si="5"/>
        <v>7257.91</v>
      </c>
      <c r="H72" s="81">
        <f t="shared" si="5"/>
        <v>9197.67</v>
      </c>
      <c r="I72" s="81">
        <f t="shared" si="5"/>
        <v>2260.9</v>
      </c>
      <c r="J72" s="81">
        <f t="shared" si="5"/>
        <v>6854.28</v>
      </c>
      <c r="K72" s="81">
        <f t="shared" si="5"/>
        <v>11403.23</v>
      </c>
      <c r="L72" s="81">
        <f t="shared" si="5"/>
        <v>3080.25</v>
      </c>
      <c r="M72" s="81">
        <f t="shared" si="5"/>
        <v>3427.67</v>
      </c>
      <c r="N72" s="81">
        <f t="shared" si="5"/>
        <v>2903.25</v>
      </c>
      <c r="O72" s="81">
        <f t="shared" si="5"/>
        <v>7725.29</v>
      </c>
      <c r="P72" s="79">
        <f>SUM(D72:O72)</f>
        <v>63965.829999999994</v>
      </c>
    </row>
    <row r="73" spans="2:18" x14ac:dyDescent="0.25">
      <c r="P73" s="34"/>
    </row>
    <row r="74" spans="2:18" x14ac:dyDescent="0.25">
      <c r="I74" s="34"/>
    </row>
  </sheetData>
  <mergeCells count="38">
    <mergeCell ref="C66:C67"/>
    <mergeCell ref="C68:C69"/>
    <mergeCell ref="B71:C71"/>
    <mergeCell ref="B72:C72"/>
    <mergeCell ref="C49:C50"/>
    <mergeCell ref="C51:C52"/>
    <mergeCell ref="C53:C54"/>
    <mergeCell ref="C55:C56"/>
    <mergeCell ref="B58:B70"/>
    <mergeCell ref="C58:C59"/>
    <mergeCell ref="C60:C61"/>
    <mergeCell ref="C62:C63"/>
    <mergeCell ref="C64:C65"/>
    <mergeCell ref="C47:C48"/>
    <mergeCell ref="B20:B24"/>
    <mergeCell ref="C20:C21"/>
    <mergeCell ref="C22:C23"/>
    <mergeCell ref="B25:B57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B3:B19"/>
    <mergeCell ref="C3:C4"/>
    <mergeCell ref="C5:C6"/>
    <mergeCell ref="C7:C8"/>
    <mergeCell ref="C9:C10"/>
    <mergeCell ref="C11:C12"/>
    <mergeCell ref="C13:C14"/>
    <mergeCell ref="C15:C16"/>
    <mergeCell ref="C17:C1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39"/>
  <sheetViews>
    <sheetView topLeftCell="A16" workbookViewId="0">
      <selection activeCell="R25" sqref="R25"/>
    </sheetView>
  </sheetViews>
  <sheetFormatPr defaultRowHeight="15" x14ac:dyDescent="0.25"/>
  <cols>
    <col min="1" max="1" width="3.85546875" customWidth="1"/>
    <col min="2" max="2" width="3.7109375" bestFit="1" customWidth="1"/>
    <col min="3" max="3" width="15" bestFit="1" customWidth="1"/>
    <col min="4" max="12" width="9.7109375" bestFit="1" customWidth="1"/>
    <col min="13" max="14" width="10.7109375" bestFit="1" customWidth="1"/>
    <col min="15" max="15" width="10.85546875" bestFit="1" customWidth="1"/>
    <col min="16" max="16" width="10.140625" bestFit="1" customWidth="1"/>
  </cols>
  <sheetData>
    <row r="2" spans="2:16" x14ac:dyDescent="0.25">
      <c r="C2" s="1"/>
      <c r="D2" s="13">
        <v>41275</v>
      </c>
      <c r="E2" s="13">
        <v>41306</v>
      </c>
      <c r="F2" s="13">
        <v>41334</v>
      </c>
      <c r="G2" s="13">
        <v>41365</v>
      </c>
      <c r="H2" s="13">
        <v>41395</v>
      </c>
      <c r="I2" s="13">
        <v>41426</v>
      </c>
      <c r="J2" s="13">
        <v>41456</v>
      </c>
      <c r="K2" s="13">
        <v>41487</v>
      </c>
      <c r="L2" s="13">
        <v>41518</v>
      </c>
      <c r="M2" s="13">
        <v>41548</v>
      </c>
      <c r="N2" s="13">
        <v>41579</v>
      </c>
      <c r="O2" s="13">
        <v>41609</v>
      </c>
      <c r="P2" s="13" t="s">
        <v>0</v>
      </c>
    </row>
    <row r="3" spans="2:16" x14ac:dyDescent="0.25">
      <c r="B3" s="101" t="s">
        <v>26</v>
      </c>
      <c r="C3" s="106" t="s">
        <v>1</v>
      </c>
      <c r="D3" s="23">
        <v>41284</v>
      </c>
      <c r="E3" s="23">
        <v>41313</v>
      </c>
      <c r="F3" s="23">
        <v>41342</v>
      </c>
      <c r="G3" s="25">
        <v>41376</v>
      </c>
      <c r="H3" s="25">
        <v>41404</v>
      </c>
      <c r="I3" s="25">
        <v>41436</v>
      </c>
      <c r="J3" s="25">
        <v>41466</v>
      </c>
      <c r="K3" s="25">
        <v>41495</v>
      </c>
      <c r="L3" s="25">
        <v>41527</v>
      </c>
      <c r="M3" s="25">
        <v>41556</v>
      </c>
      <c r="N3" s="25">
        <v>41585</v>
      </c>
      <c r="O3" s="25">
        <v>41618</v>
      </c>
      <c r="P3" s="15"/>
    </row>
    <row r="4" spans="2:16" x14ac:dyDescent="0.25">
      <c r="B4" s="101"/>
      <c r="C4" s="106"/>
      <c r="D4" s="24">
        <v>142.68</v>
      </c>
      <c r="E4" s="24">
        <v>162.05000000000001</v>
      </c>
      <c r="F4" s="24">
        <v>148.08000000000001</v>
      </c>
      <c r="G4" s="24">
        <v>113.25</v>
      </c>
      <c r="H4" s="24">
        <v>40.83</v>
      </c>
      <c r="I4" s="24">
        <v>36.56</v>
      </c>
      <c r="J4" s="24">
        <v>18.04</v>
      </c>
      <c r="K4" s="24">
        <v>15.75</v>
      </c>
      <c r="L4" s="24">
        <v>15.6</v>
      </c>
      <c r="M4" s="24">
        <v>19.02</v>
      </c>
      <c r="N4" s="24">
        <v>61.59</v>
      </c>
      <c r="O4" s="24">
        <v>131.1</v>
      </c>
      <c r="P4" s="16">
        <f>SUM(D4:O4)</f>
        <v>904.55</v>
      </c>
    </row>
    <row r="5" spans="2:16" x14ac:dyDescent="0.25">
      <c r="B5" s="101"/>
      <c r="C5" s="106" t="s">
        <v>10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>
        <v>41619</v>
      </c>
      <c r="P5" s="16"/>
    </row>
    <row r="6" spans="2:16" x14ac:dyDescent="0.25">
      <c r="B6" s="101"/>
      <c r="C6" s="106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>
        <v>47.85</v>
      </c>
      <c r="P6" s="16">
        <f>SUM(D6:O6)</f>
        <v>47.85</v>
      </c>
    </row>
    <row r="7" spans="2:16" x14ac:dyDescent="0.25">
      <c r="B7" s="101"/>
      <c r="C7" s="106" t="s">
        <v>2</v>
      </c>
      <c r="D7" s="23">
        <v>41298</v>
      </c>
      <c r="E7" s="23">
        <v>41327</v>
      </c>
      <c r="F7" s="23">
        <v>41355</v>
      </c>
      <c r="G7" s="23">
        <v>41386</v>
      </c>
      <c r="H7" s="23">
        <v>41417</v>
      </c>
      <c r="I7" s="23">
        <v>41448</v>
      </c>
      <c r="J7" s="23">
        <v>41478</v>
      </c>
      <c r="K7" s="23">
        <v>41508</v>
      </c>
      <c r="L7" s="23">
        <v>41540</v>
      </c>
      <c r="M7" s="23">
        <v>41568</v>
      </c>
      <c r="N7" s="23">
        <v>41598</v>
      </c>
      <c r="O7" s="23">
        <v>41628</v>
      </c>
      <c r="P7" s="14"/>
    </row>
    <row r="8" spans="2:16" x14ac:dyDescent="0.25">
      <c r="B8" s="101"/>
      <c r="C8" s="106"/>
      <c r="D8" s="24">
        <v>48.39</v>
      </c>
      <c r="E8" s="24">
        <v>52.49</v>
      </c>
      <c r="F8" s="24">
        <v>44.21</v>
      </c>
      <c r="G8" s="24">
        <v>40.1</v>
      </c>
      <c r="H8" s="24">
        <v>42.4</v>
      </c>
      <c r="I8" s="24">
        <v>33.369999999999997</v>
      </c>
      <c r="J8" s="24">
        <v>80.87</v>
      </c>
      <c r="K8" s="24">
        <v>30.12</v>
      </c>
      <c r="L8" s="24">
        <v>44.53</v>
      </c>
      <c r="M8" s="24">
        <v>43.07</v>
      </c>
      <c r="N8" s="24">
        <v>57.46</v>
      </c>
      <c r="O8" s="24">
        <v>76.14</v>
      </c>
      <c r="P8" s="16">
        <f>SUM(D8:O8)</f>
        <v>593.15</v>
      </c>
    </row>
    <row r="9" spans="2:16" x14ac:dyDescent="0.25">
      <c r="B9" s="101"/>
      <c r="C9" s="106" t="s">
        <v>11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>
        <v>41604</v>
      </c>
      <c r="O9" s="23">
        <v>41612</v>
      </c>
      <c r="P9" s="16"/>
    </row>
    <row r="10" spans="2:16" x14ac:dyDescent="0.25">
      <c r="B10" s="101"/>
      <c r="C10" s="106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>
        <v>36.78</v>
      </c>
      <c r="O10" s="24">
        <v>34.42</v>
      </c>
      <c r="P10" s="16">
        <f>SUM(D10:O10)</f>
        <v>71.2</v>
      </c>
    </row>
    <row r="11" spans="2:16" x14ac:dyDescent="0.25">
      <c r="B11" s="101"/>
      <c r="C11" s="106" t="s">
        <v>7</v>
      </c>
      <c r="D11" s="23"/>
      <c r="E11" s="23"/>
      <c r="F11" s="23">
        <v>41348</v>
      </c>
      <c r="G11" s="23"/>
      <c r="H11" s="23"/>
      <c r="I11" s="23">
        <v>41440</v>
      </c>
      <c r="J11" s="23"/>
      <c r="K11" s="23"/>
      <c r="L11" s="23">
        <v>41527</v>
      </c>
      <c r="M11" s="23"/>
      <c r="N11" s="23"/>
      <c r="O11" s="23">
        <v>41617</v>
      </c>
      <c r="P11" s="14"/>
    </row>
    <row r="12" spans="2:16" x14ac:dyDescent="0.25">
      <c r="B12" s="101"/>
      <c r="C12" s="106"/>
      <c r="D12" s="24">
        <v>0</v>
      </c>
      <c r="E12" s="24">
        <v>0</v>
      </c>
      <c r="F12" s="24">
        <v>63.59</v>
      </c>
      <c r="G12" s="24">
        <v>0</v>
      </c>
      <c r="H12" s="24">
        <v>0</v>
      </c>
      <c r="I12" s="24">
        <v>82</v>
      </c>
      <c r="J12" s="24">
        <v>0</v>
      </c>
      <c r="K12" s="24">
        <v>0</v>
      </c>
      <c r="L12" s="24">
        <v>96</v>
      </c>
      <c r="M12" s="24">
        <v>0</v>
      </c>
      <c r="N12" s="24">
        <v>0</v>
      </c>
      <c r="O12" s="24">
        <v>117.7</v>
      </c>
      <c r="P12" s="16">
        <f>SUM(D12:O12)</f>
        <v>359.29</v>
      </c>
    </row>
    <row r="13" spans="2:16" x14ac:dyDescent="0.25">
      <c r="B13" s="101"/>
      <c r="C13" s="106" t="s">
        <v>8</v>
      </c>
      <c r="D13" s="23"/>
      <c r="E13" s="23"/>
      <c r="F13" s="23"/>
      <c r="G13" s="23"/>
      <c r="H13" s="23">
        <v>41426</v>
      </c>
      <c r="I13" s="26"/>
      <c r="J13" s="23"/>
      <c r="K13" s="23"/>
      <c r="L13" s="23"/>
      <c r="M13" s="23"/>
      <c r="N13" s="23"/>
      <c r="O13" s="23"/>
      <c r="P13" s="14"/>
    </row>
    <row r="14" spans="2:16" x14ac:dyDescent="0.25">
      <c r="B14" s="101"/>
      <c r="C14" s="106"/>
      <c r="D14" s="24">
        <v>0</v>
      </c>
      <c r="E14" s="24">
        <v>0</v>
      </c>
      <c r="F14" s="24">
        <v>0</v>
      </c>
      <c r="G14" s="24">
        <v>0</v>
      </c>
      <c r="H14" s="24">
        <v>147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16">
        <f>SUM(D14:O14)</f>
        <v>147</v>
      </c>
    </row>
    <row r="15" spans="2:16" x14ac:dyDescent="0.25">
      <c r="B15" s="101"/>
      <c r="C15" s="106" t="s">
        <v>3</v>
      </c>
      <c r="D15" s="23">
        <v>41291</v>
      </c>
      <c r="E15" s="23">
        <v>41322</v>
      </c>
      <c r="F15" s="23">
        <v>41351</v>
      </c>
      <c r="G15" s="23">
        <v>41380</v>
      </c>
      <c r="H15" s="23">
        <v>41414</v>
      </c>
      <c r="I15" s="23">
        <v>41442</v>
      </c>
      <c r="J15" s="23">
        <v>41473</v>
      </c>
      <c r="K15" s="23">
        <v>41515</v>
      </c>
      <c r="L15" s="23">
        <v>41535</v>
      </c>
      <c r="M15" s="23">
        <v>41568</v>
      </c>
      <c r="N15" s="23">
        <v>41597</v>
      </c>
      <c r="O15" s="23">
        <v>41626</v>
      </c>
      <c r="P15" s="14"/>
    </row>
    <row r="16" spans="2:16" x14ac:dyDescent="0.25">
      <c r="B16" s="101"/>
      <c r="C16" s="106"/>
      <c r="D16" s="24">
        <v>40.909999999999997</v>
      </c>
      <c r="E16" s="24">
        <v>61.33</v>
      </c>
      <c r="F16" s="24">
        <v>61.33</v>
      </c>
      <c r="G16" s="24">
        <v>61.33</v>
      </c>
      <c r="H16" s="24">
        <v>61.33</v>
      </c>
      <c r="I16" s="24">
        <v>61.33</v>
      </c>
      <c r="J16" s="24">
        <v>61.33</v>
      </c>
      <c r="K16" s="27">
        <v>31</v>
      </c>
      <c r="L16" s="24">
        <v>39.92</v>
      </c>
      <c r="M16" s="24">
        <v>39.99</v>
      </c>
      <c r="N16" s="24">
        <v>39.99</v>
      </c>
      <c r="O16" s="24">
        <v>39.99</v>
      </c>
      <c r="P16" s="16">
        <f>SUM(D16:O16)</f>
        <v>599.78</v>
      </c>
    </row>
    <row r="17" spans="2:16" x14ac:dyDescent="0.25">
      <c r="B17" s="101"/>
      <c r="C17" s="106" t="s">
        <v>5</v>
      </c>
      <c r="D17" s="23">
        <v>41290</v>
      </c>
      <c r="E17" s="23">
        <v>41324</v>
      </c>
      <c r="F17" s="23">
        <v>41351</v>
      </c>
      <c r="G17" s="23">
        <v>41380</v>
      </c>
      <c r="H17" s="23">
        <v>41414</v>
      </c>
      <c r="I17" s="23">
        <v>41444</v>
      </c>
      <c r="J17" s="23">
        <v>41473</v>
      </c>
      <c r="K17" s="23">
        <v>41508</v>
      </c>
      <c r="L17" s="23">
        <v>41532</v>
      </c>
      <c r="M17" s="23">
        <v>41579</v>
      </c>
      <c r="N17" s="23">
        <v>41623</v>
      </c>
      <c r="O17" s="23"/>
      <c r="P17" s="14"/>
    </row>
    <row r="18" spans="2:16" x14ac:dyDescent="0.25">
      <c r="B18" s="101"/>
      <c r="C18" s="106"/>
      <c r="D18" s="24">
        <v>43.56</v>
      </c>
      <c r="E18" s="24">
        <v>43.56</v>
      </c>
      <c r="F18" s="24">
        <v>43.56</v>
      </c>
      <c r="G18" s="24">
        <v>43.47</v>
      </c>
      <c r="H18" s="24">
        <v>43.47</v>
      </c>
      <c r="I18" s="24">
        <v>17.53</v>
      </c>
      <c r="J18" s="24">
        <v>32.08</v>
      </c>
      <c r="K18" s="24">
        <v>46.88</v>
      </c>
      <c r="L18" s="24">
        <v>0</v>
      </c>
      <c r="M18" s="24">
        <v>0</v>
      </c>
      <c r="N18" s="24">
        <v>-35.17</v>
      </c>
      <c r="O18" s="24">
        <v>0</v>
      </c>
      <c r="P18" s="16">
        <f>SUM(D18:O18)</f>
        <v>278.94</v>
      </c>
    </row>
    <row r="19" spans="2:16" ht="15" customHeight="1" x14ac:dyDescent="0.25">
      <c r="B19" s="102" t="s">
        <v>27</v>
      </c>
      <c r="C19" s="107" t="s">
        <v>4</v>
      </c>
      <c r="D19" s="23">
        <v>41306</v>
      </c>
      <c r="E19" s="23">
        <v>41337</v>
      </c>
      <c r="F19" s="23">
        <v>41365</v>
      </c>
      <c r="G19" s="23">
        <v>41396</v>
      </c>
      <c r="H19" s="23">
        <v>41426</v>
      </c>
      <c r="I19" s="23">
        <v>41448</v>
      </c>
      <c r="J19" s="23">
        <v>41487</v>
      </c>
      <c r="K19" s="23">
        <v>41518</v>
      </c>
      <c r="L19" s="23">
        <v>41549</v>
      </c>
      <c r="M19" s="23">
        <v>41579</v>
      </c>
      <c r="N19" s="23">
        <v>41608</v>
      </c>
      <c r="O19" s="23">
        <v>41639</v>
      </c>
      <c r="P19" s="17"/>
    </row>
    <row r="20" spans="2:16" ht="15" customHeight="1" x14ac:dyDescent="0.25">
      <c r="B20" s="102"/>
      <c r="C20" s="108"/>
      <c r="D20" s="24">
        <v>2043.92</v>
      </c>
      <c r="E20" s="24">
        <v>2043.92</v>
      </c>
      <c r="F20" s="24">
        <v>2043.92</v>
      </c>
      <c r="G20" s="24">
        <v>2043.92</v>
      </c>
      <c r="H20" s="24">
        <v>2043.92</v>
      </c>
      <c r="I20" s="24">
        <f t="shared" ref="I20:N20" si="0">2043.92-500</f>
        <v>1543.92</v>
      </c>
      <c r="J20" s="24">
        <f t="shared" si="0"/>
        <v>1543.92</v>
      </c>
      <c r="K20" s="24">
        <f t="shared" si="0"/>
        <v>1543.92</v>
      </c>
      <c r="L20" s="24">
        <f t="shared" si="0"/>
        <v>1543.92</v>
      </c>
      <c r="M20" s="24">
        <f t="shared" si="0"/>
        <v>1543.92</v>
      </c>
      <c r="N20" s="24">
        <f t="shared" si="0"/>
        <v>1543.92</v>
      </c>
      <c r="O20" s="24">
        <v>1651.17</v>
      </c>
      <c r="P20" s="18">
        <f>SUM(D20:O20)</f>
        <v>21134.29</v>
      </c>
    </row>
    <row r="21" spans="2:16" ht="15" customHeight="1" x14ac:dyDescent="0.25">
      <c r="B21" s="102"/>
      <c r="C21" s="107" t="s">
        <v>13</v>
      </c>
      <c r="D21" s="23"/>
      <c r="E21" s="23"/>
      <c r="F21" s="23"/>
      <c r="G21" s="23"/>
      <c r="H21" s="23"/>
      <c r="I21" s="26"/>
      <c r="J21" s="23"/>
      <c r="K21" s="23"/>
      <c r="L21" s="23"/>
      <c r="M21" s="28"/>
      <c r="N21" s="23">
        <v>41583</v>
      </c>
      <c r="O21" s="23">
        <v>41583</v>
      </c>
      <c r="P21" s="17"/>
    </row>
    <row r="22" spans="2:16" ht="15" customHeight="1" x14ac:dyDescent="0.25">
      <c r="B22" s="102"/>
      <c r="C22" s="108"/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1121.92</v>
      </c>
      <c r="O22" s="24">
        <v>1121.92</v>
      </c>
      <c r="P22" s="18">
        <f>SUM(D22:O22)</f>
        <v>2243.84</v>
      </c>
    </row>
    <row r="23" spans="2:16" ht="15" customHeight="1" x14ac:dyDescent="0.25">
      <c r="B23" s="102"/>
      <c r="C23" s="107" t="s">
        <v>14</v>
      </c>
      <c r="D23" s="23"/>
      <c r="E23" s="23"/>
      <c r="F23" s="23"/>
      <c r="G23" s="23"/>
      <c r="H23" s="23"/>
      <c r="I23" s="23"/>
      <c r="J23" s="23"/>
      <c r="K23" s="23"/>
      <c r="L23" s="23">
        <v>41517</v>
      </c>
      <c r="M23" s="23">
        <v>41547</v>
      </c>
      <c r="N23" s="23">
        <v>41578</v>
      </c>
      <c r="O23" s="23" t="s">
        <v>15</v>
      </c>
      <c r="P23" s="17"/>
    </row>
    <row r="24" spans="2:16" ht="15" customHeight="1" x14ac:dyDescent="0.25">
      <c r="B24" s="102"/>
      <c r="C24" s="108"/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624</v>
      </c>
      <c r="M24" s="24">
        <v>624</v>
      </c>
      <c r="N24" s="24">
        <v>624</v>
      </c>
      <c r="O24" s="24">
        <v>624</v>
      </c>
      <c r="P24" s="18">
        <f>SUM(D24:O24)</f>
        <v>2496</v>
      </c>
    </row>
    <row r="25" spans="2:16" x14ac:dyDescent="0.25">
      <c r="B25" s="99" t="s">
        <v>24</v>
      </c>
      <c r="C25" s="104" t="s">
        <v>22</v>
      </c>
      <c r="D25" s="23"/>
      <c r="E25" s="23"/>
      <c r="F25" s="23"/>
      <c r="G25" s="23"/>
      <c r="H25" s="23"/>
      <c r="I25" s="23"/>
      <c r="J25" s="23"/>
      <c r="K25" s="23">
        <v>41494</v>
      </c>
      <c r="L25" s="23">
        <v>41522</v>
      </c>
      <c r="M25" s="23">
        <v>41550</v>
      </c>
      <c r="N25" s="23">
        <v>41585</v>
      </c>
      <c r="O25" s="23" t="s">
        <v>18</v>
      </c>
      <c r="P25" s="19"/>
    </row>
    <row r="26" spans="2:16" x14ac:dyDescent="0.25">
      <c r="B26" s="99"/>
      <c r="C26" s="105"/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450</v>
      </c>
      <c r="L26" s="24">
        <v>450</v>
      </c>
      <c r="M26" s="24">
        <v>450</v>
      </c>
      <c r="N26" s="24">
        <v>450</v>
      </c>
      <c r="O26" s="24">
        <v>900</v>
      </c>
      <c r="P26" s="20">
        <f>SUM(D26:O26)</f>
        <v>2700</v>
      </c>
    </row>
    <row r="27" spans="2:16" x14ac:dyDescent="0.25">
      <c r="B27" s="99"/>
      <c r="C27" s="104" t="s">
        <v>23</v>
      </c>
      <c r="D27" s="23"/>
      <c r="E27" s="23"/>
      <c r="F27" s="23"/>
      <c r="G27" s="23"/>
      <c r="H27" s="23"/>
      <c r="I27" s="23"/>
      <c r="J27" s="23">
        <v>41470</v>
      </c>
      <c r="K27" s="23">
        <v>41515</v>
      </c>
      <c r="L27" s="23">
        <v>41526</v>
      </c>
      <c r="M27" s="23">
        <v>41568</v>
      </c>
      <c r="N27" s="23">
        <v>41591</v>
      </c>
      <c r="O27" s="23" t="s">
        <v>19</v>
      </c>
      <c r="P27" s="19"/>
    </row>
    <row r="28" spans="2:16" x14ac:dyDescent="0.25">
      <c r="B28" s="99"/>
      <c r="C28" s="105"/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485.67</v>
      </c>
      <c r="K28" s="24">
        <v>14.66</v>
      </c>
      <c r="L28" s="24">
        <v>100.57</v>
      </c>
      <c r="M28" s="24">
        <v>51.64</v>
      </c>
      <c r="N28" s="24">
        <v>34.21</v>
      </c>
      <c r="O28" s="24">
        <f>26.14+90.59+48.9</f>
        <v>165.63</v>
      </c>
      <c r="P28" s="20">
        <f>SUM(D28:O28)</f>
        <v>852.38</v>
      </c>
    </row>
    <row r="29" spans="2:16" ht="15" customHeight="1" x14ac:dyDescent="0.25">
      <c r="B29" s="99"/>
      <c r="C29" s="104" t="s">
        <v>20</v>
      </c>
      <c r="D29" s="23">
        <v>41302</v>
      </c>
      <c r="E29" s="23">
        <v>41331</v>
      </c>
      <c r="F29" s="23">
        <v>41365</v>
      </c>
      <c r="G29" s="23">
        <v>41396</v>
      </c>
      <c r="H29" s="23">
        <v>41426</v>
      </c>
      <c r="I29" s="23">
        <v>41456</v>
      </c>
      <c r="J29" s="23">
        <v>41488</v>
      </c>
      <c r="K29" s="23">
        <v>41516</v>
      </c>
      <c r="L29" s="23">
        <v>41545</v>
      </c>
      <c r="M29" s="23">
        <v>41560</v>
      </c>
      <c r="N29" s="23">
        <v>41609</v>
      </c>
      <c r="O29" s="23">
        <v>41638</v>
      </c>
      <c r="P29" s="19"/>
    </row>
    <row r="30" spans="2:16" ht="15" customHeight="1" x14ac:dyDescent="0.25">
      <c r="B30" s="99"/>
      <c r="C30" s="105"/>
      <c r="D30" s="24">
        <v>3100</v>
      </c>
      <c r="E30" s="24">
        <v>950.63</v>
      </c>
      <c r="F30" s="24">
        <v>680</v>
      </c>
      <c r="G30" s="24">
        <v>531.91</v>
      </c>
      <c r="H30" s="24">
        <v>373.88</v>
      </c>
      <c r="I30" s="24">
        <v>451.22</v>
      </c>
      <c r="J30" s="24">
        <v>483.63</v>
      </c>
      <c r="K30" s="24">
        <v>295.07</v>
      </c>
      <c r="L30" s="24">
        <v>1509.95</v>
      </c>
      <c r="M30" s="24">
        <f>1971.75+631.39</f>
        <v>2603.14</v>
      </c>
      <c r="N30" s="24">
        <v>1308.44</v>
      </c>
      <c r="O30" s="24">
        <v>511.21</v>
      </c>
      <c r="P30" s="20">
        <f>SUM(D30:O30)</f>
        <v>12799.08</v>
      </c>
    </row>
    <row r="31" spans="2:16" ht="15" customHeight="1" x14ac:dyDescent="0.25">
      <c r="B31" s="99"/>
      <c r="C31" s="104" t="s">
        <v>21</v>
      </c>
      <c r="D31" s="23">
        <v>41302</v>
      </c>
      <c r="E31" s="23">
        <v>41331</v>
      </c>
      <c r="F31" s="23">
        <v>41365</v>
      </c>
      <c r="G31" s="23">
        <v>41396</v>
      </c>
      <c r="H31" s="23">
        <v>41426</v>
      </c>
      <c r="I31" s="23">
        <v>41456</v>
      </c>
      <c r="J31" s="23">
        <v>41488</v>
      </c>
      <c r="K31" s="23">
        <v>41516</v>
      </c>
      <c r="L31" s="23">
        <v>41545</v>
      </c>
      <c r="M31" s="23">
        <v>41562</v>
      </c>
      <c r="N31" s="23">
        <v>41598</v>
      </c>
      <c r="O31" s="23">
        <v>41638</v>
      </c>
      <c r="P31" s="19"/>
    </row>
    <row r="32" spans="2:16" ht="15" customHeight="1" x14ac:dyDescent="0.25">
      <c r="B32" s="99"/>
      <c r="C32" s="105"/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1422.26</v>
      </c>
      <c r="N32" s="24">
        <v>53.54</v>
      </c>
      <c r="O32" s="24">
        <v>313.44</v>
      </c>
      <c r="P32" s="20">
        <f>SUM(D32:O32)</f>
        <v>1789.24</v>
      </c>
    </row>
    <row r="33" spans="2:16" ht="15" customHeight="1" x14ac:dyDescent="0.25">
      <c r="B33" s="100" t="s">
        <v>25</v>
      </c>
      <c r="C33" s="103" t="s">
        <v>16</v>
      </c>
      <c r="D33" s="23">
        <v>41275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1"/>
    </row>
    <row r="34" spans="2:16" ht="15" customHeight="1" x14ac:dyDescent="0.25">
      <c r="B34" s="100"/>
      <c r="C34" s="103"/>
      <c r="D34" s="24">
        <v>360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2">
        <f>SUM(D34:O34)</f>
        <v>360</v>
      </c>
    </row>
    <row r="35" spans="2:16" ht="15" customHeight="1" x14ac:dyDescent="0.25">
      <c r="B35" s="100"/>
      <c r="C35" s="103" t="s">
        <v>17</v>
      </c>
      <c r="D35" s="23">
        <v>41275</v>
      </c>
      <c r="E35" s="23"/>
      <c r="F35" s="23"/>
      <c r="G35" s="23"/>
      <c r="H35" s="23"/>
      <c r="I35" s="23"/>
      <c r="J35" s="23"/>
      <c r="K35" s="23">
        <v>41516</v>
      </c>
      <c r="L35" s="23"/>
      <c r="M35" s="23"/>
      <c r="N35" s="23"/>
      <c r="O35" s="23"/>
      <c r="P35" s="21"/>
    </row>
    <row r="36" spans="2:16" ht="15" customHeight="1" x14ac:dyDescent="0.25">
      <c r="B36" s="100"/>
      <c r="C36" s="103"/>
      <c r="D36" s="24">
        <v>1228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422</v>
      </c>
      <c r="L36" s="24">
        <v>0</v>
      </c>
      <c r="M36" s="24">
        <v>0</v>
      </c>
      <c r="N36" s="24">
        <v>0</v>
      </c>
      <c r="O36" s="24">
        <v>0</v>
      </c>
      <c r="P36" s="22">
        <f>SUM(D36:O36)</f>
        <v>1650</v>
      </c>
    </row>
    <row r="37" spans="2:16" x14ac:dyDescent="0.25">
      <c r="B37" s="100"/>
      <c r="C37" s="103" t="s">
        <v>12</v>
      </c>
      <c r="D37" s="29">
        <v>41291</v>
      </c>
      <c r="E37" s="23">
        <v>41322</v>
      </c>
      <c r="F37" s="29">
        <v>41350</v>
      </c>
      <c r="G37" s="23">
        <v>41381</v>
      </c>
      <c r="H37" s="29">
        <v>41411</v>
      </c>
      <c r="I37" s="23">
        <v>41443</v>
      </c>
      <c r="J37" s="29">
        <v>41473</v>
      </c>
      <c r="K37" s="23">
        <v>41508</v>
      </c>
      <c r="L37" s="29">
        <v>41535</v>
      </c>
      <c r="M37" s="23">
        <v>41565</v>
      </c>
      <c r="N37" s="29">
        <v>41597</v>
      </c>
      <c r="O37" s="23"/>
      <c r="P37" s="21"/>
    </row>
    <row r="38" spans="2:16" x14ac:dyDescent="0.25">
      <c r="B38" s="100"/>
      <c r="C38" s="103"/>
      <c r="D38" s="24">
        <v>500</v>
      </c>
      <c r="E38" s="24">
        <v>500</v>
      </c>
      <c r="F38" s="24">
        <v>500</v>
      </c>
      <c r="G38" s="24">
        <v>500</v>
      </c>
      <c r="H38" s="24">
        <v>500</v>
      </c>
      <c r="I38" s="24">
        <v>500</v>
      </c>
      <c r="J38" s="24">
        <v>500</v>
      </c>
      <c r="K38" s="24">
        <v>500</v>
      </c>
      <c r="L38" s="24">
        <v>500</v>
      </c>
      <c r="M38" s="24">
        <v>500</v>
      </c>
      <c r="N38" s="24">
        <v>500</v>
      </c>
      <c r="O38" s="24">
        <v>0</v>
      </c>
      <c r="P38" s="22">
        <f>SUM(D38:O38)</f>
        <v>5500</v>
      </c>
    </row>
    <row r="39" spans="2:16" x14ac:dyDescent="0.25">
      <c r="C39" s="11" t="s">
        <v>0</v>
      </c>
      <c r="D39" s="12">
        <f t="shared" ref="D39:O39" si="1">SUM(D4,D8,D16,D20,D18,D38,D22,D24,D12,D14,D34,D36,D30,D32)</f>
        <v>7507.46</v>
      </c>
      <c r="E39" s="12">
        <f t="shared" si="1"/>
        <v>3813.98</v>
      </c>
      <c r="F39" s="12">
        <f t="shared" si="1"/>
        <v>3584.69</v>
      </c>
      <c r="G39" s="12">
        <f t="shared" si="1"/>
        <v>3333.98</v>
      </c>
      <c r="H39" s="12">
        <f t="shared" si="1"/>
        <v>3252.83</v>
      </c>
      <c r="I39" s="12">
        <f t="shared" si="1"/>
        <v>2725.93</v>
      </c>
      <c r="J39" s="12">
        <f t="shared" si="1"/>
        <v>2719.87</v>
      </c>
      <c r="K39" s="12">
        <f t="shared" si="1"/>
        <v>2884.74</v>
      </c>
      <c r="L39" s="12">
        <f t="shared" si="1"/>
        <v>4373.92</v>
      </c>
      <c r="M39" s="12">
        <f t="shared" si="1"/>
        <v>6795.4</v>
      </c>
      <c r="N39" s="12">
        <f t="shared" si="1"/>
        <v>5275.69</v>
      </c>
      <c r="O39" s="12">
        <f t="shared" si="1"/>
        <v>4586.67</v>
      </c>
      <c r="P39" s="12">
        <f>SUM(D39:O39)</f>
        <v>50855.16</v>
      </c>
    </row>
  </sheetData>
  <mergeCells count="22">
    <mergeCell ref="C19:C20"/>
    <mergeCell ref="C3:C4"/>
    <mergeCell ref="C5:C6"/>
    <mergeCell ref="C7:C8"/>
    <mergeCell ref="C9:C10"/>
    <mergeCell ref="C15:C16"/>
    <mergeCell ref="B25:B32"/>
    <mergeCell ref="B33:B38"/>
    <mergeCell ref="B3:B18"/>
    <mergeCell ref="B19:B24"/>
    <mergeCell ref="C33:C34"/>
    <mergeCell ref="C35:C36"/>
    <mergeCell ref="C25:C26"/>
    <mergeCell ref="C27:C28"/>
    <mergeCell ref="C29:C30"/>
    <mergeCell ref="C31:C32"/>
    <mergeCell ref="C17:C18"/>
    <mergeCell ref="C37:C38"/>
    <mergeCell ref="C21:C22"/>
    <mergeCell ref="C23:C24"/>
    <mergeCell ref="C11:C12"/>
    <mergeCell ref="C13:C1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43"/>
  <sheetViews>
    <sheetView topLeftCell="K13" workbookViewId="0">
      <selection activeCell="D24" sqref="D24:O24"/>
    </sheetView>
  </sheetViews>
  <sheetFormatPr defaultRowHeight="15" x14ac:dyDescent="0.25"/>
  <cols>
    <col min="3" max="3" width="15" bestFit="1" customWidth="1"/>
    <col min="4" max="4" width="10.7109375" bestFit="1" customWidth="1"/>
    <col min="5" max="5" width="9.7109375" bestFit="1" customWidth="1"/>
    <col min="6" max="6" width="10.140625" bestFit="1" customWidth="1"/>
    <col min="7" max="12" width="9.7109375" bestFit="1" customWidth="1"/>
    <col min="13" max="14" width="10.7109375" bestFit="1" customWidth="1"/>
    <col min="15" max="15" width="10.85546875" bestFit="1" customWidth="1"/>
    <col min="16" max="16" width="10.140625" bestFit="1" customWidth="1"/>
    <col min="20" max="20" width="10.140625" bestFit="1" customWidth="1"/>
  </cols>
  <sheetData>
    <row r="2" spans="2:16" x14ac:dyDescent="0.25">
      <c r="C2" s="1"/>
      <c r="D2" s="13">
        <v>41640</v>
      </c>
      <c r="E2" s="13">
        <v>41671</v>
      </c>
      <c r="F2" s="13">
        <v>41699</v>
      </c>
      <c r="G2" s="13">
        <v>41730</v>
      </c>
      <c r="H2" s="13">
        <v>41760</v>
      </c>
      <c r="I2" s="13">
        <v>41791</v>
      </c>
      <c r="J2" s="13">
        <v>41821</v>
      </c>
      <c r="K2" s="13">
        <v>41852</v>
      </c>
      <c r="L2" s="13">
        <v>41883</v>
      </c>
      <c r="M2" s="13">
        <v>41913</v>
      </c>
      <c r="N2" s="13">
        <v>41944</v>
      </c>
      <c r="O2" s="13">
        <v>41974</v>
      </c>
      <c r="P2" s="13" t="s">
        <v>0</v>
      </c>
    </row>
    <row r="3" spans="2:16" x14ac:dyDescent="0.25">
      <c r="B3" s="101" t="s">
        <v>26</v>
      </c>
      <c r="C3" s="106" t="s">
        <v>1</v>
      </c>
      <c r="D3" s="30">
        <v>41650</v>
      </c>
      <c r="E3" s="30">
        <v>41701</v>
      </c>
      <c r="F3" s="30">
        <v>41732</v>
      </c>
      <c r="G3" s="33">
        <v>41739</v>
      </c>
      <c r="H3" s="33">
        <v>41769</v>
      </c>
      <c r="I3" s="33">
        <v>41800</v>
      </c>
      <c r="J3" s="33">
        <v>41830</v>
      </c>
      <c r="K3" s="33">
        <v>41861</v>
      </c>
      <c r="L3" s="33">
        <v>41892</v>
      </c>
      <c r="M3" s="33">
        <v>41922</v>
      </c>
      <c r="N3" s="33">
        <v>41953</v>
      </c>
      <c r="O3" s="33">
        <v>41983</v>
      </c>
      <c r="P3" s="33"/>
    </row>
    <row r="4" spans="2:16" x14ac:dyDescent="0.25">
      <c r="B4" s="101"/>
      <c r="C4" s="106"/>
      <c r="D4" s="31">
        <v>172.12</v>
      </c>
      <c r="E4" s="31">
        <v>228.74</v>
      </c>
      <c r="F4" s="31">
        <v>157.83000000000001</v>
      </c>
      <c r="G4" s="31">
        <v>150.97999999999999</v>
      </c>
      <c r="H4" s="31">
        <v>69.42</v>
      </c>
      <c r="I4" s="31">
        <v>30.17</v>
      </c>
      <c r="J4" s="31">
        <v>21.29</v>
      </c>
      <c r="K4" s="31">
        <v>19.13</v>
      </c>
      <c r="L4" s="31">
        <v>19.22</v>
      </c>
      <c r="M4" s="31">
        <v>23.34</v>
      </c>
      <c r="N4" s="31">
        <v>72.069999999999993</v>
      </c>
      <c r="O4" s="31">
        <v>133.99</v>
      </c>
      <c r="P4" s="31">
        <f>SUM(D4:O4)</f>
        <v>1098.3</v>
      </c>
    </row>
    <row r="5" spans="2:16" x14ac:dyDescent="0.25">
      <c r="B5" s="101"/>
      <c r="C5" s="106" t="s">
        <v>10</v>
      </c>
      <c r="D5" s="30">
        <v>41644</v>
      </c>
      <c r="E5" s="30">
        <v>41675</v>
      </c>
      <c r="F5" s="30">
        <v>41703</v>
      </c>
      <c r="G5" s="30">
        <v>41732</v>
      </c>
      <c r="H5" s="30">
        <v>41765</v>
      </c>
      <c r="I5" s="30">
        <v>41814</v>
      </c>
      <c r="J5" s="30">
        <v>41827</v>
      </c>
      <c r="K5" s="30">
        <v>41856</v>
      </c>
      <c r="L5" s="30">
        <v>41891</v>
      </c>
      <c r="M5" s="30">
        <v>41918</v>
      </c>
      <c r="N5" s="30">
        <v>41953</v>
      </c>
      <c r="O5" s="30">
        <v>41980</v>
      </c>
      <c r="P5" s="43"/>
    </row>
    <row r="6" spans="2:16" x14ac:dyDescent="0.25">
      <c r="B6" s="101"/>
      <c r="C6" s="106"/>
      <c r="D6" s="31">
        <v>78.88</v>
      </c>
      <c r="E6" s="31">
        <v>92.87</v>
      </c>
      <c r="F6" s="31">
        <v>85.58</v>
      </c>
      <c r="G6" s="31">
        <v>69.13</v>
      </c>
      <c r="H6" s="31">
        <v>40.76</v>
      </c>
      <c r="I6" s="31">
        <v>29.48</v>
      </c>
      <c r="J6" s="31">
        <v>20.420000000000002</v>
      </c>
      <c r="K6" s="31">
        <v>20.329999999999998</v>
      </c>
      <c r="L6" s="31">
        <v>20.37</v>
      </c>
      <c r="M6" s="31">
        <v>20.36</v>
      </c>
      <c r="N6" s="31">
        <v>20.2</v>
      </c>
      <c r="O6" s="31">
        <v>71.81</v>
      </c>
      <c r="P6" s="31">
        <f>SUM(D6:O6)</f>
        <v>570.19000000000005</v>
      </c>
    </row>
    <row r="7" spans="2:16" x14ac:dyDescent="0.25">
      <c r="B7" s="101"/>
      <c r="C7" s="106" t="s">
        <v>2</v>
      </c>
      <c r="D7" s="30">
        <v>41665</v>
      </c>
      <c r="E7" s="30">
        <v>41696</v>
      </c>
      <c r="F7" s="30">
        <v>41724</v>
      </c>
      <c r="G7" s="30">
        <v>41752</v>
      </c>
      <c r="H7" s="30">
        <v>41781</v>
      </c>
      <c r="I7" s="30">
        <v>41813</v>
      </c>
      <c r="J7" s="30">
        <v>41849</v>
      </c>
      <c r="K7" s="30">
        <v>41875</v>
      </c>
      <c r="L7" s="30">
        <v>41907</v>
      </c>
      <c r="M7" s="30">
        <v>41934</v>
      </c>
      <c r="N7" s="30">
        <v>41967</v>
      </c>
      <c r="O7" s="30">
        <v>41996</v>
      </c>
      <c r="P7" s="30"/>
    </row>
    <row r="8" spans="2:16" x14ac:dyDescent="0.25">
      <c r="B8" s="101"/>
      <c r="C8" s="106"/>
      <c r="D8" s="31">
        <v>78.540000000000006</v>
      </c>
      <c r="E8" s="31">
        <v>71.849999999999994</v>
      </c>
      <c r="F8" s="31">
        <v>52.17</v>
      </c>
      <c r="G8" s="31">
        <v>36.93</v>
      </c>
      <c r="H8" s="31">
        <v>34.130000000000003</v>
      </c>
      <c r="I8" s="31">
        <v>30.62</v>
      </c>
      <c r="J8" s="31">
        <v>70.069999999999993</v>
      </c>
      <c r="K8" s="31">
        <v>52.03</v>
      </c>
      <c r="L8" s="31">
        <v>54.95</v>
      </c>
      <c r="M8" s="31">
        <v>40.11</v>
      </c>
      <c r="N8" s="31">
        <v>56.49</v>
      </c>
      <c r="O8" s="31">
        <v>60.38</v>
      </c>
      <c r="P8" s="31">
        <f>SUM(D8:O8)</f>
        <v>638.27</v>
      </c>
    </row>
    <row r="9" spans="2:16" x14ac:dyDescent="0.25">
      <c r="B9" s="101"/>
      <c r="C9" s="106" t="s">
        <v>11</v>
      </c>
      <c r="D9" s="30">
        <v>41640</v>
      </c>
      <c r="E9" s="30">
        <v>41675</v>
      </c>
      <c r="F9" s="30">
        <v>41704</v>
      </c>
      <c r="G9" s="30">
        <v>41732</v>
      </c>
      <c r="H9" s="30">
        <v>41765</v>
      </c>
      <c r="I9" s="30">
        <v>41813</v>
      </c>
      <c r="J9" s="30">
        <v>41842</v>
      </c>
      <c r="K9" s="30">
        <v>41872</v>
      </c>
      <c r="L9" s="30">
        <v>41891</v>
      </c>
      <c r="M9" s="30">
        <v>41918</v>
      </c>
      <c r="N9" s="30">
        <v>41953</v>
      </c>
      <c r="O9" s="30">
        <v>41980</v>
      </c>
      <c r="P9" s="43"/>
    </row>
    <row r="10" spans="2:16" x14ac:dyDescent="0.25">
      <c r="B10" s="101"/>
      <c r="C10" s="106"/>
      <c r="D10" s="31">
        <v>27.52</v>
      </c>
      <c r="E10" s="31">
        <v>26.7</v>
      </c>
      <c r="F10" s="31">
        <v>26.13</v>
      </c>
      <c r="G10" s="31">
        <v>18.059999999999999</v>
      </c>
      <c r="H10" s="31">
        <v>21.69</v>
      </c>
      <c r="I10" s="31">
        <v>28.38</v>
      </c>
      <c r="J10" s="31">
        <v>46.56</v>
      </c>
      <c r="K10" s="31">
        <v>60.27</v>
      </c>
      <c r="L10" s="31">
        <v>49.23</v>
      </c>
      <c r="M10" s="31">
        <v>46.42</v>
      </c>
      <c r="N10" s="31">
        <v>37.61</v>
      </c>
      <c r="O10" s="31">
        <v>38.58</v>
      </c>
      <c r="P10" s="31">
        <f>SUM(D10:O10)</f>
        <v>427.15</v>
      </c>
    </row>
    <row r="11" spans="2:16" x14ac:dyDescent="0.25">
      <c r="B11" s="101"/>
      <c r="C11" s="106" t="s">
        <v>7</v>
      </c>
      <c r="D11" s="30"/>
      <c r="E11" s="30"/>
      <c r="F11" s="30">
        <v>41713</v>
      </c>
      <c r="G11" s="30"/>
      <c r="H11" s="30"/>
      <c r="I11" s="30">
        <v>41808</v>
      </c>
      <c r="J11" s="30"/>
      <c r="K11" s="30"/>
      <c r="L11" s="35">
        <v>41900</v>
      </c>
      <c r="M11" s="30"/>
      <c r="N11" s="30"/>
      <c r="O11" s="30">
        <v>41991</v>
      </c>
      <c r="P11" s="30"/>
    </row>
    <row r="12" spans="2:16" x14ac:dyDescent="0.25">
      <c r="B12" s="101"/>
      <c r="C12" s="106"/>
      <c r="D12" s="31"/>
      <c r="E12" s="31"/>
      <c r="F12" s="31">
        <v>144</v>
      </c>
      <c r="G12" s="31"/>
      <c r="H12" s="31"/>
      <c r="I12" s="31">
        <v>81.97</v>
      </c>
      <c r="J12" s="31"/>
      <c r="K12" s="31"/>
      <c r="L12" s="36">
        <v>143.53</v>
      </c>
      <c r="M12" s="31"/>
      <c r="N12" s="31"/>
      <c r="O12" s="31">
        <v>118.35</v>
      </c>
      <c r="P12" s="31">
        <f>SUM(D12:O12)</f>
        <v>487.85</v>
      </c>
    </row>
    <row r="13" spans="2:16" x14ac:dyDescent="0.25">
      <c r="B13" s="101"/>
      <c r="C13" s="106" t="s">
        <v>8</v>
      </c>
      <c r="D13" s="30"/>
      <c r="E13" s="30"/>
      <c r="F13" s="30"/>
      <c r="G13" s="30"/>
      <c r="H13" s="30">
        <v>41426</v>
      </c>
      <c r="I13" s="32"/>
      <c r="J13" s="30"/>
      <c r="K13" s="30"/>
      <c r="L13" s="30"/>
      <c r="M13" s="30"/>
      <c r="N13" s="30"/>
      <c r="O13" s="30"/>
      <c r="P13" s="30"/>
    </row>
    <row r="14" spans="2:16" x14ac:dyDescent="0.25">
      <c r="B14" s="101"/>
      <c r="C14" s="106"/>
      <c r="D14" s="31">
        <v>0</v>
      </c>
      <c r="E14" s="31">
        <v>0</v>
      </c>
      <c r="F14" s="31">
        <v>0</v>
      </c>
      <c r="G14" s="31">
        <v>0</v>
      </c>
      <c r="H14" s="31">
        <v>149.38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f>SUM(D14:O14)</f>
        <v>149.38</v>
      </c>
    </row>
    <row r="15" spans="2:16" x14ac:dyDescent="0.25">
      <c r="B15" s="101"/>
      <c r="C15" s="106" t="s">
        <v>3</v>
      </c>
      <c r="D15" s="30">
        <v>41656</v>
      </c>
      <c r="E15" s="30">
        <v>41689</v>
      </c>
      <c r="F15" s="30">
        <v>41716</v>
      </c>
      <c r="G15" s="30">
        <v>41751</v>
      </c>
      <c r="H15" s="30">
        <v>41779</v>
      </c>
      <c r="I15" s="30">
        <v>41810</v>
      </c>
      <c r="J15" s="30">
        <v>41838</v>
      </c>
      <c r="K15" s="30">
        <v>41877</v>
      </c>
      <c r="L15" s="30">
        <v>41902</v>
      </c>
      <c r="M15" s="30">
        <v>41930</v>
      </c>
      <c r="N15" s="30">
        <v>41961</v>
      </c>
      <c r="O15" s="30">
        <v>41991</v>
      </c>
      <c r="P15" s="30"/>
    </row>
    <row r="16" spans="2:16" x14ac:dyDescent="0.25">
      <c r="B16" s="101"/>
      <c r="C16" s="106"/>
      <c r="D16" s="31">
        <v>39.99</v>
      </c>
      <c r="E16" s="31">
        <v>54.99</v>
      </c>
      <c r="F16" s="31">
        <v>40.479999999999997</v>
      </c>
      <c r="G16" s="31">
        <v>42.7</v>
      </c>
      <c r="H16" s="31">
        <v>42.7</v>
      </c>
      <c r="I16" s="31">
        <v>42.7</v>
      </c>
      <c r="J16" s="31">
        <v>42.71</v>
      </c>
      <c r="K16" s="31">
        <v>42.7</v>
      </c>
      <c r="L16" s="31">
        <v>42.7</v>
      </c>
      <c r="M16" s="31">
        <v>42.7</v>
      </c>
      <c r="N16" s="31">
        <v>42.7</v>
      </c>
      <c r="O16" s="31">
        <v>42.7</v>
      </c>
      <c r="P16" s="31">
        <f>SUM(D16:O16)</f>
        <v>519.77</v>
      </c>
    </row>
    <row r="17" spans="2:20" x14ac:dyDescent="0.25">
      <c r="B17" s="101"/>
      <c r="C17" s="106" t="s">
        <v>5</v>
      </c>
      <c r="D17" s="30"/>
      <c r="E17" s="30"/>
      <c r="F17" s="30"/>
      <c r="G17" s="30"/>
      <c r="H17" s="30">
        <v>41771</v>
      </c>
      <c r="I17" s="30">
        <v>41789</v>
      </c>
      <c r="J17" s="30">
        <v>41832</v>
      </c>
      <c r="K17" s="30">
        <v>41852</v>
      </c>
      <c r="L17" s="30">
        <v>41889</v>
      </c>
      <c r="M17" s="30">
        <v>41948</v>
      </c>
      <c r="N17" s="30">
        <v>41967</v>
      </c>
      <c r="O17" s="30">
        <v>41996</v>
      </c>
      <c r="P17" s="30"/>
    </row>
    <row r="18" spans="2:20" x14ac:dyDescent="0.25">
      <c r="B18" s="101"/>
      <c r="C18" s="106"/>
      <c r="D18" s="31">
        <v>0</v>
      </c>
      <c r="E18" s="31">
        <v>0</v>
      </c>
      <c r="F18" s="31">
        <v>0</v>
      </c>
      <c r="G18" s="31">
        <v>0</v>
      </c>
      <c r="H18" s="31">
        <v>40</v>
      </c>
      <c r="I18" s="31">
        <v>29.99</v>
      </c>
      <c r="J18" s="31">
        <v>29.99</v>
      </c>
      <c r="K18" s="31">
        <v>29.99</v>
      </c>
      <c r="L18" s="31">
        <v>29.99</v>
      </c>
      <c r="M18" s="31">
        <v>29.99</v>
      </c>
      <c r="N18" s="31">
        <v>29.99</v>
      </c>
      <c r="O18" s="31">
        <v>29.99</v>
      </c>
      <c r="P18" s="31">
        <f>SUM(D18:O18)</f>
        <v>249.93</v>
      </c>
    </row>
    <row r="19" spans="2:20" x14ac:dyDescent="0.25">
      <c r="B19" s="102" t="s">
        <v>27</v>
      </c>
      <c r="C19" s="107" t="s">
        <v>4</v>
      </c>
      <c r="D19" s="30">
        <v>41640</v>
      </c>
      <c r="E19" s="30">
        <v>41671</v>
      </c>
      <c r="F19" s="30">
        <v>41701</v>
      </c>
      <c r="G19" s="30">
        <v>41730</v>
      </c>
      <c r="H19" s="30">
        <v>41760</v>
      </c>
      <c r="I19" s="30">
        <v>41791</v>
      </c>
      <c r="J19" s="30">
        <v>41821</v>
      </c>
      <c r="K19" s="30">
        <v>41852</v>
      </c>
      <c r="L19" s="30">
        <v>41883</v>
      </c>
      <c r="M19" s="30">
        <v>41913</v>
      </c>
      <c r="N19" s="30">
        <v>41944</v>
      </c>
      <c r="O19" s="30">
        <v>41974</v>
      </c>
      <c r="P19" s="30"/>
    </row>
    <row r="20" spans="2:20" x14ac:dyDescent="0.25">
      <c r="B20" s="102"/>
      <c r="C20" s="108"/>
      <c r="D20" s="31">
        <v>1651.17</v>
      </c>
      <c r="E20" s="31">
        <v>1651.17</v>
      </c>
      <c r="F20" s="31">
        <v>1651.17</v>
      </c>
      <c r="G20" s="31">
        <v>1651.17</v>
      </c>
      <c r="H20" s="31">
        <v>1651.17</v>
      </c>
      <c r="I20" s="31">
        <v>1651.17</v>
      </c>
      <c r="J20" s="31">
        <v>1651.17</v>
      </c>
      <c r="K20" s="31">
        <v>1651.17</v>
      </c>
      <c r="L20" s="31">
        <v>1651.17</v>
      </c>
      <c r="M20" s="31">
        <v>1651.17</v>
      </c>
      <c r="N20" s="31">
        <v>1651.17</v>
      </c>
      <c r="O20" s="31">
        <v>1651.17</v>
      </c>
      <c r="P20" s="31">
        <f>SUM(D20:O20)</f>
        <v>19814.04</v>
      </c>
    </row>
    <row r="21" spans="2:20" x14ac:dyDescent="0.25">
      <c r="B21" s="102"/>
      <c r="C21" s="107" t="s">
        <v>13</v>
      </c>
      <c r="D21" s="30">
        <v>41628</v>
      </c>
      <c r="E21" s="30">
        <v>41671</v>
      </c>
      <c r="F21" s="30">
        <v>41672</v>
      </c>
      <c r="G21" s="30">
        <v>41730</v>
      </c>
      <c r="H21" s="30"/>
      <c r="I21" s="32"/>
      <c r="J21" s="30"/>
      <c r="K21" s="30"/>
      <c r="L21" s="30"/>
      <c r="M21" s="28"/>
      <c r="N21" s="30"/>
      <c r="O21" s="30"/>
      <c r="P21" s="30"/>
    </row>
    <row r="22" spans="2:20" x14ac:dyDescent="0.25">
      <c r="B22" s="102"/>
      <c r="C22" s="108"/>
      <c r="D22" s="31">
        <v>5121.92</v>
      </c>
      <c r="E22" s="31">
        <v>1121.92</v>
      </c>
      <c r="F22" s="31">
        <v>1121.92</v>
      </c>
      <c r="G22" s="31">
        <v>1121.92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f>SUM(D22:O22)</f>
        <v>8487.68</v>
      </c>
    </row>
    <row r="23" spans="2:20" x14ac:dyDescent="0.25">
      <c r="B23" s="102"/>
      <c r="C23" s="107" t="s">
        <v>14</v>
      </c>
      <c r="D23" s="30">
        <v>41640</v>
      </c>
      <c r="E23" s="30">
        <v>41671</v>
      </c>
      <c r="F23" s="30">
        <v>41699</v>
      </c>
      <c r="G23" s="30">
        <v>41730</v>
      </c>
      <c r="H23" s="30">
        <v>41760</v>
      </c>
      <c r="I23" s="30">
        <v>41791</v>
      </c>
      <c r="J23" s="30">
        <v>41821</v>
      </c>
      <c r="K23" s="30">
        <v>41852</v>
      </c>
      <c r="L23" s="30">
        <v>41883</v>
      </c>
      <c r="M23" s="30">
        <v>41913</v>
      </c>
      <c r="N23" s="30">
        <v>41944</v>
      </c>
      <c r="O23" s="30">
        <v>41974</v>
      </c>
      <c r="P23" s="30"/>
    </row>
    <row r="24" spans="2:20" x14ac:dyDescent="0.25">
      <c r="B24" s="102"/>
      <c r="C24" s="108"/>
      <c r="D24" s="31">
        <v>624</v>
      </c>
      <c r="E24" s="31">
        <v>624</v>
      </c>
      <c r="F24" s="31">
        <v>624</v>
      </c>
      <c r="G24" s="31">
        <v>624</v>
      </c>
      <c r="H24" s="31">
        <v>624</v>
      </c>
      <c r="I24" s="31">
        <v>624</v>
      </c>
      <c r="J24" s="31">
        <v>624</v>
      </c>
      <c r="K24" s="31">
        <v>624</v>
      </c>
      <c r="L24" s="31">
        <v>624</v>
      </c>
      <c r="M24" s="31">
        <v>624</v>
      </c>
      <c r="N24" s="31">
        <v>624</v>
      </c>
      <c r="O24" s="31">
        <v>624</v>
      </c>
      <c r="P24" s="31">
        <f>SUM(D24:O24)</f>
        <v>7488</v>
      </c>
    </row>
    <row r="25" spans="2:20" x14ac:dyDescent="0.25">
      <c r="B25" s="99" t="s">
        <v>24</v>
      </c>
      <c r="C25" s="104" t="s">
        <v>22</v>
      </c>
      <c r="D25" s="30">
        <v>41641</v>
      </c>
      <c r="E25" s="30">
        <v>41674</v>
      </c>
      <c r="F25" s="30">
        <v>41702</v>
      </c>
      <c r="G25" s="30">
        <v>41728</v>
      </c>
      <c r="H25" s="30"/>
      <c r="I25" s="30"/>
      <c r="J25" s="30"/>
      <c r="K25" s="30"/>
      <c r="L25" s="30"/>
      <c r="M25" s="30"/>
      <c r="N25" s="30"/>
      <c r="O25" s="30"/>
      <c r="P25" s="30"/>
    </row>
    <row r="26" spans="2:20" x14ac:dyDescent="0.25">
      <c r="B26" s="99"/>
      <c r="C26" s="105"/>
      <c r="D26" s="31">
        <v>450</v>
      </c>
      <c r="E26" s="31">
        <v>450</v>
      </c>
      <c r="F26" s="31">
        <v>450</v>
      </c>
      <c r="G26" s="31">
        <v>373.99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f>SUM(D26:O26)</f>
        <v>1723.99</v>
      </c>
    </row>
    <row r="27" spans="2:20" x14ac:dyDescent="0.25">
      <c r="B27" s="99"/>
      <c r="C27" s="104" t="s">
        <v>23</v>
      </c>
      <c r="D27" s="30">
        <v>41655</v>
      </c>
      <c r="E27" s="30">
        <v>41687</v>
      </c>
      <c r="F27" s="30">
        <v>41719</v>
      </c>
      <c r="G27" s="30">
        <v>41759</v>
      </c>
      <c r="H27" s="30">
        <v>41773</v>
      </c>
      <c r="I27" s="30">
        <v>41796</v>
      </c>
      <c r="J27" s="30">
        <v>41852</v>
      </c>
      <c r="K27" s="30">
        <v>41878</v>
      </c>
      <c r="L27" s="30">
        <v>41902</v>
      </c>
      <c r="M27" s="30">
        <v>41949</v>
      </c>
      <c r="N27" s="30">
        <v>41974</v>
      </c>
      <c r="O27" s="30">
        <v>41991</v>
      </c>
      <c r="P27" s="30"/>
    </row>
    <row r="28" spans="2:20" x14ac:dyDescent="0.25">
      <c r="B28" s="99"/>
      <c r="C28" s="105"/>
      <c r="D28" s="31">
        <f>39.19</f>
        <v>39.19</v>
      </c>
      <c r="E28" s="31">
        <v>39.35</v>
      </c>
      <c r="F28" s="31">
        <f>56.83+110.79</f>
        <v>167.62</v>
      </c>
      <c r="G28" s="31">
        <v>0</v>
      </c>
      <c r="H28" s="31">
        <v>20.8</v>
      </c>
      <c r="I28" s="31">
        <v>111.69</v>
      </c>
      <c r="J28" s="31">
        <f>89.6+44.69</f>
        <v>134.29</v>
      </c>
      <c r="K28" s="31">
        <f>28.48+57.44</f>
        <v>85.92</v>
      </c>
      <c r="L28" s="31">
        <v>40.85</v>
      </c>
      <c r="M28" s="31">
        <v>102.68</v>
      </c>
      <c r="N28" s="31">
        <v>0</v>
      </c>
      <c r="O28" s="31">
        <v>90</v>
      </c>
      <c r="P28" s="31">
        <f>SUM(D28:O28)</f>
        <v>832.39</v>
      </c>
    </row>
    <row r="29" spans="2:20" x14ac:dyDescent="0.25">
      <c r="B29" s="99"/>
      <c r="C29" s="104" t="s">
        <v>20</v>
      </c>
      <c r="D29" s="30">
        <v>41670</v>
      </c>
      <c r="E29" s="30">
        <v>41696</v>
      </c>
      <c r="F29" s="30">
        <v>41728</v>
      </c>
      <c r="G29" s="30">
        <v>41759</v>
      </c>
      <c r="H29" s="30">
        <v>41791</v>
      </c>
      <c r="I29" s="30">
        <v>41822</v>
      </c>
      <c r="J29" s="30">
        <v>41849</v>
      </c>
      <c r="K29" s="30">
        <v>41878</v>
      </c>
      <c r="L29" s="30">
        <v>41911</v>
      </c>
      <c r="M29" s="30">
        <v>41949</v>
      </c>
      <c r="N29" s="30">
        <v>41975</v>
      </c>
      <c r="O29" s="30">
        <v>42003</v>
      </c>
      <c r="P29" s="30"/>
      <c r="T29">
        <v>2700</v>
      </c>
    </row>
    <row r="30" spans="2:20" x14ac:dyDescent="0.25">
      <c r="B30" s="99"/>
      <c r="C30" s="105"/>
      <c r="D30" s="31">
        <v>467.39</v>
      </c>
      <c r="E30" s="31">
        <v>939.26</v>
      </c>
      <c r="F30" s="31">
        <v>406.31</v>
      </c>
      <c r="G30" s="31">
        <v>264.92</v>
      </c>
      <c r="H30" s="31">
        <v>315.76</v>
      </c>
      <c r="I30" s="31">
        <v>306.06</v>
      </c>
      <c r="J30" s="31">
        <v>384.08</v>
      </c>
      <c r="K30" s="31">
        <v>403.21</v>
      </c>
      <c r="L30" s="31">
        <f>10.01+18.02+8.42+13.56+16.04+15.01+844.58</f>
        <v>925.64</v>
      </c>
      <c r="M30" s="31">
        <f>317-80+97.35</f>
        <v>334.35</v>
      </c>
      <c r="N30" s="31">
        <v>139.35</v>
      </c>
      <c r="O30" s="31">
        <f>350.8-60.38-42.7</f>
        <v>247.72</v>
      </c>
      <c r="P30" s="31">
        <f>SUM(D30:O30)</f>
        <v>5134.05</v>
      </c>
      <c r="T30" s="34">
        <f>SUM(D28:I28)</f>
        <v>378.65</v>
      </c>
    </row>
    <row r="31" spans="2:20" x14ac:dyDescent="0.25">
      <c r="B31" s="99"/>
      <c r="C31" s="104" t="s">
        <v>21</v>
      </c>
      <c r="D31" s="30">
        <v>41670</v>
      </c>
      <c r="E31" s="30">
        <v>41696</v>
      </c>
      <c r="F31" s="30">
        <v>41730</v>
      </c>
      <c r="G31" s="30">
        <v>41759</v>
      </c>
      <c r="H31" s="30">
        <v>41787</v>
      </c>
      <c r="I31" s="30">
        <v>41822</v>
      </c>
      <c r="J31" s="30">
        <v>41838</v>
      </c>
      <c r="K31" s="30">
        <v>41878</v>
      </c>
      <c r="L31" s="30">
        <v>41911</v>
      </c>
      <c r="M31" s="30">
        <v>41930</v>
      </c>
      <c r="N31" s="30">
        <v>41957</v>
      </c>
      <c r="O31" s="30">
        <v>41991</v>
      </c>
      <c r="P31" s="30"/>
      <c r="T31" s="34">
        <f>SUM(D30:I30)</f>
        <v>2699.7</v>
      </c>
    </row>
    <row r="32" spans="2:20" x14ac:dyDescent="0.25">
      <c r="B32" s="99"/>
      <c r="C32" s="105"/>
      <c r="D32" s="31">
        <v>17.38</v>
      </c>
      <c r="E32" s="31">
        <v>215.06</v>
      </c>
      <c r="F32" s="31">
        <v>120.3</v>
      </c>
      <c r="G32" s="31">
        <v>693.01</v>
      </c>
      <c r="H32" s="31">
        <v>49.15</v>
      </c>
      <c r="I32" s="31">
        <f>52.83+120.53</f>
        <v>173.36</v>
      </c>
      <c r="J32" s="31">
        <v>355.61</v>
      </c>
      <c r="K32" s="31">
        <v>142.69</v>
      </c>
      <c r="L32" s="31">
        <v>124.49</v>
      </c>
      <c r="M32" s="31">
        <v>471.97</v>
      </c>
      <c r="N32" s="31">
        <f>468.79+259.21</f>
        <v>728</v>
      </c>
      <c r="O32" s="31">
        <v>178.31</v>
      </c>
      <c r="P32" s="31">
        <f>SUM(D32:O32)</f>
        <v>3269.33</v>
      </c>
      <c r="T32" s="34">
        <f>SUM(D32:I32)</f>
        <v>1268.26</v>
      </c>
    </row>
    <row r="33" spans="2:20" ht="15" customHeight="1" x14ac:dyDescent="0.25">
      <c r="B33" s="111" t="s">
        <v>25</v>
      </c>
      <c r="C33" s="103" t="s">
        <v>16</v>
      </c>
      <c r="D33" s="30">
        <v>41628</v>
      </c>
      <c r="E33" s="30"/>
      <c r="F33" s="30">
        <v>41702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2:20" x14ac:dyDescent="0.25">
      <c r="B34" s="112"/>
      <c r="C34" s="103"/>
      <c r="D34" s="31">
        <v>385</v>
      </c>
      <c r="E34" s="31">
        <v>0</v>
      </c>
      <c r="F34" s="31">
        <v>150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f>SUM(D34:O34)</f>
        <v>535</v>
      </c>
      <c r="T34">
        <f>SUM(T29:T32)</f>
        <v>7046.61</v>
      </c>
    </row>
    <row r="35" spans="2:20" x14ac:dyDescent="0.25">
      <c r="B35" s="112"/>
      <c r="C35" s="103" t="s">
        <v>17</v>
      </c>
      <c r="D35" s="30"/>
      <c r="E35" s="30">
        <v>41675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T35">
        <f>T34*2</f>
        <v>14093.22</v>
      </c>
    </row>
    <row r="36" spans="2:20" x14ac:dyDescent="0.25">
      <c r="B36" s="112"/>
      <c r="C36" s="103"/>
      <c r="D36" s="31">
        <v>0</v>
      </c>
      <c r="E36" s="31">
        <f>1726-38</f>
        <v>1688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f>SUM(D36:O36)</f>
        <v>1688</v>
      </c>
    </row>
    <row r="37" spans="2:20" ht="15" customHeight="1" x14ac:dyDescent="0.25">
      <c r="B37" s="112"/>
      <c r="C37" s="109" t="s">
        <v>28</v>
      </c>
      <c r="D37" s="30"/>
      <c r="E37" s="30">
        <v>41699</v>
      </c>
      <c r="F37" s="30">
        <v>41733</v>
      </c>
      <c r="G37" s="30">
        <v>41764</v>
      </c>
      <c r="H37" s="30">
        <v>41795</v>
      </c>
      <c r="I37" s="30" t="s">
        <v>31</v>
      </c>
      <c r="J37" s="30">
        <v>41856</v>
      </c>
      <c r="K37" s="30">
        <v>41887</v>
      </c>
      <c r="L37" s="30">
        <v>41917</v>
      </c>
      <c r="M37" s="30">
        <v>41948</v>
      </c>
      <c r="N37" s="30">
        <v>41978</v>
      </c>
      <c r="O37" s="30">
        <v>42009</v>
      </c>
      <c r="P37" s="30"/>
    </row>
    <row r="38" spans="2:20" x14ac:dyDescent="0.25">
      <c r="B38" s="112"/>
      <c r="C38" s="110"/>
      <c r="D38" s="31">
        <v>0</v>
      </c>
      <c r="E38" s="31">
        <v>0.19</v>
      </c>
      <c r="F38" s="31">
        <v>0.19</v>
      </c>
      <c r="G38" s="31">
        <v>0.19</v>
      </c>
      <c r="H38" s="31">
        <v>0.19</v>
      </c>
      <c r="I38" s="31">
        <v>0.19</v>
      </c>
      <c r="J38" s="31">
        <v>0.19</v>
      </c>
      <c r="K38" s="31">
        <v>0.19</v>
      </c>
      <c r="L38" s="31">
        <v>0.19</v>
      </c>
      <c r="M38" s="31">
        <v>0.19</v>
      </c>
      <c r="N38" s="31">
        <v>0.19</v>
      </c>
      <c r="O38" s="31">
        <v>0.19</v>
      </c>
      <c r="P38" s="31">
        <f>SUM(D38:O38)</f>
        <v>2.09</v>
      </c>
    </row>
    <row r="39" spans="2:20" x14ac:dyDescent="0.25">
      <c r="B39" s="112"/>
      <c r="C39" s="109" t="s">
        <v>29</v>
      </c>
      <c r="D39" s="30"/>
      <c r="E39" s="30">
        <v>41699</v>
      </c>
      <c r="F39" s="30">
        <v>41719</v>
      </c>
      <c r="G39" s="30">
        <v>41752</v>
      </c>
      <c r="H39" s="30">
        <v>41795</v>
      </c>
      <c r="I39" s="30">
        <v>41825</v>
      </c>
      <c r="J39" s="30">
        <v>41856</v>
      </c>
      <c r="K39" s="30">
        <v>41887</v>
      </c>
      <c r="L39" s="30">
        <v>41917</v>
      </c>
      <c r="M39" s="30">
        <v>41948</v>
      </c>
      <c r="N39" s="30">
        <v>41978</v>
      </c>
      <c r="O39" s="30">
        <v>42009</v>
      </c>
      <c r="P39" s="30"/>
      <c r="T39" s="34">
        <f>P43-P20-P22-P24</f>
        <v>25901.19</v>
      </c>
    </row>
    <row r="40" spans="2:20" x14ac:dyDescent="0.25">
      <c r="B40" s="112"/>
      <c r="C40" s="110"/>
      <c r="D40" s="31">
        <v>0</v>
      </c>
      <c r="E40" s="31">
        <v>25.5</v>
      </c>
      <c r="F40" s="31">
        <v>25.5</v>
      </c>
      <c r="G40" s="31">
        <v>25.5</v>
      </c>
      <c r="H40" s="31">
        <v>25.5</v>
      </c>
      <c r="I40" s="31">
        <v>25.5</v>
      </c>
      <c r="J40" s="31">
        <v>25.5</v>
      </c>
      <c r="K40" s="31">
        <v>25.5</v>
      </c>
      <c r="L40" s="31">
        <v>25.5</v>
      </c>
      <c r="M40" s="31">
        <v>25.5</v>
      </c>
      <c r="N40" s="31">
        <v>25.5</v>
      </c>
      <c r="O40" s="31">
        <v>25.5</v>
      </c>
      <c r="P40" s="31">
        <f>SUM(D40:O40)</f>
        <v>280.5</v>
      </c>
    </row>
    <row r="41" spans="2:20" x14ac:dyDescent="0.25">
      <c r="B41" s="112"/>
      <c r="C41" s="109" t="s">
        <v>30</v>
      </c>
      <c r="D41" s="30"/>
      <c r="E41" s="30"/>
      <c r="F41" s="30">
        <v>41699</v>
      </c>
      <c r="G41" s="30">
        <v>41730</v>
      </c>
      <c r="H41" s="30">
        <v>41760</v>
      </c>
      <c r="I41" s="30">
        <v>41791</v>
      </c>
      <c r="J41" s="30">
        <v>41821</v>
      </c>
      <c r="K41" s="30">
        <v>41852</v>
      </c>
      <c r="L41" s="30">
        <v>41883</v>
      </c>
      <c r="M41" s="30">
        <v>41913</v>
      </c>
      <c r="N41" s="30">
        <v>41944</v>
      </c>
      <c r="O41" s="30">
        <v>41974</v>
      </c>
      <c r="P41" s="30"/>
    </row>
    <row r="42" spans="2:20" x14ac:dyDescent="0.25">
      <c r="B42" s="113"/>
      <c r="C42" s="110"/>
      <c r="D42" s="31">
        <v>0</v>
      </c>
      <c r="E42" s="31">
        <v>0</v>
      </c>
      <c r="F42" s="31">
        <f>205*4+35</f>
        <v>855</v>
      </c>
      <c r="G42" s="31">
        <f t="shared" ref="G42:L42" si="0">205*4</f>
        <v>820</v>
      </c>
      <c r="H42" s="31">
        <f t="shared" si="0"/>
        <v>820</v>
      </c>
      <c r="I42" s="31">
        <f t="shared" si="0"/>
        <v>820</v>
      </c>
      <c r="J42" s="31">
        <f t="shared" si="0"/>
        <v>820</v>
      </c>
      <c r="K42" s="31">
        <f t="shared" si="0"/>
        <v>820</v>
      </c>
      <c r="L42" s="31">
        <f t="shared" si="0"/>
        <v>820</v>
      </c>
      <c r="M42" s="31">
        <f>210*4</f>
        <v>840</v>
      </c>
      <c r="N42" s="31">
        <f>210*4</f>
        <v>840</v>
      </c>
      <c r="O42" s="31">
        <f>210*4</f>
        <v>840</v>
      </c>
      <c r="P42" s="31">
        <f>SUM(D42:O42)</f>
        <v>8295</v>
      </c>
    </row>
    <row r="43" spans="2:20" x14ac:dyDescent="0.25">
      <c r="C43" s="11" t="s">
        <v>0</v>
      </c>
      <c r="D43" s="12">
        <f t="shared" ref="D43:O43" si="1">SUM(D4,D6,D8,D10,D12,D14,D16,D18,D20,D22,D24,D26,D28,D30,D32,D34,D36,D38,D40,D42)</f>
        <v>9153.1</v>
      </c>
      <c r="E43" s="12">
        <f t="shared" si="1"/>
        <v>7229.6</v>
      </c>
      <c r="F43" s="12">
        <f t="shared" si="1"/>
        <v>6078.2</v>
      </c>
      <c r="G43" s="12">
        <f t="shared" si="1"/>
        <v>5892.5</v>
      </c>
      <c r="H43" s="12">
        <f t="shared" si="1"/>
        <v>3904.65</v>
      </c>
      <c r="I43" s="12">
        <f t="shared" si="1"/>
        <v>3985.28</v>
      </c>
      <c r="J43" s="12">
        <f t="shared" si="1"/>
        <v>4225.88</v>
      </c>
      <c r="K43" s="12">
        <f t="shared" si="1"/>
        <v>3977.13</v>
      </c>
      <c r="L43" s="12">
        <f t="shared" si="1"/>
        <v>4571.83</v>
      </c>
      <c r="M43" s="12">
        <f t="shared" si="1"/>
        <v>4252.78</v>
      </c>
      <c r="N43" s="12">
        <f t="shared" si="1"/>
        <v>4267.2700000000004</v>
      </c>
      <c r="O43" s="12">
        <f t="shared" si="1"/>
        <v>4152.6899999999996</v>
      </c>
      <c r="P43" s="12">
        <f>SUM(D43:O43)</f>
        <v>61690.91</v>
      </c>
    </row>
  </sheetData>
  <mergeCells count="24">
    <mergeCell ref="C37:C38"/>
    <mergeCell ref="C39:C40"/>
    <mergeCell ref="C41:C42"/>
    <mergeCell ref="B33:B42"/>
    <mergeCell ref="C13:C14"/>
    <mergeCell ref="B3:B18"/>
    <mergeCell ref="B19:B24"/>
    <mergeCell ref="B25:B32"/>
    <mergeCell ref="C27:C28"/>
    <mergeCell ref="C29:C30"/>
    <mergeCell ref="C31:C32"/>
    <mergeCell ref="C33:C34"/>
    <mergeCell ref="C35:C36"/>
    <mergeCell ref="C15:C16"/>
    <mergeCell ref="C17:C18"/>
    <mergeCell ref="C19:C20"/>
    <mergeCell ref="C21:C22"/>
    <mergeCell ref="C23:C24"/>
    <mergeCell ref="C25:C26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57"/>
  <sheetViews>
    <sheetView topLeftCell="C1" workbookViewId="0">
      <selection activeCell="Q60" sqref="Q60"/>
    </sheetView>
  </sheetViews>
  <sheetFormatPr defaultRowHeight="15" x14ac:dyDescent="0.25"/>
  <cols>
    <col min="3" max="3" width="15" bestFit="1" customWidth="1"/>
    <col min="4" max="4" width="10.7109375" bestFit="1" customWidth="1"/>
    <col min="5" max="5" width="9.7109375" bestFit="1" customWidth="1"/>
    <col min="6" max="7" width="10.140625" bestFit="1" customWidth="1"/>
    <col min="8" max="8" width="9.7109375" bestFit="1" customWidth="1"/>
    <col min="9" max="9" width="10.140625" bestFit="1" customWidth="1"/>
    <col min="10" max="12" width="9.7109375" bestFit="1" customWidth="1"/>
    <col min="13" max="14" width="10.7109375" bestFit="1" customWidth="1"/>
    <col min="15" max="15" width="10.85546875" bestFit="1" customWidth="1"/>
    <col min="16" max="17" width="10.140625" bestFit="1" customWidth="1"/>
  </cols>
  <sheetData>
    <row r="2" spans="2:16" x14ac:dyDescent="0.25">
      <c r="C2" s="1"/>
      <c r="D2" s="13">
        <v>42005</v>
      </c>
      <c r="E2" s="13">
        <v>42036</v>
      </c>
      <c r="F2" s="13">
        <v>42064</v>
      </c>
      <c r="G2" s="13">
        <v>42095</v>
      </c>
      <c r="H2" s="13">
        <v>42125</v>
      </c>
      <c r="I2" s="13">
        <v>42156</v>
      </c>
      <c r="J2" s="13">
        <v>42186</v>
      </c>
      <c r="K2" s="13">
        <v>42217</v>
      </c>
      <c r="L2" s="13">
        <v>42248</v>
      </c>
      <c r="M2" s="13">
        <v>42278</v>
      </c>
      <c r="N2" s="13">
        <v>42309</v>
      </c>
      <c r="O2" s="13">
        <v>42339</v>
      </c>
      <c r="P2" s="13" t="s">
        <v>0</v>
      </c>
    </row>
    <row r="3" spans="2:16" ht="15" customHeight="1" x14ac:dyDescent="0.25">
      <c r="B3" s="125" t="s">
        <v>26</v>
      </c>
      <c r="C3" s="106" t="s">
        <v>1</v>
      </c>
      <c r="D3" s="30">
        <v>42014</v>
      </c>
      <c r="E3" s="30">
        <v>42045</v>
      </c>
      <c r="F3" s="30">
        <v>42073</v>
      </c>
      <c r="G3" s="33">
        <v>42115</v>
      </c>
      <c r="H3" s="33">
        <v>42144</v>
      </c>
      <c r="I3" s="33">
        <v>42172</v>
      </c>
      <c r="J3" s="33">
        <v>42195</v>
      </c>
      <c r="K3" s="33">
        <v>42226</v>
      </c>
      <c r="L3" s="33">
        <v>42257</v>
      </c>
      <c r="M3" s="33">
        <v>42287</v>
      </c>
      <c r="N3" s="33">
        <v>42326</v>
      </c>
      <c r="O3" s="33">
        <v>42348</v>
      </c>
      <c r="P3" s="33"/>
    </row>
    <row r="4" spans="2:16" x14ac:dyDescent="0.25">
      <c r="B4" s="126"/>
      <c r="C4" s="106"/>
      <c r="D4" s="31">
        <v>173.35</v>
      </c>
      <c r="E4" s="31">
        <v>180.23</v>
      </c>
      <c r="F4" s="31">
        <v>201</v>
      </c>
      <c r="G4" s="31">
        <v>100.19</v>
      </c>
      <c r="H4" s="31">
        <v>50.7</v>
      </c>
      <c r="I4" s="31">
        <v>33.58</v>
      </c>
      <c r="J4" s="31">
        <v>11.5</v>
      </c>
      <c r="K4" s="31">
        <v>19.77</v>
      </c>
      <c r="L4" s="31">
        <v>19.14</v>
      </c>
      <c r="M4" s="31">
        <v>20.81</v>
      </c>
      <c r="N4" s="31">
        <v>47.16</v>
      </c>
      <c r="O4" s="31">
        <v>92.41</v>
      </c>
      <c r="P4" s="31">
        <f>SUM(D4:O4)</f>
        <v>949.84</v>
      </c>
    </row>
    <row r="5" spans="2:16" x14ac:dyDescent="0.25">
      <c r="B5" s="126"/>
      <c r="C5" s="106" t="s">
        <v>10</v>
      </c>
      <c r="D5" s="30">
        <v>42016</v>
      </c>
      <c r="E5" s="30">
        <v>42044</v>
      </c>
      <c r="F5" s="30">
        <v>42073</v>
      </c>
      <c r="G5" s="30">
        <v>42101</v>
      </c>
      <c r="H5" s="30">
        <v>42130</v>
      </c>
      <c r="I5" s="30">
        <v>42182</v>
      </c>
      <c r="J5" s="30">
        <v>42198</v>
      </c>
      <c r="K5" s="30">
        <v>42226</v>
      </c>
      <c r="L5" s="30">
        <v>42257</v>
      </c>
      <c r="M5" s="30">
        <v>42290</v>
      </c>
      <c r="N5" s="30">
        <v>42326</v>
      </c>
      <c r="O5" s="30">
        <v>42342</v>
      </c>
      <c r="P5" s="43"/>
    </row>
    <row r="6" spans="2:16" x14ac:dyDescent="0.25">
      <c r="B6" s="126"/>
      <c r="C6" s="106"/>
      <c r="D6" s="31">
        <v>88.74</v>
      </c>
      <c r="E6" s="31">
        <v>136.21</v>
      </c>
      <c r="F6" s="31">
        <v>120.84</v>
      </c>
      <c r="G6" s="31">
        <v>75.87</v>
      </c>
      <c r="H6" s="31">
        <v>44.8</v>
      </c>
      <c r="I6" s="31">
        <v>24.44</v>
      </c>
      <c r="J6" s="31">
        <v>18.75</v>
      </c>
      <c r="K6" s="31">
        <v>16.829999999999998</v>
      </c>
      <c r="L6" s="31">
        <v>16.760000000000002</v>
      </c>
      <c r="M6" s="31">
        <v>16.66</v>
      </c>
      <c r="N6" s="31">
        <v>19.57</v>
      </c>
      <c r="O6" s="31">
        <v>23.41</v>
      </c>
      <c r="P6" s="31">
        <f>SUM(D6:O6)</f>
        <v>602.88</v>
      </c>
    </row>
    <row r="7" spans="2:16" x14ac:dyDescent="0.25">
      <c r="B7" s="126"/>
      <c r="C7" s="106" t="s">
        <v>2</v>
      </c>
      <c r="D7" s="35">
        <v>42030</v>
      </c>
      <c r="E7" s="30">
        <v>42060</v>
      </c>
      <c r="F7" s="30">
        <v>42087</v>
      </c>
      <c r="G7" s="30">
        <v>42118</v>
      </c>
      <c r="H7" s="30">
        <v>42150</v>
      </c>
      <c r="I7" s="30">
        <v>42182</v>
      </c>
      <c r="J7" s="30">
        <v>42212</v>
      </c>
      <c r="K7" s="30">
        <v>42244</v>
      </c>
      <c r="L7" s="30">
        <v>42271</v>
      </c>
      <c r="M7" s="30">
        <v>42298</v>
      </c>
      <c r="N7" s="30">
        <v>42337</v>
      </c>
      <c r="O7" s="30">
        <v>42361</v>
      </c>
      <c r="P7" s="30"/>
    </row>
    <row r="8" spans="2:16" x14ac:dyDescent="0.25">
      <c r="B8" s="126"/>
      <c r="C8" s="106"/>
      <c r="D8" s="36">
        <v>72.400000000000006</v>
      </c>
      <c r="E8" s="31">
        <v>71.61</v>
      </c>
      <c r="F8" s="31">
        <v>51.02</v>
      </c>
      <c r="G8" s="31">
        <v>47.68</v>
      </c>
      <c r="H8" s="31">
        <v>42.48</v>
      </c>
      <c r="I8" s="31">
        <v>45.55</v>
      </c>
      <c r="J8" s="31">
        <v>53.17</v>
      </c>
      <c r="K8" s="31">
        <v>92.8</v>
      </c>
      <c r="L8" s="31">
        <v>60.81</v>
      </c>
      <c r="M8" s="31">
        <v>49.19</v>
      </c>
      <c r="N8" s="31">
        <v>44.69</v>
      </c>
      <c r="O8" s="31">
        <v>48.32</v>
      </c>
      <c r="P8" s="31">
        <f>SUM(D8:O8)</f>
        <v>679.72</v>
      </c>
    </row>
    <row r="9" spans="2:16" x14ac:dyDescent="0.25">
      <c r="B9" s="126"/>
      <c r="C9" s="106" t="s">
        <v>11</v>
      </c>
      <c r="D9" s="30">
        <v>42030</v>
      </c>
      <c r="E9" s="30">
        <v>42061</v>
      </c>
      <c r="F9" s="30">
        <v>42073</v>
      </c>
      <c r="G9" s="30">
        <v>42101</v>
      </c>
      <c r="H9" s="30">
        <v>42130</v>
      </c>
      <c r="I9" s="30">
        <v>42172</v>
      </c>
      <c r="J9" s="30">
        <v>42198</v>
      </c>
      <c r="K9" s="30">
        <v>42234</v>
      </c>
      <c r="L9" s="30">
        <v>42257</v>
      </c>
      <c r="M9" s="30">
        <v>42290</v>
      </c>
      <c r="N9" s="30">
        <v>42326</v>
      </c>
      <c r="O9" s="30">
        <v>42342</v>
      </c>
      <c r="P9" s="43"/>
    </row>
    <row r="10" spans="2:16" x14ac:dyDescent="0.25">
      <c r="B10" s="126"/>
      <c r="C10" s="106"/>
      <c r="D10" s="31">
        <v>42.08</v>
      </c>
      <c r="E10" s="31">
        <v>29.39</v>
      </c>
      <c r="F10" s="31">
        <v>64.510000000000005</v>
      </c>
      <c r="G10" s="31">
        <v>32.86</v>
      </c>
      <c r="H10" s="31">
        <v>35.130000000000003</v>
      </c>
      <c r="I10" s="31">
        <v>28.85</v>
      </c>
      <c r="J10" s="31">
        <v>24.57</v>
      </c>
      <c r="K10" s="31">
        <v>46.13</v>
      </c>
      <c r="L10" s="31">
        <v>39.020000000000003</v>
      </c>
      <c r="M10" s="31">
        <v>35.68</v>
      </c>
      <c r="N10" s="31">
        <v>30.17</v>
      </c>
      <c r="O10" s="31">
        <v>39.450000000000003</v>
      </c>
      <c r="P10" s="31">
        <f>SUM(D10:O10)</f>
        <v>447.84</v>
      </c>
    </row>
    <row r="11" spans="2:16" x14ac:dyDescent="0.25">
      <c r="B11" s="126"/>
      <c r="C11" s="106" t="s">
        <v>7</v>
      </c>
      <c r="D11" s="30"/>
      <c r="E11" s="30"/>
      <c r="F11" s="30">
        <v>42090</v>
      </c>
      <c r="G11" s="30"/>
      <c r="H11" s="30"/>
      <c r="I11" s="30">
        <v>42182</v>
      </c>
      <c r="J11" s="30"/>
      <c r="K11" s="30"/>
      <c r="L11" s="30">
        <v>42267</v>
      </c>
      <c r="M11" s="30"/>
      <c r="N11" s="30"/>
      <c r="O11" s="30">
        <v>42347</v>
      </c>
      <c r="P11" s="30"/>
    </row>
    <row r="12" spans="2:16" x14ac:dyDescent="0.25">
      <c r="B12" s="126"/>
      <c r="C12" s="106"/>
      <c r="D12" s="31">
        <v>0</v>
      </c>
      <c r="E12" s="31">
        <v>0</v>
      </c>
      <c r="F12" s="31">
        <v>119.83</v>
      </c>
      <c r="G12" s="31">
        <v>0</v>
      </c>
      <c r="H12" s="31">
        <v>0</v>
      </c>
      <c r="I12" s="31">
        <v>95.04</v>
      </c>
      <c r="J12" s="31">
        <v>0</v>
      </c>
      <c r="K12" s="31">
        <v>0</v>
      </c>
      <c r="L12" s="31">
        <v>114.12</v>
      </c>
      <c r="M12" s="31">
        <v>0</v>
      </c>
      <c r="N12" s="31">
        <v>0</v>
      </c>
      <c r="O12" s="31">
        <v>103.13</v>
      </c>
      <c r="P12" s="31">
        <f>SUM(D12:O12)</f>
        <v>432.12</v>
      </c>
    </row>
    <row r="13" spans="2:16" x14ac:dyDescent="0.25">
      <c r="B13" s="126"/>
      <c r="C13" s="106" t="s">
        <v>8</v>
      </c>
      <c r="D13" s="30"/>
      <c r="E13" s="30"/>
      <c r="F13" s="30"/>
      <c r="G13" s="30"/>
      <c r="H13" s="30">
        <v>42161</v>
      </c>
      <c r="I13" s="32"/>
      <c r="J13" s="30"/>
      <c r="K13" s="30"/>
      <c r="L13" s="30"/>
      <c r="M13" s="30"/>
      <c r="N13" s="30"/>
      <c r="O13" s="30"/>
      <c r="P13" s="30"/>
    </row>
    <row r="14" spans="2:16" x14ac:dyDescent="0.25">
      <c r="B14" s="126"/>
      <c r="C14" s="106"/>
      <c r="D14" s="31">
        <v>0</v>
      </c>
      <c r="E14" s="31">
        <v>0</v>
      </c>
      <c r="F14" s="31">
        <v>0</v>
      </c>
      <c r="G14" s="31">
        <v>0</v>
      </c>
      <c r="H14" s="31">
        <v>181.5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f>SUM(D14:O14)</f>
        <v>181.5</v>
      </c>
    </row>
    <row r="15" spans="2:16" x14ac:dyDescent="0.25">
      <c r="B15" s="126"/>
      <c r="C15" s="106" t="s">
        <v>3</v>
      </c>
      <c r="D15" s="30">
        <v>42025</v>
      </c>
      <c r="E15" s="30">
        <v>42061</v>
      </c>
      <c r="F15" s="30">
        <v>42082</v>
      </c>
      <c r="G15" s="30">
        <v>42114</v>
      </c>
      <c r="H15" s="30">
        <v>42144</v>
      </c>
      <c r="I15" s="30">
        <v>42172</v>
      </c>
      <c r="J15" s="30">
        <v>42206</v>
      </c>
      <c r="K15" s="30">
        <v>42234</v>
      </c>
      <c r="L15" s="30">
        <v>42265</v>
      </c>
      <c r="M15" s="30">
        <v>42298</v>
      </c>
      <c r="N15" s="30">
        <v>42326</v>
      </c>
      <c r="O15" s="30">
        <v>42342</v>
      </c>
      <c r="P15" s="30"/>
    </row>
    <row r="16" spans="2:16" x14ac:dyDescent="0.25">
      <c r="B16" s="126"/>
      <c r="C16" s="106"/>
      <c r="D16" s="31">
        <v>44.62</v>
      </c>
      <c r="E16" s="31">
        <v>65.12</v>
      </c>
      <c r="F16" s="31">
        <v>50.06</v>
      </c>
      <c r="G16" s="31">
        <v>54.99</v>
      </c>
      <c r="H16" s="31">
        <v>50.16</v>
      </c>
      <c r="I16" s="31">
        <v>54.99</v>
      </c>
      <c r="J16" s="31">
        <v>54.88</v>
      </c>
      <c r="K16" s="31">
        <v>54.99</v>
      </c>
      <c r="L16" s="31">
        <v>54.99</v>
      </c>
      <c r="M16" s="31">
        <v>54.88</v>
      </c>
      <c r="N16" s="31">
        <f>80 - 4 - 43.15</f>
        <v>32.85</v>
      </c>
      <c r="O16" s="31">
        <v>25.45</v>
      </c>
      <c r="P16" s="31">
        <f>SUM(D16:O16)</f>
        <v>597.98</v>
      </c>
    </row>
    <row r="17" spans="2:20" x14ac:dyDescent="0.25">
      <c r="B17" s="126"/>
      <c r="C17" s="106" t="s">
        <v>5</v>
      </c>
      <c r="D17" s="30">
        <v>42023</v>
      </c>
      <c r="E17" s="30">
        <v>42061</v>
      </c>
      <c r="F17" s="30">
        <v>42082</v>
      </c>
      <c r="G17" s="30">
        <v>42115</v>
      </c>
      <c r="H17" s="30">
        <v>42144</v>
      </c>
      <c r="I17" s="30">
        <v>42172</v>
      </c>
      <c r="J17" s="30">
        <v>42206</v>
      </c>
      <c r="K17" s="30">
        <v>42234</v>
      </c>
      <c r="L17" s="30">
        <v>42265</v>
      </c>
      <c r="M17" s="30">
        <v>42304</v>
      </c>
      <c r="N17" s="30">
        <v>42326</v>
      </c>
      <c r="O17" s="30">
        <v>42361</v>
      </c>
      <c r="P17" s="30"/>
    </row>
    <row r="18" spans="2:20" x14ac:dyDescent="0.25">
      <c r="B18" s="126"/>
      <c r="C18" s="106"/>
      <c r="D18" s="31">
        <v>29.99</v>
      </c>
      <c r="E18" s="31">
        <v>29.99</v>
      </c>
      <c r="F18" s="31">
        <v>29.99</v>
      </c>
      <c r="G18" s="31">
        <v>29.99</v>
      </c>
      <c r="H18" s="31">
        <v>29.99</v>
      </c>
      <c r="I18" s="31">
        <v>29.99</v>
      </c>
      <c r="J18" s="31">
        <v>29.99</v>
      </c>
      <c r="K18" s="31">
        <v>29.99</v>
      </c>
      <c r="L18" s="31">
        <v>29.99</v>
      </c>
      <c r="M18" s="31">
        <v>49.99</v>
      </c>
      <c r="N18" s="31">
        <v>49.99</v>
      </c>
      <c r="O18" s="31">
        <v>49.99</v>
      </c>
      <c r="P18" s="31">
        <f>SUM(D18:O18)</f>
        <v>419.88</v>
      </c>
    </row>
    <row r="19" spans="2:20" ht="15" customHeight="1" x14ac:dyDescent="0.25">
      <c r="B19" s="127"/>
      <c r="C19" s="42" t="s">
        <v>0</v>
      </c>
      <c r="D19" s="114">
        <f>SUM(P3:P18)</f>
        <v>4311.76</v>
      </c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6"/>
    </row>
    <row r="20" spans="2:20" x14ac:dyDescent="0.25">
      <c r="B20" s="118" t="s">
        <v>27</v>
      </c>
      <c r="C20" s="107" t="s">
        <v>4</v>
      </c>
      <c r="D20" s="30">
        <v>42006</v>
      </c>
      <c r="E20" s="30">
        <v>42036</v>
      </c>
      <c r="F20" s="30">
        <v>42064</v>
      </c>
      <c r="G20" s="30">
        <v>42095</v>
      </c>
      <c r="H20" s="30">
        <v>42125</v>
      </c>
      <c r="I20" s="30">
        <v>42156</v>
      </c>
      <c r="J20" s="30">
        <v>42186</v>
      </c>
      <c r="K20" s="30">
        <v>42217</v>
      </c>
      <c r="L20" s="30">
        <v>42248</v>
      </c>
      <c r="M20" s="30">
        <v>42278</v>
      </c>
      <c r="N20" s="30">
        <v>42309</v>
      </c>
      <c r="O20" s="30">
        <v>42339</v>
      </c>
      <c r="P20" s="30"/>
    </row>
    <row r="21" spans="2:20" x14ac:dyDescent="0.25">
      <c r="B21" s="119"/>
      <c r="C21" s="108"/>
      <c r="D21" s="31">
        <v>1595.4</v>
      </c>
      <c r="E21" s="31">
        <v>1595.4</v>
      </c>
      <c r="F21" s="31">
        <v>1595.4</v>
      </c>
      <c r="G21" s="31">
        <v>1595.4</v>
      </c>
      <c r="H21" s="31">
        <f>1595.4+500</f>
        <v>2095.4</v>
      </c>
      <c r="I21" s="31">
        <f t="shared" ref="I21:O21" si="0">1595.4+300</f>
        <v>1895.4</v>
      </c>
      <c r="J21" s="31">
        <f t="shared" si="0"/>
        <v>1895.4</v>
      </c>
      <c r="K21" s="31">
        <f t="shared" si="0"/>
        <v>1895.4</v>
      </c>
      <c r="L21" s="31">
        <f t="shared" si="0"/>
        <v>1895.4</v>
      </c>
      <c r="M21" s="31">
        <f t="shared" si="0"/>
        <v>1895.4</v>
      </c>
      <c r="N21" s="31">
        <f t="shared" si="0"/>
        <v>1895.4</v>
      </c>
      <c r="O21" s="31">
        <f t="shared" si="0"/>
        <v>1895.4</v>
      </c>
      <c r="P21" s="31">
        <f>SUM(D21:O21)</f>
        <v>21744.799999999999</v>
      </c>
    </row>
    <row r="22" spans="2:20" x14ac:dyDescent="0.25">
      <c r="B22" s="119"/>
      <c r="C22" s="107" t="s">
        <v>14</v>
      </c>
      <c r="D22" s="30">
        <v>42006</v>
      </c>
      <c r="E22" s="30">
        <v>42036</v>
      </c>
      <c r="F22" s="30">
        <v>42064</v>
      </c>
      <c r="G22" s="30">
        <v>42095</v>
      </c>
      <c r="H22" s="30">
        <v>42125</v>
      </c>
      <c r="I22" s="30">
        <v>42156</v>
      </c>
      <c r="J22" s="30">
        <v>42186</v>
      </c>
      <c r="K22" s="30">
        <v>42217</v>
      </c>
      <c r="L22" s="30">
        <v>42248</v>
      </c>
      <c r="M22" s="30">
        <v>42278</v>
      </c>
      <c r="N22" s="30">
        <v>42309</v>
      </c>
      <c r="O22" s="30">
        <v>42339</v>
      </c>
      <c r="P22" s="30"/>
    </row>
    <row r="23" spans="2:20" ht="15" customHeight="1" x14ac:dyDescent="0.25">
      <c r="B23" s="119"/>
      <c r="C23" s="108"/>
      <c r="D23" s="31">
        <v>624</v>
      </c>
      <c r="E23" s="31">
        <v>624</v>
      </c>
      <c r="F23" s="31">
        <v>624</v>
      </c>
      <c r="G23" s="31">
        <v>624</v>
      </c>
      <c r="H23" s="31">
        <v>624</v>
      </c>
      <c r="I23" s="31">
        <v>624</v>
      </c>
      <c r="J23" s="31">
        <v>624</v>
      </c>
      <c r="K23" s="31">
        <v>624</v>
      </c>
      <c r="L23" s="31">
        <v>624</v>
      </c>
      <c r="M23" s="31">
        <v>624</v>
      </c>
      <c r="N23" s="31">
        <v>624</v>
      </c>
      <c r="O23" s="31">
        <v>624</v>
      </c>
      <c r="P23" s="31">
        <f>SUM(D23:O23)</f>
        <v>7488</v>
      </c>
      <c r="Q23" s="40"/>
    </row>
    <row r="24" spans="2:20" ht="15" customHeight="1" x14ac:dyDescent="0.25">
      <c r="B24" s="120"/>
      <c r="C24" s="39" t="s">
        <v>0</v>
      </c>
      <c r="D24" s="114">
        <f>SUM(P21:P23)</f>
        <v>29232.799999999999</v>
      </c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6"/>
      <c r="Q24" s="41"/>
    </row>
    <row r="25" spans="2:20" x14ac:dyDescent="0.25">
      <c r="B25" s="121" t="s">
        <v>24</v>
      </c>
      <c r="C25" s="104" t="s">
        <v>32</v>
      </c>
      <c r="D25" s="30">
        <v>42031</v>
      </c>
      <c r="E25" s="30">
        <v>42061</v>
      </c>
      <c r="F25" s="30">
        <v>42087</v>
      </c>
      <c r="G25" s="30">
        <v>42121</v>
      </c>
      <c r="H25" s="30">
        <v>42152</v>
      </c>
      <c r="I25" s="30">
        <v>42182</v>
      </c>
      <c r="J25" s="30">
        <v>42212</v>
      </c>
      <c r="K25" s="30">
        <v>42245</v>
      </c>
      <c r="L25" s="30">
        <v>42277</v>
      </c>
      <c r="M25" s="30">
        <v>42304</v>
      </c>
      <c r="N25" s="30">
        <v>42337</v>
      </c>
      <c r="O25" s="30">
        <v>42370</v>
      </c>
      <c r="P25" s="30"/>
      <c r="Q25" s="41"/>
    </row>
    <row r="26" spans="2:20" x14ac:dyDescent="0.25">
      <c r="B26" s="122"/>
      <c r="C26" s="105"/>
      <c r="D26" s="31">
        <v>101.67</v>
      </c>
      <c r="E26" s="31">
        <v>302.39</v>
      </c>
      <c r="F26" s="31">
        <v>1052.4000000000001</v>
      </c>
      <c r="G26" s="31">
        <v>472.22</v>
      </c>
      <c r="H26" s="31">
        <v>696.37</v>
      </c>
      <c r="I26" s="31">
        <v>398.99</v>
      </c>
      <c r="J26" s="31">
        <v>249.8</v>
      </c>
      <c r="K26" s="31">
        <v>448.58</v>
      </c>
      <c r="L26" s="31">
        <v>267.60000000000002</v>
      </c>
      <c r="M26" s="31">
        <v>148.88</v>
      </c>
      <c r="N26" s="31">
        <v>266.26</v>
      </c>
      <c r="O26" s="31">
        <f>158.06+849.03</f>
        <v>1007.09</v>
      </c>
      <c r="P26" s="31">
        <f>SUM(D26:O26)</f>
        <v>5412.25</v>
      </c>
      <c r="Q26" s="40">
        <f>P26/12</f>
        <v>451.02083333333297</v>
      </c>
    </row>
    <row r="27" spans="2:20" x14ac:dyDescent="0.25">
      <c r="B27" s="122"/>
      <c r="C27" s="104" t="s">
        <v>33</v>
      </c>
      <c r="D27" s="30">
        <v>42031</v>
      </c>
      <c r="E27" s="30">
        <v>42061</v>
      </c>
      <c r="F27" s="30">
        <v>42095</v>
      </c>
      <c r="G27" s="30">
        <v>42117</v>
      </c>
      <c r="H27" s="30">
        <v>42152</v>
      </c>
      <c r="I27" s="30">
        <v>42182</v>
      </c>
      <c r="J27" s="30">
        <v>42212</v>
      </c>
      <c r="K27" s="30">
        <v>42245</v>
      </c>
      <c r="L27" s="30">
        <v>42276</v>
      </c>
      <c r="M27" s="30">
        <v>42304</v>
      </c>
      <c r="N27" s="30">
        <v>42340</v>
      </c>
      <c r="O27" s="30">
        <v>42370</v>
      </c>
      <c r="P27" s="30"/>
      <c r="Q27" s="41"/>
      <c r="R27" s="34">
        <f>(D43-6500-7200-3300)/12</f>
        <v>1017.59333333333</v>
      </c>
    </row>
    <row r="28" spans="2:20" x14ac:dyDescent="0.25">
      <c r="B28" s="122"/>
      <c r="C28" s="105"/>
      <c r="D28" s="31">
        <v>46.65</v>
      </c>
      <c r="E28" s="31">
        <v>110.91</v>
      </c>
      <c r="F28" s="31">
        <f>254.84+31.92-85</f>
        <v>201.76</v>
      </c>
      <c r="G28" s="31">
        <v>481.98</v>
      </c>
      <c r="H28" s="31">
        <v>0</v>
      </c>
      <c r="I28" s="31">
        <v>38.29</v>
      </c>
      <c r="J28" s="31">
        <v>99</v>
      </c>
      <c r="K28" s="31">
        <v>241.99</v>
      </c>
      <c r="L28" s="31">
        <v>200.94</v>
      </c>
      <c r="M28" s="31">
        <v>116.11</v>
      </c>
      <c r="N28" s="31">
        <f>63.71+21.82</f>
        <v>85.53</v>
      </c>
      <c r="O28" s="31">
        <v>31.13</v>
      </c>
      <c r="P28" s="31">
        <f>SUM(D28:O28)</f>
        <v>1654.29</v>
      </c>
      <c r="Q28" s="40">
        <f>P28/12</f>
        <v>137.85749999999999</v>
      </c>
    </row>
    <row r="29" spans="2:20" x14ac:dyDescent="0.25">
      <c r="B29" s="122"/>
      <c r="C29" s="104" t="s">
        <v>34</v>
      </c>
      <c r="D29" s="30">
        <v>42031</v>
      </c>
      <c r="E29" s="30">
        <v>42061</v>
      </c>
      <c r="F29" s="30">
        <v>42078</v>
      </c>
      <c r="G29" s="30">
        <v>42121</v>
      </c>
      <c r="H29" s="30">
        <v>42152</v>
      </c>
      <c r="I29" s="30">
        <v>42182</v>
      </c>
      <c r="J29" s="30">
        <v>42212</v>
      </c>
      <c r="K29" s="30">
        <v>42245</v>
      </c>
      <c r="L29" s="30">
        <v>42278</v>
      </c>
      <c r="M29" s="30">
        <v>42304</v>
      </c>
      <c r="N29" s="30">
        <v>42337</v>
      </c>
      <c r="O29" s="30">
        <v>42342</v>
      </c>
      <c r="P29" s="30"/>
      <c r="Q29" s="41"/>
    </row>
    <row r="30" spans="2:20" x14ac:dyDescent="0.25">
      <c r="B30" s="122"/>
      <c r="C30" s="105"/>
      <c r="D30" s="31">
        <v>0</v>
      </c>
      <c r="E30" s="31">
        <v>0</v>
      </c>
      <c r="F30" s="31">
        <v>129.86000000000001</v>
      </c>
      <c r="G30" s="31">
        <v>24.75</v>
      </c>
      <c r="H30" s="31">
        <v>0</v>
      </c>
      <c r="I30" s="31">
        <v>129.06</v>
      </c>
      <c r="J30" s="31">
        <v>167.26</v>
      </c>
      <c r="K30" s="31">
        <v>0</v>
      </c>
      <c r="L30" s="31">
        <v>12.48</v>
      </c>
      <c r="M30" s="31">
        <v>100.15</v>
      </c>
      <c r="N30" s="31">
        <v>0</v>
      </c>
      <c r="O30" s="31">
        <v>459.95</v>
      </c>
      <c r="P30" s="31">
        <f>SUM(D30:O30)</f>
        <v>1023.51</v>
      </c>
      <c r="Q30" s="40">
        <f>P30/12</f>
        <v>85.292500000000004</v>
      </c>
      <c r="T30" s="34"/>
    </row>
    <row r="31" spans="2:20" ht="15" customHeight="1" x14ac:dyDescent="0.25">
      <c r="B31" s="122"/>
      <c r="C31" s="104" t="s">
        <v>38</v>
      </c>
      <c r="D31" s="30">
        <v>42031</v>
      </c>
      <c r="E31" s="30">
        <v>42065</v>
      </c>
      <c r="F31" s="30">
        <v>42087</v>
      </c>
      <c r="G31" s="30">
        <v>42121</v>
      </c>
      <c r="H31" s="30">
        <v>42152</v>
      </c>
      <c r="I31" s="30">
        <v>42182</v>
      </c>
      <c r="J31" s="30">
        <v>42212</v>
      </c>
      <c r="K31" s="30">
        <v>42245</v>
      </c>
      <c r="L31" s="30">
        <v>42271</v>
      </c>
      <c r="M31" s="30">
        <v>42304</v>
      </c>
      <c r="N31" s="30">
        <v>42337</v>
      </c>
      <c r="O31" s="30">
        <v>42370</v>
      </c>
      <c r="P31" s="30"/>
      <c r="Q31" s="41"/>
      <c r="T31" s="34"/>
    </row>
    <row r="32" spans="2:20" x14ac:dyDescent="0.25">
      <c r="B32" s="122"/>
      <c r="C32" s="105"/>
      <c r="D32" s="44">
        <f>748.39-72.4-173.35</f>
        <v>502.64</v>
      </c>
      <c r="E32" s="44">
        <f>493-65.12-29.39-71.61-29.99-180.23</f>
        <v>116.66</v>
      </c>
      <c r="F32" s="44">
        <f>423.37-29.99-50.06-201-64.51</f>
        <v>77.81</v>
      </c>
      <c r="G32" s="44">
        <f>382.07-29.99-54.99-100.19-32.86-84.02-51.02</f>
        <v>29</v>
      </c>
      <c r="H32" s="44">
        <v>41</v>
      </c>
      <c r="I32" s="44">
        <f>1181.77-28.85-54.99-29.99-33.58-852.86-181.5</f>
        <v>2.2737367544323201E-13</v>
      </c>
      <c r="J32" s="44">
        <f>250.51-29.99-54.99-24.57-11.5-45.55</f>
        <v>83.91</v>
      </c>
      <c r="K32" s="44">
        <f>366.74 - 54.99-29.99-46.13-19.77</f>
        <v>215.86</v>
      </c>
      <c r="L32" s="44">
        <v>218.27</v>
      </c>
      <c r="M32" s="44">
        <f>587.2 - 49.19 - 55 - 35.68 - 20.81</f>
        <v>426.52</v>
      </c>
      <c r="N32" s="44">
        <f>525.71 - 49.99 - 30.17 - 47.16 - 80.15 - 91.46 - 49.99</f>
        <v>176.79</v>
      </c>
      <c r="O32" s="44">
        <f>1801.42 - 92.41 - 930.91 - 39.45 - 44.69 + 653.99 - 49.99 - 48.32 - 22.18</f>
        <v>1227.46</v>
      </c>
      <c r="P32" s="44">
        <f>SUM(D32:O32)</f>
        <v>3115.92</v>
      </c>
      <c r="Q32" s="40">
        <f>P32/12</f>
        <v>259.66000000000003</v>
      </c>
      <c r="T32" s="34"/>
    </row>
    <row r="33" spans="2:20" x14ac:dyDescent="0.25">
      <c r="B33" s="122"/>
      <c r="C33" s="104" t="s">
        <v>40</v>
      </c>
      <c r="D33" s="30"/>
      <c r="E33" s="30"/>
      <c r="F33" s="30"/>
      <c r="G33" s="30">
        <v>42121</v>
      </c>
      <c r="H33" s="30">
        <v>42152</v>
      </c>
      <c r="I33" s="30">
        <v>42182</v>
      </c>
      <c r="J33" s="30">
        <v>42212</v>
      </c>
      <c r="K33" s="30">
        <v>42245</v>
      </c>
      <c r="L33" s="30">
        <v>42271</v>
      </c>
      <c r="M33" s="30">
        <v>42304</v>
      </c>
      <c r="N33" s="30">
        <v>42337</v>
      </c>
      <c r="O33" s="30"/>
      <c r="P33" s="30"/>
      <c r="Q33" s="41"/>
      <c r="T33" s="34"/>
    </row>
    <row r="34" spans="2:20" x14ac:dyDescent="0.25">
      <c r="B34" s="122"/>
      <c r="C34" s="105"/>
      <c r="D34" s="31"/>
      <c r="E34" s="31"/>
      <c r="F34" s="31"/>
      <c r="G34" s="31">
        <f>7.12+40.22</f>
        <v>47.34</v>
      </c>
      <c r="H34" s="31">
        <v>0</v>
      </c>
      <c r="I34" s="31">
        <v>80.400000000000006</v>
      </c>
      <c r="J34" s="31">
        <v>76.97</v>
      </c>
      <c r="K34" s="31">
        <v>0</v>
      </c>
      <c r="L34" s="31">
        <v>19.239999999999998</v>
      </c>
      <c r="M34" s="31">
        <v>22.39</v>
      </c>
      <c r="N34" s="31">
        <v>87.15</v>
      </c>
      <c r="O34" s="31"/>
      <c r="P34" s="44">
        <f>SUM(D34:O34)</f>
        <v>333.49</v>
      </c>
      <c r="Q34" s="40">
        <f>P34/12</f>
        <v>27.7908333333333</v>
      </c>
      <c r="T34" s="34"/>
    </row>
    <row r="35" spans="2:20" ht="15" customHeight="1" x14ac:dyDescent="0.25">
      <c r="B35" s="122"/>
      <c r="C35" s="104" t="s">
        <v>35</v>
      </c>
      <c r="D35" s="30">
        <v>42044</v>
      </c>
      <c r="E35" s="30">
        <v>42061</v>
      </c>
      <c r="F35" s="30">
        <v>42095</v>
      </c>
      <c r="G35" s="30">
        <v>42121</v>
      </c>
      <c r="H35" s="30">
        <v>42152</v>
      </c>
      <c r="I35" s="30">
        <v>42182</v>
      </c>
      <c r="J35" s="30">
        <v>42212</v>
      </c>
      <c r="K35" s="30">
        <v>42245</v>
      </c>
      <c r="L35" s="30">
        <v>42277</v>
      </c>
      <c r="M35" s="30">
        <v>42304</v>
      </c>
      <c r="N35" s="30">
        <v>42337</v>
      </c>
      <c r="O35" s="30">
        <v>42361</v>
      </c>
      <c r="P35" s="30"/>
      <c r="Q35" s="41"/>
    </row>
    <row r="36" spans="2:20" x14ac:dyDescent="0.25">
      <c r="B36" s="122"/>
      <c r="C36" s="105"/>
      <c r="D36" s="31">
        <v>532.27</v>
      </c>
      <c r="E36" s="31">
        <v>303.13</v>
      </c>
      <c r="F36" s="31">
        <v>0</v>
      </c>
      <c r="G36" s="31">
        <v>40.549999999999997</v>
      </c>
      <c r="H36" s="31">
        <v>36.49</v>
      </c>
      <c r="I36" s="31">
        <v>70.55</v>
      </c>
      <c r="J36" s="31">
        <v>31.7</v>
      </c>
      <c r="K36" s="31">
        <v>0</v>
      </c>
      <c r="L36" s="31">
        <v>0</v>
      </c>
      <c r="M36" s="31">
        <v>0</v>
      </c>
      <c r="N36" s="31">
        <v>0</v>
      </c>
      <c r="O36" s="31">
        <v>34.35</v>
      </c>
      <c r="P36" s="31">
        <f>SUM(D36:O36)</f>
        <v>1049.04</v>
      </c>
      <c r="Q36" s="40">
        <f>P36/12</f>
        <v>87.42</v>
      </c>
    </row>
    <row r="37" spans="2:20" x14ac:dyDescent="0.25">
      <c r="B37" s="122"/>
      <c r="C37" s="117" t="s">
        <v>36</v>
      </c>
      <c r="D37" s="30">
        <v>42031</v>
      </c>
      <c r="E37" s="30">
        <v>42061</v>
      </c>
      <c r="F37" s="30">
        <v>42087</v>
      </c>
      <c r="G37" s="30">
        <v>42121</v>
      </c>
      <c r="H37" s="30">
        <v>42152</v>
      </c>
      <c r="I37" s="30">
        <v>42182</v>
      </c>
      <c r="J37" s="30">
        <v>42212</v>
      </c>
      <c r="K37" s="30">
        <v>42245</v>
      </c>
      <c r="L37" s="30">
        <v>42277</v>
      </c>
      <c r="M37" s="30">
        <v>42304</v>
      </c>
      <c r="N37" s="30">
        <v>42337</v>
      </c>
      <c r="O37" s="30">
        <v>42361</v>
      </c>
      <c r="P37" s="30"/>
      <c r="Q37" s="41"/>
    </row>
    <row r="38" spans="2:20" x14ac:dyDescent="0.25">
      <c r="B38" s="122"/>
      <c r="C38" s="117"/>
      <c r="D38" s="31">
        <v>0</v>
      </c>
      <c r="E38" s="31">
        <v>0</v>
      </c>
      <c r="F38" s="31">
        <v>0</v>
      </c>
      <c r="G38" s="31">
        <v>0</v>
      </c>
      <c r="H38" s="31">
        <v>203.11</v>
      </c>
      <c r="I38" s="31">
        <v>89.04</v>
      </c>
      <c r="J38" s="31">
        <v>77.36</v>
      </c>
      <c r="K38" s="31">
        <v>0</v>
      </c>
      <c r="L38" s="31">
        <v>168.28</v>
      </c>
      <c r="M38" s="31">
        <v>126.99</v>
      </c>
      <c r="N38" s="31">
        <v>0</v>
      </c>
      <c r="O38" s="31">
        <v>290.74</v>
      </c>
      <c r="P38" s="31">
        <f>SUM(D38:O38)</f>
        <v>955.52</v>
      </c>
      <c r="Q38" s="40">
        <f>P38/12</f>
        <v>79.626666666666694</v>
      </c>
    </row>
    <row r="39" spans="2:20" ht="15" customHeight="1" x14ac:dyDescent="0.25">
      <c r="B39" s="122"/>
      <c r="C39" s="124" t="s">
        <v>37</v>
      </c>
      <c r="D39" s="30">
        <v>42031</v>
      </c>
      <c r="E39" s="30">
        <v>42061</v>
      </c>
      <c r="F39" s="30">
        <v>42087</v>
      </c>
      <c r="G39" s="30">
        <v>42121</v>
      </c>
      <c r="H39" s="30">
        <v>42152</v>
      </c>
      <c r="I39" s="30">
        <v>42182</v>
      </c>
      <c r="J39" s="30">
        <v>42212</v>
      </c>
      <c r="K39" s="30">
        <v>42245</v>
      </c>
      <c r="L39" s="30">
        <v>42277</v>
      </c>
      <c r="M39" s="30">
        <v>42304</v>
      </c>
      <c r="N39" s="30">
        <v>42337</v>
      </c>
      <c r="O39" s="30">
        <v>42361</v>
      </c>
      <c r="P39" s="30"/>
    </row>
    <row r="40" spans="2:20" x14ac:dyDescent="0.25">
      <c r="B40" s="122"/>
      <c r="C40" s="105"/>
      <c r="D40" s="31">
        <v>9.0500000000000007</v>
      </c>
      <c r="E40" s="31">
        <v>0</v>
      </c>
      <c r="F40" s="31">
        <v>0</v>
      </c>
      <c r="G40" s="31">
        <f>393.32+25.98</f>
        <v>419.3</v>
      </c>
      <c r="H40" s="31">
        <f>113.67+557.55</f>
        <v>671.22</v>
      </c>
      <c r="I40" s="31">
        <f>157.44+279.18</f>
        <v>436.62</v>
      </c>
      <c r="J40" s="31">
        <v>406.95</v>
      </c>
      <c r="K40" s="31">
        <f>406.98 + 94.26</f>
        <v>501.24</v>
      </c>
      <c r="L40" s="31">
        <f>550.25+110.34</f>
        <v>660.59</v>
      </c>
      <c r="M40" s="31">
        <f>540.83+28.28</f>
        <v>569.11</v>
      </c>
      <c r="N40" s="31">
        <f>742.92 +124.2</f>
        <v>867.12</v>
      </c>
      <c r="O40" s="31">
        <v>135.96</v>
      </c>
      <c r="P40" s="31">
        <f>SUM(D40:O40)</f>
        <v>4677.16</v>
      </c>
      <c r="Q40" s="40">
        <f>P40/12</f>
        <v>389.76333333333298</v>
      </c>
    </row>
    <row r="41" spans="2:20" x14ac:dyDescent="0.25">
      <c r="B41" s="122"/>
      <c r="C41" s="104" t="s">
        <v>39</v>
      </c>
      <c r="D41" s="30">
        <v>42041</v>
      </c>
      <c r="E41" s="30">
        <v>42061</v>
      </c>
      <c r="F41" s="30">
        <v>42095</v>
      </c>
      <c r="G41" s="30">
        <v>42121</v>
      </c>
      <c r="H41" s="30">
        <v>42152</v>
      </c>
      <c r="I41" s="30">
        <v>42182</v>
      </c>
      <c r="J41" s="30">
        <v>42212</v>
      </c>
      <c r="K41" s="30">
        <v>42245</v>
      </c>
      <c r="L41" s="30">
        <v>42277</v>
      </c>
      <c r="M41" s="30">
        <v>42304</v>
      </c>
      <c r="N41" s="30">
        <v>42337</v>
      </c>
      <c r="O41" s="30">
        <v>42361</v>
      </c>
      <c r="P41" s="30"/>
    </row>
    <row r="42" spans="2:20" x14ac:dyDescent="0.25">
      <c r="B42" s="122"/>
      <c r="C42" s="105"/>
      <c r="D42" s="31">
        <f>2492.72-926-848.8</f>
        <v>717.92</v>
      </c>
      <c r="E42" s="31">
        <v>670.1</v>
      </c>
      <c r="F42" s="31">
        <v>450</v>
      </c>
      <c r="G42" s="31">
        <v>142.74</v>
      </c>
      <c r="H42" s="31">
        <v>167.77</v>
      </c>
      <c r="I42" s="31">
        <v>5508.96</v>
      </c>
      <c r="J42" s="31">
        <v>49.74</v>
      </c>
      <c r="K42" s="31">
        <v>287.48</v>
      </c>
      <c r="L42" s="31">
        <v>0</v>
      </c>
      <c r="M42" s="31">
        <v>347.61</v>
      </c>
      <c r="N42" s="31">
        <v>1496.64</v>
      </c>
      <c r="O42" s="31">
        <v>1150.98</v>
      </c>
      <c r="P42" s="31">
        <f>SUM(D42:O42)</f>
        <v>10989.94</v>
      </c>
      <c r="Q42" s="40">
        <f>P42/12</f>
        <v>915.82833333333303</v>
      </c>
    </row>
    <row r="43" spans="2:20" ht="15" customHeight="1" x14ac:dyDescent="0.25">
      <c r="B43" s="123"/>
      <c r="C43" s="37" t="s">
        <v>0</v>
      </c>
      <c r="D43" s="114">
        <f>SUM(P25:P42)</f>
        <v>29211.119999999999</v>
      </c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6"/>
    </row>
    <row r="44" spans="2:20" x14ac:dyDescent="0.25">
      <c r="B44" s="111" t="s">
        <v>25</v>
      </c>
      <c r="C44" s="103" t="s">
        <v>16</v>
      </c>
      <c r="D44" s="30">
        <v>42349</v>
      </c>
      <c r="E44" s="30"/>
      <c r="F44" s="30">
        <v>42078</v>
      </c>
      <c r="G44" s="30"/>
      <c r="H44" s="30"/>
      <c r="I44" s="30"/>
      <c r="J44" s="30"/>
      <c r="K44" s="30"/>
      <c r="L44" s="30"/>
      <c r="M44" s="30"/>
      <c r="N44" s="30">
        <v>42337</v>
      </c>
      <c r="O44" s="30"/>
      <c r="P44" s="30"/>
    </row>
    <row r="45" spans="2:20" x14ac:dyDescent="0.25">
      <c r="B45" s="112"/>
      <c r="C45" s="103"/>
      <c r="D45" s="31">
        <v>385</v>
      </c>
      <c r="E45" s="31">
        <v>0</v>
      </c>
      <c r="F45" s="31">
        <v>150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385</v>
      </c>
      <c r="O45" s="31">
        <v>0</v>
      </c>
      <c r="P45" s="31">
        <f>SUM(D45:O45)</f>
        <v>920</v>
      </c>
    </row>
    <row r="46" spans="2:20" x14ac:dyDescent="0.25">
      <c r="B46" s="112"/>
      <c r="C46" s="103" t="s">
        <v>17</v>
      </c>
      <c r="D46" s="30">
        <v>42010</v>
      </c>
      <c r="E46" s="30"/>
      <c r="F46" s="30"/>
      <c r="G46" s="30"/>
      <c r="H46" s="30"/>
      <c r="I46" s="30">
        <v>42161</v>
      </c>
      <c r="J46" s="30"/>
      <c r="K46" s="30"/>
      <c r="L46" s="30"/>
      <c r="M46" s="30"/>
      <c r="N46" s="30"/>
      <c r="O46" s="30">
        <v>42346</v>
      </c>
      <c r="P46" s="30"/>
    </row>
    <row r="47" spans="2:20" x14ac:dyDescent="0.25">
      <c r="B47" s="112"/>
      <c r="C47" s="103"/>
      <c r="D47" s="31">
        <v>848.8</v>
      </c>
      <c r="E47" s="31">
        <v>0</v>
      </c>
      <c r="F47" s="31">
        <v>0</v>
      </c>
      <c r="G47" s="31">
        <v>0</v>
      </c>
      <c r="H47" s="31">
        <v>0</v>
      </c>
      <c r="I47" s="31">
        <v>852.86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930.91</v>
      </c>
      <c r="P47" s="31">
        <f>SUM(D47:O47)</f>
        <v>2632.57</v>
      </c>
    </row>
    <row r="48" spans="2:20" x14ac:dyDescent="0.25">
      <c r="B48" s="112"/>
      <c r="C48" s="109" t="s">
        <v>28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2:18" x14ac:dyDescent="0.25">
      <c r="B49" s="112"/>
      <c r="C49" s="110"/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f>SUM(D49:O49)</f>
        <v>0</v>
      </c>
    </row>
    <row r="50" spans="2:18" x14ac:dyDescent="0.25">
      <c r="B50" s="112"/>
      <c r="C50" s="109" t="s">
        <v>29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2:18" x14ac:dyDescent="0.25">
      <c r="B51" s="112"/>
      <c r="C51" s="110"/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f>SUM(D51:O51)</f>
        <v>0</v>
      </c>
    </row>
    <row r="52" spans="2:18" x14ac:dyDescent="0.25">
      <c r="B52" s="112"/>
      <c r="C52" s="109" t="s">
        <v>30</v>
      </c>
      <c r="D52" s="30">
        <v>42031</v>
      </c>
      <c r="E52" s="30">
        <v>42061</v>
      </c>
      <c r="F52" s="30">
        <v>42082</v>
      </c>
      <c r="G52" s="30">
        <v>42114</v>
      </c>
      <c r="H52" s="30">
        <v>42152</v>
      </c>
      <c r="I52" s="30">
        <v>42182</v>
      </c>
      <c r="J52" s="30">
        <v>42212</v>
      </c>
      <c r="K52" s="30">
        <v>42245</v>
      </c>
      <c r="L52" s="30">
        <v>42277</v>
      </c>
      <c r="M52" s="30">
        <v>42304</v>
      </c>
      <c r="N52" s="30">
        <v>42337</v>
      </c>
      <c r="O52" s="30">
        <v>42361</v>
      </c>
      <c r="P52" s="30"/>
    </row>
    <row r="53" spans="2:18" x14ac:dyDescent="0.25">
      <c r="B53" s="112"/>
      <c r="C53" s="110"/>
      <c r="D53" s="31">
        <v>850</v>
      </c>
      <c r="E53" s="31">
        <v>850</v>
      </c>
      <c r="F53" s="31">
        <v>850</v>
      </c>
      <c r="G53" s="31">
        <v>850</v>
      </c>
      <c r="H53" s="31">
        <v>850</v>
      </c>
      <c r="I53" s="31">
        <v>850</v>
      </c>
      <c r="J53" s="31">
        <v>850</v>
      </c>
      <c r="K53" s="31">
        <v>850</v>
      </c>
      <c r="L53" s="31">
        <v>850</v>
      </c>
      <c r="M53" s="31">
        <v>850</v>
      </c>
      <c r="N53" s="31">
        <v>850</v>
      </c>
      <c r="O53" s="31">
        <v>850</v>
      </c>
      <c r="P53" s="31">
        <f>SUM(D53:O53)</f>
        <v>10200</v>
      </c>
    </row>
    <row r="54" spans="2:18" x14ac:dyDescent="0.25">
      <c r="B54" s="112"/>
      <c r="C54" s="109" t="s">
        <v>41</v>
      </c>
      <c r="D54" s="30"/>
      <c r="E54" s="30">
        <v>42036</v>
      </c>
      <c r="F54" s="30"/>
      <c r="G54" s="30"/>
      <c r="H54" s="30"/>
      <c r="I54" s="30"/>
      <c r="J54" s="30"/>
      <c r="K54" s="30"/>
      <c r="L54" s="30"/>
      <c r="M54" s="30"/>
      <c r="N54" s="30"/>
      <c r="O54" s="30">
        <v>42360</v>
      </c>
      <c r="P54" s="30"/>
    </row>
    <row r="55" spans="2:18" x14ac:dyDescent="0.25">
      <c r="B55" s="112"/>
      <c r="C55" s="110"/>
      <c r="D55" s="31"/>
      <c r="E55" s="31">
        <v>500</v>
      </c>
      <c r="F55" s="31"/>
      <c r="G55" s="31"/>
      <c r="H55" s="31"/>
      <c r="I55" s="31"/>
      <c r="J55" s="31"/>
      <c r="K55" s="31"/>
      <c r="L55" s="31"/>
      <c r="M55" s="31"/>
      <c r="N55" s="31"/>
      <c r="O55" s="31">
        <v>800</v>
      </c>
      <c r="P55" s="31">
        <f>SUM(D55:O55)</f>
        <v>1300</v>
      </c>
    </row>
    <row r="56" spans="2:18" x14ac:dyDescent="0.25">
      <c r="B56" s="113"/>
      <c r="C56" s="38" t="s">
        <v>0</v>
      </c>
      <c r="D56" s="114">
        <f>SUM(P44:P53)</f>
        <v>13752.57</v>
      </c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6"/>
    </row>
    <row r="57" spans="2:18" x14ac:dyDescent="0.25">
      <c r="C57" s="11" t="s">
        <v>0</v>
      </c>
      <c r="D57" s="12">
        <f t="shared" ref="D57:O57" si="1">SUM(D4,D6,D8,D10,D12,D14,D16,D18,D21,D23,D26,D28,D30,D32,D34,D36,D38,D40,D42,D45,D47,D49,D51,D53)</f>
        <v>6664.58</v>
      </c>
      <c r="E57" s="12">
        <f t="shared" si="1"/>
        <v>5085.1400000000003</v>
      </c>
      <c r="F57" s="12">
        <f t="shared" si="1"/>
        <v>5768.48</v>
      </c>
      <c r="G57" s="12">
        <f t="shared" si="1"/>
        <v>5068.8599999999997</v>
      </c>
      <c r="H57" s="12">
        <f t="shared" si="1"/>
        <v>5820.12</v>
      </c>
      <c r="I57" s="12">
        <f t="shared" si="1"/>
        <v>11286.61</v>
      </c>
      <c r="J57" s="12">
        <f t="shared" si="1"/>
        <v>4804.95</v>
      </c>
      <c r="K57" s="12">
        <f t="shared" si="1"/>
        <v>5325.06</v>
      </c>
      <c r="L57" s="12">
        <f t="shared" si="1"/>
        <v>5251.63</v>
      </c>
      <c r="M57" s="12">
        <f t="shared" si="1"/>
        <v>5454.37</v>
      </c>
      <c r="N57" s="12">
        <f t="shared" si="1"/>
        <v>6958.32</v>
      </c>
      <c r="O57" s="12">
        <f t="shared" si="1"/>
        <v>9020.1299999999992</v>
      </c>
      <c r="P57" s="12">
        <f>SUM(P4,P6,P8,P10,P12,P14,P16,P18,P21,P23,P26,P28,P30,P32,P34,P36,P38,P40,P42,P45,P47,P49,P51,P53,P55)</f>
        <v>77808.25</v>
      </c>
      <c r="Q57" s="34">
        <f>P57/12</f>
        <v>6484.0208333333303</v>
      </c>
      <c r="R57" s="45"/>
    </row>
  </sheetData>
  <mergeCells count="33">
    <mergeCell ref="B3:B19"/>
    <mergeCell ref="C3:C4"/>
    <mergeCell ref="C5:C6"/>
    <mergeCell ref="C7:C8"/>
    <mergeCell ref="C9:C10"/>
    <mergeCell ref="C11:C12"/>
    <mergeCell ref="C35:C36"/>
    <mergeCell ref="C33:C34"/>
    <mergeCell ref="D19:P19"/>
    <mergeCell ref="C13:C14"/>
    <mergeCell ref="C15:C16"/>
    <mergeCell ref="C17:C18"/>
    <mergeCell ref="C20:C21"/>
    <mergeCell ref="C22:C23"/>
    <mergeCell ref="C25:C26"/>
    <mergeCell ref="C27:C28"/>
    <mergeCell ref="C29:C30"/>
    <mergeCell ref="C54:C55"/>
    <mergeCell ref="B44:B56"/>
    <mergeCell ref="D56:P56"/>
    <mergeCell ref="C37:C38"/>
    <mergeCell ref="B20:B24"/>
    <mergeCell ref="C44:C45"/>
    <mergeCell ref="C46:C47"/>
    <mergeCell ref="C48:C49"/>
    <mergeCell ref="C50:C51"/>
    <mergeCell ref="C52:C53"/>
    <mergeCell ref="C31:C32"/>
    <mergeCell ref="D24:P24"/>
    <mergeCell ref="B25:B43"/>
    <mergeCell ref="D43:P43"/>
    <mergeCell ref="C41:C42"/>
    <mergeCell ref="C39:C4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U65"/>
  <sheetViews>
    <sheetView topLeftCell="I6" zoomScale="85" zoomScaleNormal="85" workbookViewId="0">
      <selection activeCell="P64" sqref="P64:P65"/>
    </sheetView>
  </sheetViews>
  <sheetFormatPr defaultRowHeight="15" x14ac:dyDescent="0.25"/>
  <cols>
    <col min="3" max="3" width="15" bestFit="1" customWidth="1"/>
    <col min="4" max="4" width="10.7109375" bestFit="1" customWidth="1"/>
    <col min="5" max="5" width="9.7109375" bestFit="1" customWidth="1"/>
    <col min="6" max="7" width="10.140625" bestFit="1" customWidth="1"/>
    <col min="8" max="8" width="9.7109375" bestFit="1" customWidth="1"/>
    <col min="9" max="9" width="10.140625" bestFit="1" customWidth="1"/>
    <col min="10" max="12" width="9.7109375" bestFit="1" customWidth="1"/>
    <col min="13" max="14" width="10.7109375" bestFit="1" customWidth="1"/>
    <col min="15" max="15" width="10.85546875" bestFit="1" customWidth="1"/>
    <col min="16" max="17" width="10.140625" bestFit="1" customWidth="1"/>
  </cols>
  <sheetData>
    <row r="2" spans="2:21" x14ac:dyDescent="0.25">
      <c r="C2" s="1"/>
      <c r="D2" s="13">
        <v>42370</v>
      </c>
      <c r="E2" s="13">
        <v>42401</v>
      </c>
      <c r="F2" s="13">
        <v>42430</v>
      </c>
      <c r="G2" s="13">
        <v>42461</v>
      </c>
      <c r="H2" s="13">
        <v>42491</v>
      </c>
      <c r="I2" s="13">
        <v>42522</v>
      </c>
      <c r="J2" s="13">
        <v>42552</v>
      </c>
      <c r="K2" s="13">
        <v>42583</v>
      </c>
      <c r="L2" s="13">
        <v>42614</v>
      </c>
      <c r="M2" s="13">
        <v>42644</v>
      </c>
      <c r="N2" s="13">
        <v>42675</v>
      </c>
      <c r="O2" s="13">
        <v>42705</v>
      </c>
      <c r="P2" s="13" t="s">
        <v>0</v>
      </c>
    </row>
    <row r="3" spans="2:21" ht="15" customHeight="1" x14ac:dyDescent="0.25">
      <c r="B3" s="125" t="s">
        <v>26</v>
      </c>
      <c r="C3" s="106" t="s">
        <v>1</v>
      </c>
      <c r="D3" s="30">
        <v>42382</v>
      </c>
      <c r="E3" s="30">
        <v>42411</v>
      </c>
      <c r="F3" s="30">
        <v>42439</v>
      </c>
      <c r="G3" s="33">
        <v>42471</v>
      </c>
      <c r="H3" s="33">
        <v>42500</v>
      </c>
      <c r="I3" s="33">
        <v>42531</v>
      </c>
      <c r="J3" s="33">
        <v>42562</v>
      </c>
      <c r="K3" s="33">
        <v>42591</v>
      </c>
      <c r="L3" s="33">
        <v>42622</v>
      </c>
      <c r="M3" s="33">
        <v>42650</v>
      </c>
      <c r="N3" s="33">
        <v>42695</v>
      </c>
      <c r="O3" s="33">
        <v>42716</v>
      </c>
      <c r="P3" s="33"/>
    </row>
    <row r="4" spans="2:21" x14ac:dyDescent="0.25">
      <c r="B4" s="126"/>
      <c r="C4" s="106"/>
      <c r="D4" s="31">
        <v>118.51</v>
      </c>
      <c r="E4" s="31">
        <v>119.13</v>
      </c>
      <c r="F4" s="31">
        <v>124.79</v>
      </c>
      <c r="G4" s="31">
        <v>77.819999999999993</v>
      </c>
      <c r="H4" s="31">
        <v>57.87</v>
      </c>
      <c r="I4" s="31">
        <v>27.85</v>
      </c>
      <c r="J4" s="31">
        <v>20.12</v>
      </c>
      <c r="K4" s="31">
        <v>19.02</v>
      </c>
      <c r="L4" s="31">
        <v>18.82</v>
      </c>
      <c r="M4" s="31">
        <v>19.649999999999999</v>
      </c>
      <c r="N4" s="31">
        <v>40.409999999999997</v>
      </c>
      <c r="O4" s="31">
        <v>92.71</v>
      </c>
      <c r="P4" s="31">
        <f>SUM(D4:O4)</f>
        <v>736.7</v>
      </c>
    </row>
    <row r="5" spans="2:21" x14ac:dyDescent="0.25">
      <c r="B5" s="126"/>
      <c r="C5" s="106" t="s">
        <v>10</v>
      </c>
      <c r="D5" s="30">
        <v>42380</v>
      </c>
      <c r="E5" s="30">
        <v>42406</v>
      </c>
      <c r="F5" s="30">
        <v>42437</v>
      </c>
      <c r="G5" s="30">
        <v>42472</v>
      </c>
      <c r="H5" s="30">
        <v>42499</v>
      </c>
      <c r="I5" s="30">
        <v>42531</v>
      </c>
      <c r="J5" s="30">
        <v>42562</v>
      </c>
      <c r="K5" s="30">
        <v>42590</v>
      </c>
      <c r="L5" s="30">
        <v>42618</v>
      </c>
      <c r="M5" s="30">
        <v>42650</v>
      </c>
      <c r="N5" s="30">
        <v>42685</v>
      </c>
      <c r="O5" s="30">
        <v>42709</v>
      </c>
      <c r="P5" s="43"/>
    </row>
    <row r="6" spans="2:21" x14ac:dyDescent="0.25">
      <c r="B6" s="126"/>
      <c r="C6" s="106"/>
      <c r="D6" s="31">
        <v>53.75</v>
      </c>
      <c r="E6" s="31">
        <v>89.79</v>
      </c>
      <c r="F6" s="31">
        <v>73.33</v>
      </c>
      <c r="G6" s="31">
        <v>52.31</v>
      </c>
      <c r="H6" s="31">
        <v>31.37</v>
      </c>
      <c r="I6" s="31">
        <v>25.17</v>
      </c>
      <c r="J6" s="31">
        <v>17.760000000000002</v>
      </c>
      <c r="K6" s="31">
        <v>17.37</v>
      </c>
      <c r="L6" s="31">
        <v>16.760000000000002</v>
      </c>
      <c r="M6" s="31">
        <v>16.73</v>
      </c>
      <c r="N6" s="31">
        <v>17.28</v>
      </c>
      <c r="O6" s="31">
        <v>34.799999999999997</v>
      </c>
      <c r="P6" s="31">
        <f>SUM(D6:O6)</f>
        <v>446.42</v>
      </c>
    </row>
    <row r="7" spans="2:21" x14ac:dyDescent="0.25">
      <c r="B7" s="126"/>
      <c r="C7" s="106" t="s">
        <v>2</v>
      </c>
      <c r="D7" s="35">
        <v>42394</v>
      </c>
      <c r="E7" s="30">
        <v>42422</v>
      </c>
      <c r="F7" s="30">
        <v>42452</v>
      </c>
      <c r="G7" s="30">
        <v>42483</v>
      </c>
      <c r="H7" s="30">
        <v>42517</v>
      </c>
      <c r="I7" s="30">
        <v>42545</v>
      </c>
      <c r="J7" s="30">
        <v>42576</v>
      </c>
      <c r="K7" s="30">
        <v>42605</v>
      </c>
      <c r="L7" s="30">
        <v>42639</v>
      </c>
      <c r="M7" s="30">
        <v>42667</v>
      </c>
      <c r="N7" s="30">
        <v>42695</v>
      </c>
      <c r="O7" s="30">
        <v>42734</v>
      </c>
      <c r="P7" s="30"/>
    </row>
    <row r="8" spans="2:21" x14ac:dyDescent="0.25">
      <c r="B8" s="126"/>
      <c r="C8" s="106"/>
      <c r="D8" s="36">
        <v>85.71</v>
      </c>
      <c r="E8" s="31">
        <v>75.83</v>
      </c>
      <c r="F8" s="31">
        <v>73.760000000000005</v>
      </c>
      <c r="G8" s="31">
        <v>64.25</v>
      </c>
      <c r="H8" s="31">
        <v>53</v>
      </c>
      <c r="I8" s="31">
        <v>87.27</v>
      </c>
      <c r="J8" s="31">
        <v>88.05</v>
      </c>
      <c r="K8" s="31">
        <v>118.36</v>
      </c>
      <c r="L8" s="31">
        <v>86.36</v>
      </c>
      <c r="M8" s="31">
        <v>55.45</v>
      </c>
      <c r="N8" s="31">
        <v>64.040000000000006</v>
      </c>
      <c r="O8" s="31">
        <v>66.05</v>
      </c>
      <c r="P8" s="31">
        <f>SUM(D8:O8)</f>
        <v>918.13</v>
      </c>
    </row>
    <row r="9" spans="2:21" x14ac:dyDescent="0.25">
      <c r="B9" s="126"/>
      <c r="C9" s="106" t="s">
        <v>11</v>
      </c>
      <c r="D9" s="30">
        <v>42380</v>
      </c>
      <c r="E9" s="30">
        <v>42424</v>
      </c>
      <c r="F9" s="30">
        <v>42437</v>
      </c>
      <c r="G9" s="30">
        <v>42472</v>
      </c>
      <c r="H9" s="30">
        <v>42499</v>
      </c>
      <c r="I9" s="30">
        <v>42531</v>
      </c>
      <c r="J9" s="30">
        <v>42562</v>
      </c>
      <c r="K9" s="30">
        <v>42590</v>
      </c>
      <c r="L9" s="30">
        <v>42618</v>
      </c>
      <c r="M9" s="30">
        <v>42650</v>
      </c>
      <c r="N9" s="30">
        <v>42685</v>
      </c>
      <c r="O9" s="30">
        <v>42709</v>
      </c>
      <c r="P9" s="43"/>
    </row>
    <row r="10" spans="2:21" x14ac:dyDescent="0.25">
      <c r="B10" s="126"/>
      <c r="C10" s="106"/>
      <c r="D10" s="31">
        <v>41.43</v>
      </c>
      <c r="E10" s="31">
        <v>49.25</v>
      </c>
      <c r="F10" s="31">
        <v>45.96</v>
      </c>
      <c r="G10" s="31">
        <v>38.92</v>
      </c>
      <c r="H10" s="31">
        <v>23.16</v>
      </c>
      <c r="I10" s="31">
        <v>37.64</v>
      </c>
      <c r="J10" s="31">
        <v>38.659999999999997</v>
      </c>
      <c r="K10" s="31">
        <v>59.82</v>
      </c>
      <c r="L10" s="31">
        <v>64.16</v>
      </c>
      <c r="M10" s="31">
        <v>40.950000000000003</v>
      </c>
      <c r="N10" s="31">
        <v>48.58</v>
      </c>
      <c r="O10" s="31">
        <v>40.299999999999997</v>
      </c>
      <c r="P10" s="31">
        <f>SUM(D10:O10)</f>
        <v>528.83000000000004</v>
      </c>
    </row>
    <row r="11" spans="2:21" x14ac:dyDescent="0.25">
      <c r="B11" s="126"/>
      <c r="C11" s="106" t="s">
        <v>7</v>
      </c>
      <c r="D11" s="30"/>
      <c r="E11" s="30"/>
      <c r="F11" s="30">
        <v>42439</v>
      </c>
      <c r="G11" s="30"/>
      <c r="H11" s="30"/>
      <c r="I11" s="30">
        <v>42531</v>
      </c>
      <c r="J11" s="30"/>
      <c r="K11" s="30"/>
      <c r="L11" s="30">
        <v>42618</v>
      </c>
      <c r="M11" s="30"/>
      <c r="N11" s="30"/>
      <c r="O11" s="30">
        <v>42716</v>
      </c>
      <c r="P11" s="30"/>
    </row>
    <row r="12" spans="2:21" x14ac:dyDescent="0.25">
      <c r="B12" s="126"/>
      <c r="C12" s="106"/>
      <c r="D12" s="31">
        <v>0</v>
      </c>
      <c r="E12" s="31">
        <v>0</v>
      </c>
      <c r="F12" s="31">
        <v>121.55</v>
      </c>
      <c r="G12" s="31">
        <v>0</v>
      </c>
      <c r="H12" s="31">
        <v>0</v>
      </c>
      <c r="I12" s="31">
        <v>143.15</v>
      </c>
      <c r="J12" s="31">
        <v>0</v>
      </c>
      <c r="K12" s="31">
        <v>0</v>
      </c>
      <c r="L12" s="31">
        <v>268.98</v>
      </c>
      <c r="M12" s="31">
        <v>0</v>
      </c>
      <c r="N12" s="31">
        <v>0</v>
      </c>
      <c r="O12" s="31">
        <v>172.36</v>
      </c>
      <c r="P12" s="31">
        <f>SUM(D12:O12)</f>
        <v>706.04</v>
      </c>
    </row>
    <row r="13" spans="2:21" x14ac:dyDescent="0.25">
      <c r="B13" s="126"/>
      <c r="C13" s="106" t="s">
        <v>8</v>
      </c>
      <c r="D13" s="30"/>
      <c r="E13" s="30"/>
      <c r="F13" s="30"/>
      <c r="G13" s="30"/>
      <c r="H13" s="30">
        <v>42491</v>
      </c>
      <c r="I13" s="32"/>
      <c r="J13" s="30"/>
      <c r="K13" s="30"/>
      <c r="L13" s="30"/>
      <c r="M13" s="30"/>
      <c r="N13" s="30"/>
      <c r="O13" s="30"/>
      <c r="P13" s="30"/>
    </row>
    <row r="14" spans="2:21" x14ac:dyDescent="0.25">
      <c r="B14" s="126"/>
      <c r="C14" s="106"/>
      <c r="D14" s="31">
        <v>0</v>
      </c>
      <c r="E14" s="31">
        <v>0</v>
      </c>
      <c r="F14" s="31">
        <v>0</v>
      </c>
      <c r="G14" s="31">
        <v>0</v>
      </c>
      <c r="H14" s="31">
        <v>181.5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f>SUM(D14:O14)</f>
        <v>181.5</v>
      </c>
      <c r="U14" s="47"/>
    </row>
    <row r="15" spans="2:21" x14ac:dyDescent="0.25">
      <c r="B15" s="126"/>
      <c r="C15" s="106" t="s">
        <v>3</v>
      </c>
      <c r="D15" s="30">
        <v>42380</v>
      </c>
      <c r="E15" s="30">
        <v>42406</v>
      </c>
      <c r="F15" s="30">
        <v>42437</v>
      </c>
      <c r="G15" s="30">
        <v>42472</v>
      </c>
      <c r="H15" s="30">
        <v>42499</v>
      </c>
      <c r="I15" s="30">
        <v>42531</v>
      </c>
      <c r="J15" s="30">
        <v>42562</v>
      </c>
      <c r="K15" s="30">
        <v>42590</v>
      </c>
      <c r="L15" s="30">
        <v>42618</v>
      </c>
      <c r="M15" s="30">
        <v>42650</v>
      </c>
      <c r="N15" s="30">
        <v>42685</v>
      </c>
      <c r="O15" s="30">
        <v>42709</v>
      </c>
      <c r="P15" s="30"/>
      <c r="U15" s="47"/>
    </row>
    <row r="16" spans="2:21" x14ac:dyDescent="0.25">
      <c r="B16" s="126"/>
      <c r="C16" s="106"/>
      <c r="D16" s="31">
        <v>25</v>
      </c>
      <c r="E16" s="31">
        <v>25</v>
      </c>
      <c r="F16" s="31">
        <v>25</v>
      </c>
      <c r="G16" s="31">
        <v>25</v>
      </c>
      <c r="H16" s="31">
        <v>25</v>
      </c>
      <c r="I16" s="31">
        <v>25</v>
      </c>
      <c r="J16" s="31">
        <v>25</v>
      </c>
      <c r="K16" s="31">
        <v>25</v>
      </c>
      <c r="L16" s="31">
        <v>25</v>
      </c>
      <c r="M16" s="31">
        <v>25</v>
      </c>
      <c r="N16" s="31">
        <v>36</v>
      </c>
      <c r="O16" s="31">
        <v>35</v>
      </c>
      <c r="P16" s="31">
        <f>SUM(D16:O16)</f>
        <v>321</v>
      </c>
      <c r="U16" s="47"/>
    </row>
    <row r="17" spans="2:21" x14ac:dyDescent="0.25">
      <c r="B17" s="126"/>
      <c r="C17" s="106" t="s">
        <v>5</v>
      </c>
      <c r="D17" s="30">
        <v>42380</v>
      </c>
      <c r="E17" s="30">
        <v>42406</v>
      </c>
      <c r="F17" s="30">
        <v>42437</v>
      </c>
      <c r="G17" s="30">
        <v>42469</v>
      </c>
      <c r="H17" s="30">
        <v>42499</v>
      </c>
      <c r="I17" s="30">
        <v>42531</v>
      </c>
      <c r="J17" s="30">
        <v>42560</v>
      </c>
      <c r="K17" s="30">
        <v>42590</v>
      </c>
      <c r="L17" s="30">
        <v>42618</v>
      </c>
      <c r="M17" s="30">
        <v>42651</v>
      </c>
      <c r="N17" s="30">
        <v>42685</v>
      </c>
      <c r="O17" s="30">
        <v>42709</v>
      </c>
      <c r="P17" s="30"/>
      <c r="U17" s="47"/>
    </row>
    <row r="18" spans="2:21" x14ac:dyDescent="0.25">
      <c r="B18" s="126"/>
      <c r="C18" s="106"/>
      <c r="D18" s="31">
        <v>49.99</v>
      </c>
      <c r="E18" s="31">
        <v>49.99</v>
      </c>
      <c r="F18" s="31">
        <v>49.99</v>
      </c>
      <c r="G18" s="31">
        <v>49.99</v>
      </c>
      <c r="H18" s="31">
        <v>47.96</v>
      </c>
      <c r="I18" s="31">
        <v>47.96</v>
      </c>
      <c r="J18" s="31">
        <v>38.340000000000003</v>
      </c>
      <c r="K18" s="31">
        <v>46.41</v>
      </c>
      <c r="L18" s="31">
        <v>46.41</v>
      </c>
      <c r="M18" s="31">
        <v>45.97</v>
      </c>
      <c r="N18" s="31">
        <v>45.97</v>
      </c>
      <c r="O18" s="31">
        <v>45.97</v>
      </c>
      <c r="P18" s="31">
        <f>SUM(D18:O18)</f>
        <v>564.95000000000005</v>
      </c>
      <c r="U18" s="47"/>
    </row>
    <row r="19" spans="2:21" ht="15" customHeight="1" x14ac:dyDescent="0.25">
      <c r="B19" s="127"/>
      <c r="C19" s="42" t="s">
        <v>0</v>
      </c>
      <c r="D19" s="10">
        <f t="shared" ref="D19:P19" si="0">SUM(D4,D6,D8,D10,D12,D14,D16,D18)</f>
        <v>374.39</v>
      </c>
      <c r="E19" s="10">
        <f t="shared" si="0"/>
        <v>408.99</v>
      </c>
      <c r="F19" s="10">
        <f t="shared" si="0"/>
        <v>514.38</v>
      </c>
      <c r="G19" s="10">
        <f t="shared" si="0"/>
        <v>308.29000000000002</v>
      </c>
      <c r="H19" s="10">
        <f t="shared" si="0"/>
        <v>419.86</v>
      </c>
      <c r="I19" s="10">
        <f t="shared" si="0"/>
        <v>394.04</v>
      </c>
      <c r="J19" s="10">
        <f t="shared" si="0"/>
        <v>227.93</v>
      </c>
      <c r="K19" s="10">
        <f t="shared" si="0"/>
        <v>285.98</v>
      </c>
      <c r="L19" s="10">
        <f t="shared" si="0"/>
        <v>526.49</v>
      </c>
      <c r="M19" s="10">
        <f t="shared" si="0"/>
        <v>203.75</v>
      </c>
      <c r="N19" s="10">
        <f t="shared" si="0"/>
        <v>252.28</v>
      </c>
      <c r="O19" s="10">
        <f t="shared" si="0"/>
        <v>487.19</v>
      </c>
      <c r="P19" s="10">
        <f t="shared" si="0"/>
        <v>4403.57</v>
      </c>
      <c r="U19" s="47"/>
    </row>
    <row r="20" spans="2:21" x14ac:dyDescent="0.25">
      <c r="B20" s="118" t="s">
        <v>27</v>
      </c>
      <c r="C20" s="107" t="s">
        <v>4</v>
      </c>
      <c r="D20" s="30">
        <v>42370</v>
      </c>
      <c r="E20" s="30">
        <v>42401</v>
      </c>
      <c r="F20" s="30">
        <v>42430</v>
      </c>
      <c r="G20" s="30">
        <v>42461</v>
      </c>
      <c r="H20" s="30">
        <v>42491</v>
      </c>
      <c r="I20" s="30">
        <v>42522</v>
      </c>
      <c r="J20" s="30">
        <v>42552</v>
      </c>
      <c r="K20" s="30">
        <v>42583</v>
      </c>
      <c r="L20" s="30">
        <v>42614</v>
      </c>
      <c r="M20" s="30">
        <v>42644</v>
      </c>
      <c r="N20" s="30">
        <v>42675</v>
      </c>
      <c r="O20" s="30">
        <v>42705</v>
      </c>
      <c r="P20" s="30"/>
      <c r="U20" s="47"/>
    </row>
    <row r="21" spans="2:21" x14ac:dyDescent="0.25">
      <c r="B21" s="119"/>
      <c r="C21" s="108"/>
      <c r="D21" s="31">
        <f t="shared" ref="D21:O21" si="1">1592.7+300</f>
        <v>1892.7</v>
      </c>
      <c r="E21" s="31">
        <f t="shared" si="1"/>
        <v>1892.7</v>
      </c>
      <c r="F21" s="31">
        <f t="shared" si="1"/>
        <v>1892.7</v>
      </c>
      <c r="G21" s="31">
        <f t="shared" si="1"/>
        <v>1892.7</v>
      </c>
      <c r="H21" s="31">
        <f t="shared" si="1"/>
        <v>1892.7</v>
      </c>
      <c r="I21" s="31">
        <f t="shared" si="1"/>
        <v>1892.7</v>
      </c>
      <c r="J21" s="31">
        <f t="shared" si="1"/>
        <v>1892.7</v>
      </c>
      <c r="K21" s="31">
        <f t="shared" si="1"/>
        <v>1892.7</v>
      </c>
      <c r="L21" s="31">
        <f t="shared" si="1"/>
        <v>1892.7</v>
      </c>
      <c r="M21" s="31">
        <f t="shared" si="1"/>
        <v>1892.7</v>
      </c>
      <c r="N21" s="31">
        <f t="shared" si="1"/>
        <v>1892.7</v>
      </c>
      <c r="O21" s="31">
        <f t="shared" si="1"/>
        <v>1892.7</v>
      </c>
      <c r="P21" s="31">
        <f>SUM(D21:O21)</f>
        <v>22712.400000000001</v>
      </c>
      <c r="U21" s="47"/>
    </row>
    <row r="22" spans="2:21" x14ac:dyDescent="0.25">
      <c r="B22" s="119"/>
      <c r="C22" s="107" t="s">
        <v>14</v>
      </c>
      <c r="D22" s="30">
        <v>42370</v>
      </c>
      <c r="E22" s="30">
        <v>42401</v>
      </c>
      <c r="F22" s="30">
        <v>42430</v>
      </c>
      <c r="G22" s="30">
        <v>42461</v>
      </c>
      <c r="H22" s="30">
        <v>42491</v>
      </c>
      <c r="I22" s="30"/>
      <c r="J22" s="30"/>
      <c r="K22" s="30"/>
      <c r="L22" s="30"/>
      <c r="M22" s="30"/>
      <c r="N22" s="30">
        <v>42695</v>
      </c>
      <c r="O22" s="30"/>
      <c r="P22" s="30"/>
      <c r="U22" s="46"/>
    </row>
    <row r="23" spans="2:21" ht="15" customHeight="1" x14ac:dyDescent="0.25">
      <c r="B23" s="119"/>
      <c r="C23" s="108"/>
      <c r="D23" s="31">
        <v>624</v>
      </c>
      <c r="E23" s="31">
        <v>624</v>
      </c>
      <c r="F23" s="31">
        <v>624</v>
      </c>
      <c r="G23" s="31">
        <v>624</v>
      </c>
      <c r="H23" s="31">
        <f>624*3</f>
        <v>1872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24634</v>
      </c>
      <c r="O23" s="31">
        <v>0</v>
      </c>
      <c r="P23" s="31">
        <f>SUM(D23:O23)</f>
        <v>29002</v>
      </c>
      <c r="Q23" s="40"/>
    </row>
    <row r="24" spans="2:21" ht="15" customHeight="1" x14ac:dyDescent="0.25">
      <c r="B24" s="120"/>
      <c r="C24" s="39" t="s">
        <v>0</v>
      </c>
      <c r="D24" s="10">
        <f t="shared" ref="D24:P24" si="2">SUM(D21,D23)</f>
        <v>2516.6999999999998</v>
      </c>
      <c r="E24" s="10">
        <f t="shared" si="2"/>
        <v>2516.6999999999998</v>
      </c>
      <c r="F24" s="10">
        <f t="shared" si="2"/>
        <v>2516.6999999999998</v>
      </c>
      <c r="G24" s="10">
        <f t="shared" si="2"/>
        <v>2516.6999999999998</v>
      </c>
      <c r="H24" s="10">
        <f t="shared" si="2"/>
        <v>3764.7</v>
      </c>
      <c r="I24" s="10">
        <f t="shared" si="2"/>
        <v>1892.7</v>
      </c>
      <c r="J24" s="10">
        <f t="shared" si="2"/>
        <v>1892.7</v>
      </c>
      <c r="K24" s="10">
        <f t="shared" si="2"/>
        <v>1892.7</v>
      </c>
      <c r="L24" s="10">
        <f t="shared" si="2"/>
        <v>1892.7</v>
      </c>
      <c r="M24" s="10">
        <f t="shared" si="2"/>
        <v>1892.7</v>
      </c>
      <c r="N24" s="10">
        <f t="shared" si="2"/>
        <v>26526.7</v>
      </c>
      <c r="O24" s="10">
        <f t="shared" si="2"/>
        <v>1892.7</v>
      </c>
      <c r="P24" s="10">
        <f t="shared" si="2"/>
        <v>51714.400000000001</v>
      </c>
      <c r="Q24" s="41"/>
    </row>
    <row r="25" spans="2:21" x14ac:dyDescent="0.25">
      <c r="B25" s="121" t="s">
        <v>24</v>
      </c>
      <c r="C25" s="104" t="s">
        <v>32</v>
      </c>
      <c r="D25" s="30">
        <v>42397</v>
      </c>
      <c r="E25" s="30">
        <v>42424</v>
      </c>
      <c r="F25" s="30">
        <v>42458</v>
      </c>
      <c r="G25" s="30">
        <v>42486</v>
      </c>
      <c r="H25" s="30">
        <v>42521</v>
      </c>
      <c r="I25" s="30">
        <v>42548</v>
      </c>
      <c r="J25" s="30">
        <v>42577</v>
      </c>
      <c r="K25" s="30">
        <v>42599</v>
      </c>
      <c r="L25" s="30">
        <v>42635</v>
      </c>
      <c r="M25" s="30">
        <v>42674</v>
      </c>
      <c r="N25" s="30">
        <v>42705</v>
      </c>
      <c r="O25" s="30">
        <v>42717</v>
      </c>
      <c r="P25" s="30"/>
      <c r="Q25" s="41"/>
    </row>
    <row r="26" spans="2:21" x14ac:dyDescent="0.25">
      <c r="B26" s="122"/>
      <c r="C26" s="105"/>
      <c r="D26" s="31">
        <v>37.58</v>
      </c>
      <c r="E26" s="31">
        <v>35.24</v>
      </c>
      <c r="F26" s="31">
        <v>27.48</v>
      </c>
      <c r="G26" s="31">
        <v>344.91</v>
      </c>
      <c r="H26" s="31">
        <v>763.28</v>
      </c>
      <c r="I26" s="31">
        <v>597.98</v>
      </c>
      <c r="J26" s="31">
        <v>94.35</v>
      </c>
      <c r="K26" s="31">
        <v>80.790000000000006</v>
      </c>
      <c r="L26" s="31">
        <v>516.20000000000005</v>
      </c>
      <c r="M26" s="31">
        <v>171.05</v>
      </c>
      <c r="N26" s="31">
        <v>1131.42</v>
      </c>
      <c r="O26" s="31">
        <v>122.12</v>
      </c>
      <c r="P26" s="31">
        <f>SUM(D26:O26)</f>
        <v>3922.4</v>
      </c>
      <c r="Q26" s="40"/>
    </row>
    <row r="27" spans="2:21" x14ac:dyDescent="0.25">
      <c r="B27" s="122"/>
      <c r="C27" s="104" t="s">
        <v>33</v>
      </c>
      <c r="D27" s="30">
        <v>42397</v>
      </c>
      <c r="E27" s="30">
        <v>42424</v>
      </c>
      <c r="F27" s="30">
        <v>42461</v>
      </c>
      <c r="G27" s="30">
        <v>42486</v>
      </c>
      <c r="H27" s="30">
        <v>42517</v>
      </c>
      <c r="I27" s="30">
        <v>42545</v>
      </c>
      <c r="J27" s="30">
        <v>42577</v>
      </c>
      <c r="K27" s="30">
        <v>42599</v>
      </c>
      <c r="L27" s="30">
        <v>42635</v>
      </c>
      <c r="M27" s="30">
        <v>42664</v>
      </c>
      <c r="N27" s="30">
        <v>42702</v>
      </c>
      <c r="O27" s="30">
        <v>42734</v>
      </c>
      <c r="P27" s="30"/>
      <c r="Q27" s="41"/>
      <c r="R27" s="34"/>
    </row>
    <row r="28" spans="2:21" x14ac:dyDescent="0.25">
      <c r="B28" s="122"/>
      <c r="C28" s="105"/>
      <c r="D28" s="31">
        <v>243.87</v>
      </c>
      <c r="E28" s="31">
        <v>166.37</v>
      </c>
      <c r="F28" s="31">
        <v>126</v>
      </c>
      <c r="G28" s="31">
        <v>225.65</v>
      </c>
      <c r="H28" s="31">
        <v>258.83</v>
      </c>
      <c r="I28" s="31">
        <v>199.18</v>
      </c>
      <c r="J28" s="31">
        <v>31.09</v>
      </c>
      <c r="K28" s="31">
        <v>264.99</v>
      </c>
      <c r="L28" s="31">
        <v>6.6</v>
      </c>
      <c r="M28" s="31">
        <v>483.48</v>
      </c>
      <c r="N28" s="31">
        <v>52.97</v>
      </c>
      <c r="O28" s="31">
        <v>39.729999999999997</v>
      </c>
      <c r="P28" s="31">
        <f>SUM(D28:O28)</f>
        <v>2098.7600000000002</v>
      </c>
      <c r="Q28" s="40"/>
    </row>
    <row r="29" spans="2:21" x14ac:dyDescent="0.25">
      <c r="B29" s="122"/>
      <c r="C29" s="104" t="s">
        <v>34</v>
      </c>
      <c r="D29" s="30">
        <v>42397</v>
      </c>
      <c r="E29" s="30">
        <v>42424</v>
      </c>
      <c r="F29" s="30">
        <v>42457</v>
      </c>
      <c r="G29" s="30">
        <v>42486</v>
      </c>
      <c r="H29" s="30">
        <v>42517</v>
      </c>
      <c r="I29" s="30">
        <v>42545</v>
      </c>
      <c r="J29" s="30">
        <v>42577</v>
      </c>
      <c r="K29" s="30">
        <v>42599</v>
      </c>
      <c r="L29" s="30"/>
      <c r="M29" s="30">
        <v>42664</v>
      </c>
      <c r="N29" s="30">
        <v>42703</v>
      </c>
      <c r="O29" s="30">
        <v>42717</v>
      </c>
      <c r="P29" s="30"/>
      <c r="Q29" s="41"/>
    </row>
    <row r="30" spans="2:21" x14ac:dyDescent="0.25">
      <c r="B30" s="122"/>
      <c r="C30" s="105"/>
      <c r="D30" s="31">
        <v>0</v>
      </c>
      <c r="E30" s="31">
        <v>2.76</v>
      </c>
      <c r="F30" s="31">
        <v>108.22</v>
      </c>
      <c r="G30" s="31">
        <v>0</v>
      </c>
      <c r="H30" s="31">
        <v>0</v>
      </c>
      <c r="I30" s="31">
        <v>0</v>
      </c>
      <c r="J30" s="31">
        <v>15.97</v>
      </c>
      <c r="K30" s="31">
        <v>24.59</v>
      </c>
      <c r="L30" s="31">
        <v>0</v>
      </c>
      <c r="M30" s="31">
        <f>27.9 + 352.19 + 101.71</f>
        <v>481.8</v>
      </c>
      <c r="N30" s="31">
        <v>206.62</v>
      </c>
      <c r="O30" s="31">
        <v>180.01</v>
      </c>
      <c r="P30" s="31">
        <f>SUM(D30:O30)</f>
        <v>1019.97</v>
      </c>
      <c r="Q30" s="40"/>
      <c r="T30" s="34"/>
    </row>
    <row r="31" spans="2:21" ht="15" customHeight="1" x14ac:dyDescent="0.25">
      <c r="B31" s="122"/>
      <c r="C31" s="104" t="s">
        <v>38</v>
      </c>
      <c r="D31" s="30">
        <v>42397</v>
      </c>
      <c r="E31" s="30">
        <v>42424</v>
      </c>
      <c r="F31" s="30">
        <v>42458</v>
      </c>
      <c r="G31" s="30">
        <v>42486</v>
      </c>
      <c r="H31" s="30">
        <v>42517</v>
      </c>
      <c r="I31" s="30">
        <v>42548</v>
      </c>
      <c r="J31" s="30">
        <v>42577</v>
      </c>
      <c r="K31" s="30"/>
      <c r="L31" s="30"/>
      <c r="M31" s="30"/>
      <c r="N31" s="30"/>
      <c r="O31" s="30"/>
      <c r="P31" s="30"/>
      <c r="Q31" s="41"/>
      <c r="T31" s="34"/>
    </row>
    <row r="32" spans="2:21" x14ac:dyDescent="0.25">
      <c r="B32" s="122"/>
      <c r="C32" s="105"/>
      <c r="D32" s="44">
        <f>2447.09 - 20 - 1330 - 683 - 85.71 - 25 - 118.51 - 41.43</f>
        <v>143.44</v>
      </c>
      <c r="E32" s="44">
        <f>421.61-75.83-25-119.13-49.99</f>
        <v>151.66</v>
      </c>
      <c r="F32" s="44">
        <f>466.59-F16-F8-F4-F10</f>
        <v>197.08</v>
      </c>
      <c r="G32" s="44">
        <f>229.55-G16-G8-G4-G10</f>
        <v>23.56</v>
      </c>
      <c r="H32" s="44">
        <f>418.64+50-H16-H8-H4-H10-H14-H18</f>
        <v>80.150000000000006</v>
      </c>
      <c r="I32" s="44">
        <f>346.55-I16-I8-I4-I10</f>
        <v>168.79</v>
      </c>
      <c r="J32" s="44">
        <f>731-J16-J4-J10-368</f>
        <v>279.22000000000003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f>SUM(D32:O32)</f>
        <v>1043.9000000000001</v>
      </c>
      <c r="Q32" s="40"/>
      <c r="T32" s="34"/>
    </row>
    <row r="33" spans="2:20" ht="15" customHeight="1" x14ac:dyDescent="0.25">
      <c r="B33" s="122"/>
      <c r="C33" s="104" t="s">
        <v>43</v>
      </c>
      <c r="D33" s="30"/>
      <c r="E33" s="30"/>
      <c r="F33" s="30"/>
      <c r="G33" s="30"/>
      <c r="H33" s="30"/>
      <c r="I33" s="30"/>
      <c r="J33" s="30"/>
      <c r="K33" s="30">
        <v>42599</v>
      </c>
      <c r="L33" s="30">
        <v>42647</v>
      </c>
      <c r="M33" s="30">
        <v>42674</v>
      </c>
      <c r="N33" s="30">
        <v>42702</v>
      </c>
      <c r="O33" s="30">
        <v>42734</v>
      </c>
      <c r="P33" s="30"/>
      <c r="Q33" s="41"/>
      <c r="T33" s="34"/>
    </row>
    <row r="34" spans="2:20" x14ac:dyDescent="0.25">
      <c r="B34" s="122"/>
      <c r="C34" s="105"/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f>1853.5+2702.74+631.87-K$16-K$4-K$10-K$59-K$18-561.3-697.35/2-1336/2-K8-469.4</f>
        <v>1647.125</v>
      </c>
      <c r="L34" s="44">
        <v>600</v>
      </c>
      <c r="M34" s="44">
        <v>394.27</v>
      </c>
      <c r="N34" s="44">
        <f>190.32+94.34</f>
        <v>284.66000000000003</v>
      </c>
      <c r="O34" s="44">
        <v>564.44000000000005</v>
      </c>
      <c r="P34" s="44">
        <f>SUM(D34:O34)</f>
        <v>3490.4949999999999</v>
      </c>
      <c r="Q34" s="40"/>
      <c r="T34" s="34"/>
    </row>
    <row r="35" spans="2:20" x14ac:dyDescent="0.25">
      <c r="B35" s="122"/>
      <c r="C35" s="104" t="s">
        <v>44</v>
      </c>
      <c r="D35" s="30"/>
      <c r="E35" s="30"/>
      <c r="F35" s="30"/>
      <c r="G35" s="30"/>
      <c r="H35" s="30"/>
      <c r="I35" s="30"/>
      <c r="J35" s="30"/>
      <c r="K35" s="30"/>
      <c r="L35" s="30">
        <v>42635</v>
      </c>
      <c r="M35" s="30">
        <v>42674</v>
      </c>
      <c r="N35" s="30">
        <v>42699</v>
      </c>
      <c r="O35" s="30">
        <v>42734</v>
      </c>
      <c r="P35" s="30"/>
      <c r="Q35" s="41"/>
      <c r="T35" s="34"/>
    </row>
    <row r="36" spans="2:20" x14ac:dyDescent="0.25">
      <c r="B36" s="122"/>
      <c r="C36" s="105"/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f>2225.66-L59-L4-L16-L18-259.65-12.34</f>
        <v>883.44</v>
      </c>
      <c r="M36" s="31">
        <f>2041.36-M59-M4-L8-M8-M16</f>
        <v>685.9</v>
      </c>
      <c r="N36" s="31">
        <f>6585.36-2000-N16-N8-N4-N59-385</f>
        <v>3369.91</v>
      </c>
      <c r="O36" s="31">
        <f>1282.19-O59-O16-O4-N51</f>
        <v>452.48</v>
      </c>
      <c r="P36" s="44">
        <f>SUM(D36:O36)</f>
        <v>5391.73</v>
      </c>
      <c r="Q36" s="40"/>
      <c r="T36" s="34"/>
    </row>
    <row r="37" spans="2:20" x14ac:dyDescent="0.25">
      <c r="B37" s="122"/>
      <c r="C37" s="104" t="s">
        <v>40</v>
      </c>
      <c r="D37" s="30">
        <v>42397</v>
      </c>
      <c r="E37" s="30">
        <v>42424</v>
      </c>
      <c r="F37" s="30">
        <v>42458</v>
      </c>
      <c r="G37" s="30">
        <v>42486</v>
      </c>
      <c r="H37" s="30">
        <v>42517</v>
      </c>
      <c r="I37" s="30">
        <v>42548</v>
      </c>
      <c r="J37" s="30">
        <v>42577</v>
      </c>
      <c r="K37" s="30">
        <v>42612</v>
      </c>
      <c r="L37" s="30">
        <v>42635</v>
      </c>
      <c r="M37" s="30">
        <v>42664</v>
      </c>
      <c r="N37" s="30">
        <v>42701</v>
      </c>
      <c r="O37" s="30">
        <v>42734</v>
      </c>
      <c r="P37" s="30"/>
      <c r="Q37" s="41"/>
      <c r="T37" s="34"/>
    </row>
    <row r="38" spans="2:20" x14ac:dyDescent="0.25">
      <c r="B38" s="122"/>
      <c r="C38" s="105"/>
      <c r="D38" s="31">
        <v>0</v>
      </c>
      <c r="E38" s="31">
        <v>0</v>
      </c>
      <c r="F38" s="31">
        <v>0</v>
      </c>
      <c r="G38" s="31">
        <v>15.02</v>
      </c>
      <c r="H38" s="31">
        <v>0</v>
      </c>
      <c r="I38" s="31">
        <v>55</v>
      </c>
      <c r="J38" s="31">
        <v>25.96</v>
      </c>
      <c r="K38" s="31">
        <v>5.93</v>
      </c>
      <c r="L38" s="31">
        <v>17.79</v>
      </c>
      <c r="M38" s="31">
        <v>13.18</v>
      </c>
      <c r="N38" s="31">
        <v>21.61</v>
      </c>
      <c r="O38" s="31">
        <v>7.41</v>
      </c>
      <c r="P38" s="44">
        <f>SUM(D38:O38)</f>
        <v>161.9</v>
      </c>
      <c r="Q38" s="40"/>
      <c r="T38" s="34"/>
    </row>
    <row r="39" spans="2:20" ht="15" customHeight="1" x14ac:dyDescent="0.25">
      <c r="B39" s="122"/>
      <c r="C39" s="104" t="s">
        <v>35</v>
      </c>
      <c r="D39" s="30">
        <v>42397</v>
      </c>
      <c r="E39" s="30">
        <v>42430</v>
      </c>
      <c r="F39" s="30">
        <v>42458</v>
      </c>
      <c r="G39" s="30">
        <v>42486</v>
      </c>
      <c r="H39" s="30">
        <v>42521</v>
      </c>
      <c r="I39" s="30">
        <v>42548</v>
      </c>
      <c r="J39" s="30">
        <v>42577</v>
      </c>
      <c r="K39" s="30">
        <v>42612</v>
      </c>
      <c r="L39" s="30">
        <v>42639</v>
      </c>
      <c r="M39" s="30">
        <v>42650</v>
      </c>
      <c r="N39" s="30">
        <v>42701</v>
      </c>
      <c r="O39" s="30">
        <v>42734</v>
      </c>
      <c r="P39" s="30"/>
      <c r="Q39" s="41"/>
    </row>
    <row r="40" spans="2:20" x14ac:dyDescent="0.25">
      <c r="B40" s="122"/>
      <c r="C40" s="105"/>
      <c r="D40" s="31">
        <v>0</v>
      </c>
      <c r="E40" s="31">
        <f>12.51+18.79</f>
        <v>31.3</v>
      </c>
      <c r="F40" s="31">
        <v>42.66</v>
      </c>
      <c r="G40" s="31">
        <f>74.74-50</f>
        <v>24.74</v>
      </c>
      <c r="H40" s="31">
        <v>22.01</v>
      </c>
      <c r="I40" s="31">
        <v>63.42</v>
      </c>
      <c r="J40" s="31">
        <v>236.31</v>
      </c>
      <c r="K40" s="31">
        <v>90.65</v>
      </c>
      <c r="L40" s="31">
        <v>69.180000000000007</v>
      </c>
      <c r="M40" s="31">
        <v>24.35</v>
      </c>
      <c r="N40" s="31">
        <v>0</v>
      </c>
      <c r="O40" s="31">
        <v>0</v>
      </c>
      <c r="P40" s="31">
        <f>SUM(D40:O40)</f>
        <v>604.62</v>
      </c>
      <c r="Q40" s="40"/>
    </row>
    <row r="41" spans="2:20" x14ac:dyDescent="0.25">
      <c r="B41" s="122"/>
      <c r="C41" s="117" t="s">
        <v>36</v>
      </c>
      <c r="D41" s="30">
        <v>42397</v>
      </c>
      <c r="E41" s="30">
        <v>42424</v>
      </c>
      <c r="F41" s="30">
        <v>42458</v>
      </c>
      <c r="G41" s="30">
        <v>42486</v>
      </c>
      <c r="H41" s="30">
        <v>42517</v>
      </c>
      <c r="I41" s="30">
        <v>42548</v>
      </c>
      <c r="J41" s="30">
        <v>42577</v>
      </c>
      <c r="K41" s="30">
        <v>42599</v>
      </c>
      <c r="L41" s="30">
        <v>42635</v>
      </c>
      <c r="M41" s="30">
        <v>42674</v>
      </c>
      <c r="N41" s="30">
        <v>42703</v>
      </c>
      <c r="O41" s="30">
        <v>42734</v>
      </c>
      <c r="P41" s="30"/>
      <c r="Q41" s="41"/>
    </row>
    <row r="42" spans="2:20" x14ac:dyDescent="0.25">
      <c r="B42" s="122"/>
      <c r="C42" s="117"/>
      <c r="D42" s="31">
        <v>0</v>
      </c>
      <c r="E42" s="31">
        <v>0</v>
      </c>
      <c r="F42" s="31">
        <v>0</v>
      </c>
      <c r="G42" s="31">
        <v>20.16</v>
      </c>
      <c r="H42" s="31">
        <v>83.54</v>
      </c>
      <c r="I42" s="31">
        <v>214.8</v>
      </c>
      <c r="J42" s="31">
        <v>0</v>
      </c>
      <c r="K42" s="31">
        <v>0</v>
      </c>
      <c r="L42" s="31">
        <v>52.28</v>
      </c>
      <c r="M42" s="31">
        <v>0</v>
      </c>
      <c r="N42" s="31">
        <v>117.93</v>
      </c>
      <c r="O42" s="31">
        <v>54.06</v>
      </c>
      <c r="P42" s="31">
        <f>SUM(D42:O42)</f>
        <v>542.77</v>
      </c>
      <c r="Q42" s="40"/>
    </row>
    <row r="43" spans="2:20" ht="15" customHeight="1" x14ac:dyDescent="0.25">
      <c r="B43" s="122"/>
      <c r="C43" s="124" t="s">
        <v>37</v>
      </c>
      <c r="D43" s="30">
        <v>42397</v>
      </c>
      <c r="E43" s="30">
        <v>42430</v>
      </c>
      <c r="F43" s="30">
        <v>42458</v>
      </c>
      <c r="G43" s="30">
        <v>42486</v>
      </c>
      <c r="H43" s="30">
        <v>42517</v>
      </c>
      <c r="I43" s="30">
        <v>42548</v>
      </c>
      <c r="J43" s="30">
        <v>42577</v>
      </c>
      <c r="K43" s="30">
        <v>42612</v>
      </c>
      <c r="L43" s="30">
        <v>42639</v>
      </c>
      <c r="M43" s="30">
        <v>42674</v>
      </c>
      <c r="N43" s="30">
        <v>42702</v>
      </c>
      <c r="O43" s="30">
        <v>42734</v>
      </c>
      <c r="P43" s="30"/>
    </row>
    <row r="44" spans="2:20" x14ac:dyDescent="0.25">
      <c r="B44" s="122"/>
      <c r="C44" s="105"/>
      <c r="D44" s="31">
        <f>154.56+578.01</f>
        <v>732.57</v>
      </c>
      <c r="E44" s="31">
        <f>82.58+664.51</f>
        <v>747.09</v>
      </c>
      <c r="F44" s="31">
        <v>670.43</v>
      </c>
      <c r="G44" s="31">
        <f>329.87+33.41</f>
        <v>363.28</v>
      </c>
      <c r="H44" s="31">
        <f>262.13+49.15</f>
        <v>311.27999999999997</v>
      </c>
      <c r="I44" s="31">
        <f>14.79+69.99</f>
        <v>84.78</v>
      </c>
      <c r="J44" s="31">
        <v>631.79</v>
      </c>
      <c r="K44" s="31">
        <v>301.39999999999998</v>
      </c>
      <c r="L44" s="31">
        <f>427.63+225</f>
        <v>652.63</v>
      </c>
      <c r="M44" s="31">
        <f>144.44 + 438.42</f>
        <v>582.86</v>
      </c>
      <c r="N44" s="31">
        <v>483.38</v>
      </c>
      <c r="O44" s="31">
        <f>40.35+593.1</f>
        <v>633.45000000000005</v>
      </c>
      <c r="P44" s="31">
        <f>SUM(D44:O44)</f>
        <v>6194.94</v>
      </c>
      <c r="Q44" s="40"/>
    </row>
    <row r="45" spans="2:20" x14ac:dyDescent="0.25">
      <c r="B45" s="122"/>
      <c r="C45" s="104" t="s">
        <v>39</v>
      </c>
      <c r="D45" s="30">
        <v>42397</v>
      </c>
      <c r="E45" s="30">
        <v>42430</v>
      </c>
      <c r="F45" s="30">
        <v>42458</v>
      </c>
      <c r="G45" s="30">
        <v>42491</v>
      </c>
      <c r="H45" s="30">
        <v>42521</v>
      </c>
      <c r="I45" s="30">
        <v>42548</v>
      </c>
      <c r="J45" s="30">
        <v>42577</v>
      </c>
      <c r="K45" s="30">
        <v>42599</v>
      </c>
      <c r="L45" s="30">
        <v>42650</v>
      </c>
      <c r="M45" s="30"/>
      <c r="N45" s="30"/>
      <c r="O45" s="30"/>
      <c r="P45" s="30"/>
    </row>
    <row r="46" spans="2:20" x14ac:dyDescent="0.25">
      <c r="B46" s="122"/>
      <c r="C46" s="105"/>
      <c r="D46" s="31">
        <v>285.33</v>
      </c>
      <c r="E46" s="31">
        <v>91.36</v>
      </c>
      <c r="F46" s="31">
        <v>213.43</v>
      </c>
      <c r="G46" s="31">
        <f>461.75-254.03+90.05</f>
        <v>297.77</v>
      </c>
      <c r="H46" s="31">
        <f>370.05-100-108.09</f>
        <v>161.96</v>
      </c>
      <c r="I46" s="31">
        <v>254.99</v>
      </c>
      <c r="J46" s="31">
        <v>253.09</v>
      </c>
      <c r="K46" s="31">
        <v>0</v>
      </c>
      <c r="L46" s="31">
        <v>6.24</v>
      </c>
      <c r="M46" s="31">
        <v>0</v>
      </c>
      <c r="N46" s="31">
        <v>0</v>
      </c>
      <c r="O46" s="31">
        <v>0</v>
      </c>
      <c r="P46" s="31">
        <f>SUM(D46:O46)</f>
        <v>1564.17</v>
      </c>
      <c r="Q46" s="40"/>
    </row>
    <row r="47" spans="2:20" ht="15" customHeight="1" x14ac:dyDescent="0.25">
      <c r="B47" s="123"/>
      <c r="C47" s="37" t="s">
        <v>0</v>
      </c>
      <c r="D47" s="10">
        <f t="shared" ref="D47:P47" si="3">SUM(D26,D28,D30,D32,D34,D36,D38,D40,D42,D44,D46)</f>
        <v>1442.79</v>
      </c>
      <c r="E47" s="10">
        <f t="shared" si="3"/>
        <v>1225.78</v>
      </c>
      <c r="F47" s="10">
        <f t="shared" si="3"/>
        <v>1385.3</v>
      </c>
      <c r="G47" s="10">
        <f t="shared" si="3"/>
        <v>1315.09</v>
      </c>
      <c r="H47" s="10">
        <f t="shared" si="3"/>
        <v>1681.05</v>
      </c>
      <c r="I47" s="10">
        <f t="shared" si="3"/>
        <v>1638.94</v>
      </c>
      <c r="J47" s="10">
        <f t="shared" si="3"/>
        <v>1567.78</v>
      </c>
      <c r="K47" s="10">
        <f t="shared" si="3"/>
        <v>2415.4749999999999</v>
      </c>
      <c r="L47" s="10">
        <f t="shared" si="3"/>
        <v>2804.36</v>
      </c>
      <c r="M47" s="10">
        <f t="shared" si="3"/>
        <v>2836.89</v>
      </c>
      <c r="N47" s="10">
        <f t="shared" si="3"/>
        <v>5668.5</v>
      </c>
      <c r="O47" s="10">
        <f t="shared" si="3"/>
        <v>2053.6999999999998</v>
      </c>
      <c r="P47" s="10">
        <f t="shared" si="3"/>
        <v>26035.654999999999</v>
      </c>
    </row>
    <row r="48" spans="2:20" ht="15" customHeight="1" x14ac:dyDescent="0.25">
      <c r="B48" s="111" t="s">
        <v>25</v>
      </c>
      <c r="C48" s="103" t="s">
        <v>16</v>
      </c>
      <c r="D48" s="30"/>
      <c r="E48" s="30"/>
      <c r="F48" s="30">
        <v>42444</v>
      </c>
      <c r="G48" s="30"/>
      <c r="H48" s="30"/>
      <c r="I48" s="30"/>
      <c r="J48" s="30"/>
      <c r="K48" s="30"/>
      <c r="L48" s="30"/>
      <c r="M48" s="30"/>
      <c r="N48" s="30"/>
      <c r="O48" s="30">
        <v>42724</v>
      </c>
      <c r="P48" s="30"/>
    </row>
    <row r="49" spans="2:18" x14ac:dyDescent="0.25">
      <c r="B49" s="112"/>
      <c r="C49" s="103"/>
      <c r="D49" s="31">
        <v>0</v>
      </c>
      <c r="E49" s="31">
        <v>0</v>
      </c>
      <c r="F49" s="31">
        <v>150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385</v>
      </c>
      <c r="P49" s="31">
        <f>SUM(D49:O49)</f>
        <v>535</v>
      </c>
    </row>
    <row r="50" spans="2:18" x14ac:dyDescent="0.25">
      <c r="B50" s="112"/>
      <c r="C50" s="103" t="s">
        <v>17</v>
      </c>
      <c r="D50" s="30">
        <v>42391</v>
      </c>
      <c r="E50" s="30"/>
      <c r="F50" s="30"/>
      <c r="G50" s="30"/>
      <c r="H50" s="30"/>
      <c r="I50" s="30"/>
      <c r="J50" s="30"/>
      <c r="K50" s="30"/>
      <c r="L50" s="30"/>
      <c r="M50" s="30"/>
      <c r="N50" s="30">
        <v>42701</v>
      </c>
      <c r="O50" s="30"/>
      <c r="P50" s="30"/>
    </row>
    <row r="51" spans="2:18" x14ac:dyDescent="0.25">
      <c r="B51" s="112"/>
      <c r="C51" s="103"/>
      <c r="D51" s="31">
        <f>1330+683+20 - 803.03 + 44.55</f>
        <v>1274.52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142</v>
      </c>
      <c r="O51" s="31">
        <v>0</v>
      </c>
      <c r="P51" s="31">
        <f>SUM(D51:O51)</f>
        <v>1416.52</v>
      </c>
    </row>
    <row r="52" spans="2:18" x14ac:dyDescent="0.25">
      <c r="B52" s="112"/>
      <c r="C52" s="109" t="s">
        <v>42</v>
      </c>
      <c r="D52" s="30"/>
      <c r="E52" s="30"/>
      <c r="F52" s="30"/>
      <c r="G52" s="30"/>
      <c r="H52" s="30"/>
      <c r="I52" s="30"/>
      <c r="J52" s="30">
        <v>42570</v>
      </c>
      <c r="K52" s="30"/>
      <c r="L52" s="30"/>
      <c r="M52" s="30"/>
      <c r="N52" s="30"/>
      <c r="O52" s="30"/>
      <c r="P52" s="30"/>
    </row>
    <row r="53" spans="2:18" x14ac:dyDescent="0.25">
      <c r="B53" s="112"/>
      <c r="C53" s="110"/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167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f>SUM(D53:O53)</f>
        <v>167</v>
      </c>
    </row>
    <row r="54" spans="2:18" x14ac:dyDescent="0.25">
      <c r="B54" s="112"/>
      <c r="C54" s="109" t="s">
        <v>28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2:18" x14ac:dyDescent="0.25">
      <c r="B55" s="112"/>
      <c r="C55" s="110"/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f>SUM(D55:O55)</f>
        <v>0</v>
      </c>
    </row>
    <row r="56" spans="2:18" x14ac:dyDescent="0.25">
      <c r="B56" s="112"/>
      <c r="C56" s="109" t="s">
        <v>29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spans="2:18" x14ac:dyDescent="0.25">
      <c r="B57" s="112"/>
      <c r="C57" s="110"/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f>SUM(D57:O57)</f>
        <v>0</v>
      </c>
    </row>
    <row r="58" spans="2:18" x14ac:dyDescent="0.25">
      <c r="B58" s="112"/>
      <c r="C58" s="109" t="s">
        <v>30</v>
      </c>
      <c r="D58" s="30">
        <v>42390</v>
      </c>
      <c r="E58" s="30">
        <v>42422</v>
      </c>
      <c r="F58" s="30">
        <v>42452</v>
      </c>
      <c r="G58" s="30">
        <v>42486</v>
      </c>
      <c r="H58" s="30">
        <v>42516</v>
      </c>
      <c r="I58" s="30">
        <v>42545</v>
      </c>
      <c r="J58" s="30">
        <v>42572</v>
      </c>
      <c r="K58" s="30">
        <v>42583</v>
      </c>
      <c r="L58" s="30">
        <v>42620</v>
      </c>
      <c r="M58" s="30">
        <v>42646</v>
      </c>
      <c r="N58" s="30">
        <v>42682</v>
      </c>
      <c r="O58" s="30">
        <v>42716</v>
      </c>
      <c r="P58" s="30"/>
    </row>
    <row r="59" spans="2:18" x14ac:dyDescent="0.25">
      <c r="B59" s="112"/>
      <c r="C59" s="110"/>
      <c r="D59" s="31">
        <v>850</v>
      </c>
      <c r="E59" s="31">
        <v>850</v>
      </c>
      <c r="F59" s="31">
        <v>850</v>
      </c>
      <c r="G59" s="31">
        <v>850</v>
      </c>
      <c r="H59" s="31">
        <v>850</v>
      </c>
      <c r="I59" s="31">
        <f>245*4.5</f>
        <v>1102.5</v>
      </c>
      <c r="J59" s="31">
        <f>245*4.5</f>
        <v>1102.5</v>
      </c>
      <c r="K59" s="31">
        <v>1225</v>
      </c>
      <c r="L59" s="31">
        <f>245*4</f>
        <v>980</v>
      </c>
      <c r="M59" s="31">
        <v>1169</v>
      </c>
      <c r="N59" s="31">
        <v>690</v>
      </c>
      <c r="O59" s="31">
        <f>460+100</f>
        <v>560</v>
      </c>
      <c r="P59" s="31">
        <f>SUM(D59:O59)</f>
        <v>11079</v>
      </c>
    </row>
    <row r="60" spans="2:18" x14ac:dyDescent="0.25">
      <c r="B60" s="112"/>
      <c r="C60" s="109" t="s">
        <v>41</v>
      </c>
      <c r="D60" s="30"/>
      <c r="E60" s="30">
        <v>42419</v>
      </c>
      <c r="F60" s="30"/>
      <c r="G60" s="30"/>
      <c r="H60" s="30">
        <v>42510</v>
      </c>
      <c r="I60" s="30"/>
      <c r="J60" s="30">
        <v>42570</v>
      </c>
      <c r="K60" s="30"/>
      <c r="L60" s="30">
        <v>42620</v>
      </c>
      <c r="M60" s="30"/>
      <c r="N60" s="30">
        <v>42685</v>
      </c>
      <c r="O60" s="30">
        <v>42734</v>
      </c>
      <c r="P60" s="30"/>
    </row>
    <row r="61" spans="2:18" x14ac:dyDescent="0.25">
      <c r="B61" s="112"/>
      <c r="C61" s="110"/>
      <c r="D61" s="31">
        <v>0</v>
      </c>
      <c r="E61" s="31">
        <v>150</v>
      </c>
      <c r="F61" s="31">
        <v>0</v>
      </c>
      <c r="G61" s="31">
        <v>0</v>
      </c>
      <c r="H61" s="31">
        <v>75</v>
      </c>
      <c r="I61" s="31">
        <v>0</v>
      </c>
      <c r="J61" s="31">
        <v>20</v>
      </c>
      <c r="K61" s="31">
        <v>0</v>
      </c>
      <c r="L61" s="31">
        <v>250</v>
      </c>
      <c r="M61" s="31">
        <v>0</v>
      </c>
      <c r="N61" s="31">
        <f>385 + 50</f>
        <v>435</v>
      </c>
      <c r="O61" s="31">
        <v>0</v>
      </c>
      <c r="P61" s="31">
        <f>SUM(D61:O61)</f>
        <v>930</v>
      </c>
      <c r="Q61" s="34"/>
      <c r="R61" s="45"/>
    </row>
    <row r="62" spans="2:18" x14ac:dyDescent="0.25">
      <c r="B62" s="113"/>
      <c r="C62" s="38" t="s">
        <v>0</v>
      </c>
      <c r="D62" s="10">
        <f t="shared" ref="D62:P62" si="4">SUM(D49,D51,D53,D55,D57,D59,D61)</f>
        <v>2124.52</v>
      </c>
      <c r="E62" s="10">
        <f t="shared" si="4"/>
        <v>1000</v>
      </c>
      <c r="F62" s="10">
        <f t="shared" si="4"/>
        <v>1000</v>
      </c>
      <c r="G62" s="10">
        <f t="shared" si="4"/>
        <v>850</v>
      </c>
      <c r="H62" s="10">
        <f t="shared" si="4"/>
        <v>925</v>
      </c>
      <c r="I62" s="10">
        <f t="shared" si="4"/>
        <v>1102.5</v>
      </c>
      <c r="J62" s="10">
        <f t="shared" si="4"/>
        <v>1289.5</v>
      </c>
      <c r="K62" s="10">
        <f t="shared" si="4"/>
        <v>1225</v>
      </c>
      <c r="L62" s="10">
        <f t="shared" si="4"/>
        <v>1230</v>
      </c>
      <c r="M62" s="10">
        <f t="shared" si="4"/>
        <v>1169</v>
      </c>
      <c r="N62" s="10">
        <f t="shared" si="4"/>
        <v>1267</v>
      </c>
      <c r="O62" s="10">
        <f t="shared" si="4"/>
        <v>945</v>
      </c>
      <c r="P62" s="10">
        <f t="shared" si="4"/>
        <v>14127.52</v>
      </c>
    </row>
    <row r="63" spans="2:18" x14ac:dyDescent="0.25">
      <c r="C63" s="11" t="s">
        <v>0</v>
      </c>
      <c r="D63" s="12">
        <f t="shared" ref="D63:P63" si="5">SUM(D4,D6,D8,D10,D12,D14,D16,D18,D21,D23,D26,D28,D30,D32,D34,D36,D38,D40,D42,D44,D46,D49,D51,D53,D55,D57,D59,D61)</f>
        <v>6458.4</v>
      </c>
      <c r="E63" s="12">
        <f t="shared" si="5"/>
        <v>5151.47</v>
      </c>
      <c r="F63" s="12">
        <f t="shared" si="5"/>
        <v>5416.38</v>
      </c>
      <c r="G63" s="12">
        <f t="shared" si="5"/>
        <v>4990.08</v>
      </c>
      <c r="H63" s="12">
        <f t="shared" si="5"/>
        <v>6790.61</v>
      </c>
      <c r="I63" s="12">
        <f t="shared" si="5"/>
        <v>5028.18</v>
      </c>
      <c r="J63" s="12">
        <f t="shared" si="5"/>
        <v>4977.91</v>
      </c>
      <c r="K63" s="12">
        <f t="shared" si="5"/>
        <v>5819.1549999999997</v>
      </c>
      <c r="L63" s="12">
        <f t="shared" si="5"/>
        <v>6453.55</v>
      </c>
      <c r="M63" s="12">
        <f t="shared" si="5"/>
        <v>6102.34</v>
      </c>
      <c r="N63" s="12">
        <f t="shared" si="5"/>
        <v>33714.480000000003</v>
      </c>
      <c r="O63" s="12">
        <f t="shared" si="5"/>
        <v>5378.59</v>
      </c>
      <c r="P63" s="12">
        <f t="shared" si="5"/>
        <v>96281.145000000004</v>
      </c>
    </row>
    <row r="64" spans="2:18" x14ac:dyDescent="0.25">
      <c r="P64" s="34"/>
    </row>
    <row r="65" spans="16:16" x14ac:dyDescent="0.25">
      <c r="P65" s="34"/>
    </row>
  </sheetData>
  <mergeCells count="32">
    <mergeCell ref="C56:C57"/>
    <mergeCell ref="C58:C59"/>
    <mergeCell ref="C60:C61"/>
    <mergeCell ref="C45:C46"/>
    <mergeCell ref="B48:B62"/>
    <mergeCell ref="C52:C53"/>
    <mergeCell ref="C54:C55"/>
    <mergeCell ref="B3:B19"/>
    <mergeCell ref="C3:C4"/>
    <mergeCell ref="C5:C6"/>
    <mergeCell ref="C7:C8"/>
    <mergeCell ref="C9:C10"/>
    <mergeCell ref="C11:C12"/>
    <mergeCell ref="C13:C14"/>
    <mergeCell ref="C15:C16"/>
    <mergeCell ref="C17:C18"/>
    <mergeCell ref="B20:B24"/>
    <mergeCell ref="B25:B47"/>
    <mergeCell ref="C48:C49"/>
    <mergeCell ref="C50:C51"/>
    <mergeCell ref="C20:C21"/>
    <mergeCell ref="C22:C23"/>
    <mergeCell ref="C39:C40"/>
    <mergeCell ref="C41:C42"/>
    <mergeCell ref="C43:C44"/>
    <mergeCell ref="C25:C26"/>
    <mergeCell ref="C27:C28"/>
    <mergeCell ref="C29:C30"/>
    <mergeCell ref="C31:C32"/>
    <mergeCell ref="C37:C38"/>
    <mergeCell ref="C33:C34"/>
    <mergeCell ref="C35:C3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67"/>
  <sheetViews>
    <sheetView topLeftCell="A5" zoomScale="85" zoomScaleNormal="85" workbookViewId="0">
      <pane xSplit="3" topLeftCell="I1" activePane="topRight" state="frozen"/>
      <selection activeCell="A40" sqref="A40"/>
      <selection pane="topRight" activeCell="N66" sqref="N66"/>
    </sheetView>
  </sheetViews>
  <sheetFormatPr defaultRowHeight="15" x14ac:dyDescent="0.25"/>
  <cols>
    <col min="3" max="3" width="15" bestFit="1" customWidth="1"/>
    <col min="4" max="4" width="10.7109375" bestFit="1" customWidth="1"/>
    <col min="5" max="5" width="9.7109375" bestFit="1" customWidth="1"/>
    <col min="6" max="7" width="10.140625" bestFit="1" customWidth="1"/>
    <col min="8" max="8" width="9.7109375" bestFit="1" customWidth="1"/>
    <col min="9" max="9" width="10.140625" bestFit="1" customWidth="1"/>
    <col min="10" max="10" width="9.7109375" bestFit="1" customWidth="1"/>
    <col min="11" max="11" width="10.28515625" bestFit="1" customWidth="1"/>
    <col min="12" max="12" width="9.7109375" bestFit="1" customWidth="1"/>
    <col min="13" max="14" width="10.7109375" bestFit="1" customWidth="1"/>
    <col min="15" max="15" width="10.85546875" bestFit="1" customWidth="1"/>
    <col min="16" max="17" width="10.140625" bestFit="1" customWidth="1"/>
  </cols>
  <sheetData>
    <row r="2" spans="2:21" x14ac:dyDescent="0.25">
      <c r="C2" s="1"/>
      <c r="D2" s="13">
        <v>42736</v>
      </c>
      <c r="E2" s="13">
        <v>42767</v>
      </c>
      <c r="F2" s="13">
        <v>42795</v>
      </c>
      <c r="G2" s="13">
        <v>42826</v>
      </c>
      <c r="H2" s="13">
        <v>42856</v>
      </c>
      <c r="I2" s="13">
        <v>42887</v>
      </c>
      <c r="J2" s="13">
        <v>42917</v>
      </c>
      <c r="K2" s="13">
        <v>42948</v>
      </c>
      <c r="L2" s="13">
        <v>42979</v>
      </c>
      <c r="M2" s="13">
        <v>43009</v>
      </c>
      <c r="N2" s="13">
        <v>43040</v>
      </c>
      <c r="O2" s="13">
        <v>43070</v>
      </c>
      <c r="P2" s="13" t="s">
        <v>0</v>
      </c>
    </row>
    <row r="3" spans="2:21" ht="15" customHeight="1" x14ac:dyDescent="0.25">
      <c r="B3" s="125" t="s">
        <v>26</v>
      </c>
      <c r="C3" s="106" t="s">
        <v>1</v>
      </c>
      <c r="D3" s="30">
        <v>42747</v>
      </c>
      <c r="E3" s="30">
        <v>42782</v>
      </c>
      <c r="F3" s="30">
        <v>42807</v>
      </c>
      <c r="G3" s="33">
        <v>42837</v>
      </c>
      <c r="H3" s="33">
        <v>42867</v>
      </c>
      <c r="I3" s="33">
        <v>42898</v>
      </c>
      <c r="J3" s="33">
        <v>42928</v>
      </c>
      <c r="K3" s="33">
        <v>42956</v>
      </c>
      <c r="L3" s="33">
        <v>42989</v>
      </c>
      <c r="M3" s="33">
        <v>43019</v>
      </c>
      <c r="N3" s="33">
        <v>43047</v>
      </c>
      <c r="O3" s="33">
        <v>43077</v>
      </c>
      <c r="P3" s="49"/>
    </row>
    <row r="4" spans="2:21" x14ac:dyDescent="0.25">
      <c r="B4" s="126"/>
      <c r="C4" s="106"/>
      <c r="D4" s="31">
        <v>155.77000000000001</v>
      </c>
      <c r="E4" s="31">
        <v>121.2</v>
      </c>
      <c r="F4" s="31">
        <v>97.59</v>
      </c>
      <c r="G4" s="31">
        <v>100.98</v>
      </c>
      <c r="H4" s="31">
        <v>59.11</v>
      </c>
      <c r="I4" s="31">
        <v>33.520000000000003</v>
      </c>
      <c r="J4" s="31">
        <v>21.98</v>
      </c>
      <c r="K4" s="31">
        <v>21.27</v>
      </c>
      <c r="L4" s="31">
        <v>21.35</v>
      </c>
      <c r="M4" s="31">
        <v>23.43</v>
      </c>
      <c r="N4" s="31">
        <v>51.68</v>
      </c>
      <c r="O4" s="31">
        <v>99.33</v>
      </c>
      <c r="P4" s="50">
        <f>SUM(D4:O4)</f>
        <v>807.21</v>
      </c>
    </row>
    <row r="5" spans="2:21" x14ac:dyDescent="0.25">
      <c r="B5" s="126"/>
      <c r="C5" s="106" t="s">
        <v>10</v>
      </c>
      <c r="D5" s="30">
        <v>42744</v>
      </c>
      <c r="E5" s="30">
        <v>42788</v>
      </c>
      <c r="F5" s="30">
        <v>42798</v>
      </c>
      <c r="G5" s="30">
        <v>42831</v>
      </c>
      <c r="H5" s="30">
        <v>42866</v>
      </c>
      <c r="I5" s="30">
        <v>42895</v>
      </c>
      <c r="J5" s="30">
        <v>42937</v>
      </c>
      <c r="K5" s="30">
        <v>42958</v>
      </c>
      <c r="L5" s="30">
        <v>42989</v>
      </c>
      <c r="M5" s="30">
        <v>43019</v>
      </c>
      <c r="N5" s="30">
        <v>43053</v>
      </c>
      <c r="O5" s="30">
        <v>43096</v>
      </c>
      <c r="P5" s="51"/>
    </row>
    <row r="6" spans="2:21" x14ac:dyDescent="0.25">
      <c r="B6" s="126"/>
      <c r="C6" s="106"/>
      <c r="D6" s="31">
        <v>85</v>
      </c>
      <c r="E6" s="31">
        <v>98.57</v>
      </c>
      <c r="F6" s="31">
        <v>73.650000000000006</v>
      </c>
      <c r="G6" s="31">
        <v>0</v>
      </c>
      <c r="H6" s="31">
        <v>24.71</v>
      </c>
      <c r="I6" s="31">
        <v>30.64</v>
      </c>
      <c r="J6" s="31">
        <v>18.190000000000001</v>
      </c>
      <c r="K6" s="31">
        <v>16.899999999999999</v>
      </c>
      <c r="L6" s="31">
        <v>16.98</v>
      </c>
      <c r="M6" s="31">
        <v>17.53</v>
      </c>
      <c r="N6" s="31">
        <v>16.86</v>
      </c>
      <c r="O6" s="31">
        <v>11.45</v>
      </c>
      <c r="P6" s="50">
        <f>SUM(D6:O6)</f>
        <v>410.48</v>
      </c>
    </row>
    <row r="7" spans="2:21" x14ac:dyDescent="0.25">
      <c r="B7" s="126"/>
      <c r="C7" s="106" t="s">
        <v>2</v>
      </c>
      <c r="D7" s="35">
        <v>42392</v>
      </c>
      <c r="E7" s="30">
        <v>42793</v>
      </c>
      <c r="F7" s="30">
        <v>42814</v>
      </c>
      <c r="G7" s="30">
        <v>42851</v>
      </c>
      <c r="H7" s="30">
        <v>42899</v>
      </c>
      <c r="I7" s="30">
        <v>42913</v>
      </c>
      <c r="J7" s="30">
        <v>42940</v>
      </c>
      <c r="K7" s="30">
        <v>42976</v>
      </c>
      <c r="L7" s="30">
        <v>43007</v>
      </c>
      <c r="M7" s="30">
        <v>43037</v>
      </c>
      <c r="N7" s="30">
        <v>43076</v>
      </c>
      <c r="O7" s="30">
        <v>43094</v>
      </c>
      <c r="P7" s="48"/>
    </row>
    <row r="8" spans="2:21" x14ac:dyDescent="0.25">
      <c r="B8" s="126"/>
      <c r="C8" s="106"/>
      <c r="D8" s="36">
        <v>82.66</v>
      </c>
      <c r="E8" s="31">
        <v>82.07</v>
      </c>
      <c r="F8" s="31">
        <v>74.64</v>
      </c>
      <c r="G8" s="31">
        <v>87.09</v>
      </c>
      <c r="H8" s="31">
        <v>89.14</v>
      </c>
      <c r="I8" s="31">
        <v>96.83</v>
      </c>
      <c r="J8" s="31">
        <v>99.49</v>
      </c>
      <c r="K8" s="31">
        <v>82.29</v>
      </c>
      <c r="L8" s="31">
        <v>61.95</v>
      </c>
      <c r="M8" s="31">
        <v>56.37</v>
      </c>
      <c r="N8" s="31">
        <v>65.31</v>
      </c>
      <c r="O8" s="31">
        <v>94.48</v>
      </c>
      <c r="P8" s="50">
        <f>SUM(D8:O8)</f>
        <v>972.32</v>
      </c>
    </row>
    <row r="9" spans="2:21" x14ac:dyDescent="0.25">
      <c r="B9" s="126"/>
      <c r="C9" s="106" t="s">
        <v>11</v>
      </c>
      <c r="D9" s="30">
        <v>42744</v>
      </c>
      <c r="E9" s="30">
        <v>42782</v>
      </c>
      <c r="F9" s="30">
        <v>42798</v>
      </c>
      <c r="G9" s="30">
        <v>42831</v>
      </c>
      <c r="H9" s="30">
        <v>42866</v>
      </c>
      <c r="I9" s="30">
        <v>42895</v>
      </c>
      <c r="J9" s="30">
        <v>42940</v>
      </c>
      <c r="K9" s="30">
        <v>42958</v>
      </c>
      <c r="L9" s="30">
        <v>42989</v>
      </c>
      <c r="M9" s="30">
        <v>43031</v>
      </c>
      <c r="N9" s="30">
        <v>43076</v>
      </c>
      <c r="O9" s="30"/>
      <c r="P9" s="51"/>
    </row>
    <row r="10" spans="2:21" x14ac:dyDescent="0.25">
      <c r="B10" s="126"/>
      <c r="C10" s="106"/>
      <c r="D10" s="31">
        <v>49.21</v>
      </c>
      <c r="E10" s="31">
        <v>53.81</v>
      </c>
      <c r="F10" s="31">
        <v>39.74</v>
      </c>
      <c r="G10" s="31">
        <v>20.16</v>
      </c>
      <c r="H10" s="31">
        <v>25.48</v>
      </c>
      <c r="I10" s="31">
        <v>33.19</v>
      </c>
      <c r="J10" s="31">
        <v>37.71</v>
      </c>
      <c r="K10" s="31">
        <v>46.16</v>
      </c>
      <c r="L10" s="31">
        <v>33.21</v>
      </c>
      <c r="M10" s="31">
        <v>39.270000000000003</v>
      </c>
      <c r="N10" s="31">
        <v>60.12</v>
      </c>
      <c r="O10" s="31">
        <v>0</v>
      </c>
      <c r="P10" s="50">
        <f>SUM(D10:O10)</f>
        <v>438.06</v>
      </c>
    </row>
    <row r="11" spans="2:21" x14ac:dyDescent="0.25">
      <c r="B11" s="126"/>
      <c r="C11" s="106" t="s">
        <v>7</v>
      </c>
      <c r="D11" s="30"/>
      <c r="E11" s="30"/>
      <c r="F11" s="30">
        <v>42810</v>
      </c>
      <c r="G11" s="30"/>
      <c r="H11" s="30"/>
      <c r="I11" s="30">
        <v>42912</v>
      </c>
      <c r="J11" s="30"/>
      <c r="K11" s="30"/>
      <c r="L11" s="30">
        <v>42979</v>
      </c>
      <c r="M11" s="30"/>
      <c r="N11" s="30"/>
      <c r="O11" s="30">
        <v>43088</v>
      </c>
      <c r="P11" s="48"/>
    </row>
    <row r="12" spans="2:21" x14ac:dyDescent="0.25">
      <c r="B12" s="126"/>
      <c r="C12" s="106"/>
      <c r="D12" s="31">
        <v>0</v>
      </c>
      <c r="E12" s="31">
        <v>0</v>
      </c>
      <c r="F12" s="31">
        <v>164.82</v>
      </c>
      <c r="G12" s="31">
        <v>0</v>
      </c>
      <c r="H12" s="31">
        <v>0</v>
      </c>
      <c r="I12" s="31">
        <v>193.17</v>
      </c>
      <c r="J12" s="31">
        <v>0</v>
      </c>
      <c r="K12" s="31">
        <v>0</v>
      </c>
      <c r="L12" s="31">
        <v>249.9</v>
      </c>
      <c r="M12" s="31">
        <v>0</v>
      </c>
      <c r="N12" s="31">
        <v>0</v>
      </c>
      <c r="O12" s="31">
        <v>161.28</v>
      </c>
      <c r="P12" s="50">
        <f>SUM(D12:O12)</f>
        <v>769.17</v>
      </c>
    </row>
    <row r="13" spans="2:21" x14ac:dyDescent="0.25">
      <c r="B13" s="126"/>
      <c r="C13" s="106" t="s">
        <v>8</v>
      </c>
      <c r="D13" s="30"/>
      <c r="E13" s="30"/>
      <c r="F13" s="30">
        <v>42798</v>
      </c>
      <c r="G13" s="30"/>
      <c r="H13" s="30">
        <v>42880</v>
      </c>
      <c r="I13" s="32"/>
      <c r="J13" s="30"/>
      <c r="K13" s="30"/>
      <c r="L13" s="30"/>
      <c r="M13" s="30"/>
      <c r="N13" s="30"/>
      <c r="O13" s="30"/>
      <c r="P13" s="48"/>
    </row>
    <row r="14" spans="2:21" x14ac:dyDescent="0.25">
      <c r="B14" s="126"/>
      <c r="C14" s="106"/>
      <c r="D14" s="31">
        <v>0</v>
      </c>
      <c r="E14" s="31">
        <v>0</v>
      </c>
      <c r="F14" s="31">
        <v>39.75</v>
      </c>
      <c r="G14" s="31">
        <v>0</v>
      </c>
      <c r="H14" s="31">
        <v>181.5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50">
        <f>SUM(D14:O14)</f>
        <v>221.25</v>
      </c>
      <c r="U14" s="47"/>
    </row>
    <row r="15" spans="2:21" x14ac:dyDescent="0.25">
      <c r="B15" s="126"/>
      <c r="C15" s="106" t="s">
        <v>3</v>
      </c>
      <c r="D15" s="30">
        <v>42755</v>
      </c>
      <c r="E15" s="30">
        <v>42786</v>
      </c>
      <c r="F15" s="30">
        <v>42814</v>
      </c>
      <c r="G15" s="30">
        <v>42845</v>
      </c>
      <c r="H15" s="30">
        <v>42875</v>
      </c>
      <c r="I15" s="30">
        <v>42906</v>
      </c>
      <c r="J15" s="30">
        <v>42936</v>
      </c>
      <c r="K15" s="30">
        <v>42958</v>
      </c>
      <c r="L15" s="30">
        <v>42989</v>
      </c>
      <c r="M15" s="30">
        <v>43028</v>
      </c>
      <c r="N15" s="30">
        <v>43059</v>
      </c>
      <c r="O15" s="30">
        <v>43089</v>
      </c>
      <c r="P15" s="48"/>
      <c r="U15" s="47"/>
    </row>
    <row r="16" spans="2:21" x14ac:dyDescent="0.25">
      <c r="B16" s="126"/>
      <c r="C16" s="106"/>
      <c r="D16" s="31">
        <v>35</v>
      </c>
      <c r="E16" s="31">
        <v>35</v>
      </c>
      <c r="F16" s="31">
        <v>35</v>
      </c>
      <c r="G16" s="31">
        <v>35</v>
      </c>
      <c r="H16" s="31">
        <v>35</v>
      </c>
      <c r="I16" s="31">
        <v>35</v>
      </c>
      <c r="J16" s="31">
        <v>35</v>
      </c>
      <c r="K16" s="31">
        <v>35</v>
      </c>
      <c r="L16" s="31">
        <v>35</v>
      </c>
      <c r="M16" s="31">
        <v>35</v>
      </c>
      <c r="N16" s="31">
        <v>43.66</v>
      </c>
      <c r="O16" s="31">
        <v>35</v>
      </c>
      <c r="P16" s="50">
        <f>SUM(D16:O16)</f>
        <v>428.66</v>
      </c>
      <c r="U16" s="47"/>
    </row>
    <row r="17" spans="2:21" x14ac:dyDescent="0.25">
      <c r="B17" s="126"/>
      <c r="C17" s="106" t="s">
        <v>5</v>
      </c>
      <c r="D17" s="30">
        <v>42744</v>
      </c>
      <c r="E17" s="30">
        <v>42775</v>
      </c>
      <c r="F17" s="30">
        <v>42804</v>
      </c>
      <c r="G17" s="30"/>
      <c r="H17" s="30">
        <v>42865</v>
      </c>
      <c r="I17" s="30">
        <v>42895</v>
      </c>
      <c r="J17" s="30">
        <v>42936</v>
      </c>
      <c r="K17" s="30">
        <v>42958</v>
      </c>
      <c r="L17" s="30">
        <v>42989</v>
      </c>
      <c r="M17" s="30">
        <v>43019</v>
      </c>
      <c r="N17" s="30">
        <v>43047</v>
      </c>
      <c r="O17" s="30">
        <v>43077</v>
      </c>
      <c r="P17" s="48"/>
      <c r="U17" s="47"/>
    </row>
    <row r="18" spans="2:21" x14ac:dyDescent="0.25">
      <c r="B18" s="126"/>
      <c r="C18" s="106"/>
      <c r="D18" s="31">
        <v>46.41</v>
      </c>
      <c r="E18" s="31">
        <v>49.99</v>
      </c>
      <c r="F18" s="31">
        <v>8</v>
      </c>
      <c r="G18" s="31">
        <v>0</v>
      </c>
      <c r="H18" s="31">
        <v>81.489999999999995</v>
      </c>
      <c r="I18" s="31">
        <v>51.54</v>
      </c>
      <c r="J18" s="31">
        <v>51.54</v>
      </c>
      <c r="K18" s="31">
        <v>112.58</v>
      </c>
      <c r="L18" s="31">
        <v>51.54</v>
      </c>
      <c r="M18" s="31">
        <v>51.54</v>
      </c>
      <c r="N18" s="31">
        <v>51.52</v>
      </c>
      <c r="O18" s="31">
        <v>51.52</v>
      </c>
      <c r="P18" s="50">
        <f>SUM(D18:O18)</f>
        <v>607.66999999999996</v>
      </c>
      <c r="U18" s="47"/>
    </row>
    <row r="19" spans="2:21" ht="15" customHeight="1" x14ac:dyDescent="0.25">
      <c r="B19" s="127"/>
      <c r="C19" s="42" t="s">
        <v>0</v>
      </c>
      <c r="D19" s="10">
        <f t="shared" ref="D19:P19" si="0">SUM(D4,D6,D8,D10,D12,D14,D16,D18)</f>
        <v>454.05</v>
      </c>
      <c r="E19" s="10">
        <f t="shared" si="0"/>
        <v>440.64</v>
      </c>
      <c r="F19" s="10">
        <f t="shared" si="0"/>
        <v>533.19000000000005</v>
      </c>
      <c r="G19" s="10">
        <f t="shared" si="0"/>
        <v>243.23</v>
      </c>
      <c r="H19" s="10">
        <f t="shared" si="0"/>
        <v>496.43</v>
      </c>
      <c r="I19" s="10">
        <f t="shared" si="0"/>
        <v>473.89</v>
      </c>
      <c r="J19" s="10">
        <f t="shared" si="0"/>
        <v>263.91000000000003</v>
      </c>
      <c r="K19" s="10">
        <f t="shared" si="0"/>
        <v>314.2</v>
      </c>
      <c r="L19" s="10">
        <f t="shared" si="0"/>
        <v>469.93</v>
      </c>
      <c r="M19" s="10">
        <f t="shared" si="0"/>
        <v>223.14</v>
      </c>
      <c r="N19" s="10">
        <f t="shared" si="0"/>
        <v>289.14999999999998</v>
      </c>
      <c r="O19" s="10">
        <f t="shared" si="0"/>
        <v>453.06</v>
      </c>
      <c r="P19" s="10">
        <f t="shared" si="0"/>
        <v>4654.82</v>
      </c>
      <c r="U19" s="47"/>
    </row>
    <row r="20" spans="2:21" x14ac:dyDescent="0.25">
      <c r="B20" s="118" t="s">
        <v>27</v>
      </c>
      <c r="C20" s="107" t="s">
        <v>4</v>
      </c>
      <c r="D20" s="30">
        <v>42736</v>
      </c>
      <c r="E20" s="30">
        <v>42767</v>
      </c>
      <c r="F20" s="30">
        <v>42795</v>
      </c>
      <c r="G20" s="30">
        <v>42826</v>
      </c>
      <c r="H20" s="30">
        <v>42856</v>
      </c>
      <c r="I20" s="30">
        <v>42887</v>
      </c>
      <c r="J20" s="30">
        <v>42917</v>
      </c>
      <c r="K20" s="30">
        <v>42948</v>
      </c>
      <c r="L20" s="30">
        <v>42979</v>
      </c>
      <c r="M20" s="30">
        <v>43009</v>
      </c>
      <c r="N20" s="30">
        <v>43040</v>
      </c>
      <c r="O20" s="30">
        <v>43070</v>
      </c>
      <c r="P20" s="48"/>
      <c r="U20" s="47"/>
    </row>
    <row r="21" spans="2:21" x14ac:dyDescent="0.25">
      <c r="B21" s="119"/>
      <c r="C21" s="108"/>
      <c r="D21" s="31">
        <v>1883.66</v>
      </c>
      <c r="E21" s="31">
        <v>1883.66</v>
      </c>
      <c r="F21" s="31">
        <v>1888.38</v>
      </c>
      <c r="G21" s="31">
        <v>1888.38</v>
      </c>
      <c r="H21" s="31">
        <v>1888.38</v>
      </c>
      <c r="I21" s="31">
        <v>1888.38</v>
      </c>
      <c r="J21" s="31">
        <v>1888.38</v>
      </c>
      <c r="K21" s="31">
        <v>1888.38</v>
      </c>
      <c r="L21" s="31">
        <v>1888.38</v>
      </c>
      <c r="M21" s="31">
        <v>1888.38</v>
      </c>
      <c r="N21" s="31">
        <v>1888.38</v>
      </c>
      <c r="O21" s="31">
        <v>1888.38</v>
      </c>
      <c r="P21" s="50">
        <f>SUM(D21:O21)</f>
        <v>22651.119999999999</v>
      </c>
      <c r="U21" s="47"/>
    </row>
    <row r="22" spans="2:21" x14ac:dyDescent="0.25">
      <c r="B22" s="119"/>
      <c r="C22" s="107" t="s">
        <v>14</v>
      </c>
      <c r="D22" s="30"/>
      <c r="E22" s="30"/>
      <c r="F22" s="30"/>
      <c r="G22" s="30"/>
      <c r="H22" s="30"/>
      <c r="I22" s="30"/>
      <c r="J22" s="30"/>
      <c r="K22" s="30"/>
      <c r="L22" s="53"/>
      <c r="M22" s="53"/>
      <c r="N22" s="53"/>
      <c r="O22" s="53"/>
      <c r="P22" s="53"/>
      <c r="U22" s="46"/>
    </row>
    <row r="23" spans="2:21" ht="15" customHeight="1" x14ac:dyDescent="0.25">
      <c r="B23" s="119"/>
      <c r="C23" s="108"/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54">
        <v>0</v>
      </c>
      <c r="M23" s="54">
        <v>0</v>
      </c>
      <c r="N23" s="54">
        <v>0</v>
      </c>
      <c r="O23" s="54">
        <v>0</v>
      </c>
      <c r="P23" s="54">
        <f>SUM(D23:O23)</f>
        <v>0</v>
      </c>
      <c r="Q23" s="40"/>
    </row>
    <row r="24" spans="2:21" ht="15" customHeight="1" x14ac:dyDescent="0.25">
      <c r="B24" s="120"/>
      <c r="C24" s="39" t="s">
        <v>0</v>
      </c>
      <c r="D24" s="10">
        <f t="shared" ref="D24:P24" si="1">SUM(D21,D23)</f>
        <v>1883.66</v>
      </c>
      <c r="E24" s="10">
        <f t="shared" si="1"/>
        <v>1883.66</v>
      </c>
      <c r="F24" s="10">
        <f t="shared" si="1"/>
        <v>1888.38</v>
      </c>
      <c r="G24" s="10">
        <f t="shared" si="1"/>
        <v>1888.38</v>
      </c>
      <c r="H24" s="10">
        <f t="shared" si="1"/>
        <v>1888.38</v>
      </c>
      <c r="I24" s="10">
        <f t="shared" si="1"/>
        <v>1888.38</v>
      </c>
      <c r="J24" s="10">
        <f t="shared" si="1"/>
        <v>1888.38</v>
      </c>
      <c r="K24" s="10">
        <f t="shared" si="1"/>
        <v>1888.38</v>
      </c>
      <c r="L24" s="10">
        <f t="shared" si="1"/>
        <v>1888.38</v>
      </c>
      <c r="M24" s="10">
        <f t="shared" si="1"/>
        <v>1888.38</v>
      </c>
      <c r="N24" s="10">
        <f t="shared" si="1"/>
        <v>1888.38</v>
      </c>
      <c r="O24" s="10">
        <f t="shared" si="1"/>
        <v>1888.38</v>
      </c>
      <c r="P24" s="10">
        <f t="shared" si="1"/>
        <v>22651.119999999999</v>
      </c>
      <c r="Q24" s="41"/>
    </row>
    <row r="25" spans="2:21" x14ac:dyDescent="0.25">
      <c r="B25" s="121" t="s">
        <v>24</v>
      </c>
      <c r="C25" s="104" t="s">
        <v>32</v>
      </c>
      <c r="D25" s="30">
        <v>42762</v>
      </c>
      <c r="E25" s="30">
        <v>42793</v>
      </c>
      <c r="F25" s="30">
        <v>42821</v>
      </c>
      <c r="G25" s="30">
        <v>42851</v>
      </c>
      <c r="H25" s="30">
        <v>42886</v>
      </c>
      <c r="I25" s="30">
        <v>42919</v>
      </c>
      <c r="J25" s="30">
        <v>42933</v>
      </c>
      <c r="K25" s="30">
        <v>42976</v>
      </c>
      <c r="L25" s="30">
        <v>43007</v>
      </c>
      <c r="M25" s="30">
        <v>43037</v>
      </c>
      <c r="N25" s="30">
        <v>43067</v>
      </c>
      <c r="O25" s="30">
        <v>43094</v>
      </c>
      <c r="P25" s="48"/>
      <c r="Q25" s="41"/>
      <c r="S25" s="34"/>
    </row>
    <row r="26" spans="2:21" x14ac:dyDescent="0.25">
      <c r="B26" s="122"/>
      <c r="C26" s="105"/>
      <c r="D26" s="31">
        <f>62.62+98.86</f>
        <v>161.47999999999999</v>
      </c>
      <c r="E26" s="31">
        <v>77.010000000000005</v>
      </c>
      <c r="F26" s="31">
        <v>123.16</v>
      </c>
      <c r="G26" s="31">
        <v>610.54999999999995</v>
      </c>
      <c r="H26" s="31">
        <v>708.61</v>
      </c>
      <c r="I26" s="31">
        <v>613.92999999999995</v>
      </c>
      <c r="J26" s="31">
        <f>837.13</f>
        <v>837.13</v>
      </c>
      <c r="K26" s="31">
        <v>40.67</v>
      </c>
      <c r="L26" s="31">
        <v>77.84</v>
      </c>
      <c r="M26" s="31">
        <v>31.86</v>
      </c>
      <c r="N26" s="31">
        <v>12.97</v>
      </c>
      <c r="O26" s="31">
        <v>0</v>
      </c>
      <c r="P26" s="50">
        <f>SUM(D26:O26)</f>
        <v>3295.21</v>
      </c>
      <c r="Q26" s="40"/>
    </row>
    <row r="27" spans="2:21" x14ac:dyDescent="0.25">
      <c r="B27" s="122"/>
      <c r="C27" s="104" t="s">
        <v>33</v>
      </c>
      <c r="D27" s="30">
        <v>42767</v>
      </c>
      <c r="E27" s="30">
        <v>42793</v>
      </c>
      <c r="F27" s="30">
        <v>42821</v>
      </c>
      <c r="G27" s="30">
        <v>42851</v>
      </c>
      <c r="H27" s="30">
        <v>42874</v>
      </c>
      <c r="I27" s="30">
        <v>42908</v>
      </c>
      <c r="J27" s="30">
        <v>42945</v>
      </c>
      <c r="K27" s="30">
        <v>42976</v>
      </c>
      <c r="L27" s="30">
        <v>43007</v>
      </c>
      <c r="M27" s="30">
        <v>43041</v>
      </c>
      <c r="N27" s="30">
        <v>43067</v>
      </c>
      <c r="O27" s="30">
        <v>43094</v>
      </c>
      <c r="P27" s="48"/>
      <c r="Q27" s="41"/>
      <c r="R27" s="34"/>
    </row>
    <row r="28" spans="2:21" x14ac:dyDescent="0.25">
      <c r="B28" s="122"/>
      <c r="C28" s="105"/>
      <c r="D28" s="31">
        <v>75.97</v>
      </c>
      <c r="E28" s="31">
        <v>117.47</v>
      </c>
      <c r="F28" s="31">
        <v>172.72</v>
      </c>
      <c r="G28" s="31">
        <v>184.35</v>
      </c>
      <c r="H28" s="31">
        <v>281.8</v>
      </c>
      <c r="I28" s="31">
        <v>21.43</v>
      </c>
      <c r="J28" s="31">
        <f>18.29+48.66</f>
        <v>66.95</v>
      </c>
      <c r="K28" s="31">
        <v>0</v>
      </c>
      <c r="L28" s="31">
        <v>4.92</v>
      </c>
      <c r="M28" s="31">
        <v>443.93</v>
      </c>
      <c r="N28" s="31">
        <v>269.24</v>
      </c>
      <c r="O28" s="31">
        <v>491.86</v>
      </c>
      <c r="P28" s="50">
        <f>SUM(D28:O28)</f>
        <v>2130.64</v>
      </c>
      <c r="Q28" s="40"/>
    </row>
    <row r="29" spans="2:21" x14ac:dyDescent="0.25">
      <c r="B29" s="122"/>
      <c r="C29" s="104" t="s">
        <v>34</v>
      </c>
      <c r="D29" s="30">
        <v>42762</v>
      </c>
      <c r="E29" s="30"/>
      <c r="F29" s="30">
        <v>42814</v>
      </c>
      <c r="G29" s="30"/>
      <c r="H29" s="30">
        <v>42874</v>
      </c>
      <c r="I29" s="30"/>
      <c r="J29" s="30">
        <v>42945</v>
      </c>
      <c r="K29" s="30">
        <v>42976</v>
      </c>
      <c r="L29" s="30">
        <v>43007</v>
      </c>
      <c r="M29" s="30">
        <v>43037</v>
      </c>
      <c r="N29" s="30">
        <v>43067</v>
      </c>
      <c r="O29" s="30">
        <v>43094</v>
      </c>
      <c r="P29" s="48"/>
      <c r="Q29" s="41"/>
    </row>
    <row r="30" spans="2:21" x14ac:dyDescent="0.25">
      <c r="B30" s="122"/>
      <c r="C30" s="105"/>
      <c r="D30" s="31">
        <v>0.01</v>
      </c>
      <c r="E30" s="31">
        <v>0</v>
      </c>
      <c r="F30" s="31">
        <v>0.01</v>
      </c>
      <c r="G30" s="31">
        <v>0</v>
      </c>
      <c r="H30" s="31">
        <v>15.2</v>
      </c>
      <c r="I30" s="31">
        <v>0</v>
      </c>
      <c r="J30" s="31">
        <v>3.58</v>
      </c>
      <c r="K30" s="31">
        <v>28.46</v>
      </c>
      <c r="L30" s="31">
        <v>72.02</v>
      </c>
      <c r="M30" s="31">
        <v>0</v>
      </c>
      <c r="N30" s="31">
        <v>344.9</v>
      </c>
      <c r="O30" s="31">
        <v>85.91</v>
      </c>
      <c r="P30" s="50">
        <f>SUM(D30:O30)</f>
        <v>550.09</v>
      </c>
      <c r="Q30" s="40"/>
      <c r="T30" s="34"/>
    </row>
    <row r="31" spans="2:21" ht="15" customHeight="1" x14ac:dyDescent="0.25">
      <c r="B31" s="122"/>
      <c r="C31" s="104" t="s">
        <v>38</v>
      </c>
      <c r="D31" s="30">
        <v>42762</v>
      </c>
      <c r="E31" s="30"/>
      <c r="F31" s="30"/>
      <c r="G31" s="30"/>
      <c r="H31" s="30"/>
      <c r="I31" s="30"/>
      <c r="J31" s="30"/>
      <c r="K31" s="30">
        <v>42976</v>
      </c>
      <c r="L31" s="30"/>
      <c r="M31" s="30"/>
      <c r="N31" s="30"/>
      <c r="O31" s="30"/>
      <c r="P31" s="48"/>
      <c r="Q31" s="41"/>
      <c r="T31" s="34"/>
    </row>
    <row r="32" spans="2:21" x14ac:dyDescent="0.25">
      <c r="B32" s="122"/>
      <c r="C32" s="105"/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6.73</v>
      </c>
      <c r="L32" s="44">
        <v>0</v>
      </c>
      <c r="M32" s="44">
        <v>0</v>
      </c>
      <c r="N32" s="44">
        <v>0</v>
      </c>
      <c r="O32" s="44">
        <v>0</v>
      </c>
      <c r="P32" s="52">
        <f>SUM(D32:O32)</f>
        <v>6.73</v>
      </c>
      <c r="Q32" s="40"/>
      <c r="T32" s="34"/>
    </row>
    <row r="33" spans="2:20" ht="15" customHeight="1" x14ac:dyDescent="0.25">
      <c r="B33" s="122"/>
      <c r="C33" s="104" t="s">
        <v>43</v>
      </c>
      <c r="D33" s="30">
        <v>42762</v>
      </c>
      <c r="E33" s="30">
        <v>42793</v>
      </c>
      <c r="F33" s="30">
        <v>42821</v>
      </c>
      <c r="G33" s="30">
        <v>42851</v>
      </c>
      <c r="H33" s="30">
        <v>42878</v>
      </c>
      <c r="I33" s="30">
        <v>42908</v>
      </c>
      <c r="J33" s="30">
        <v>42933</v>
      </c>
      <c r="K33" s="30">
        <v>42976</v>
      </c>
      <c r="L33" s="30">
        <v>43007</v>
      </c>
      <c r="M33" s="30">
        <v>43037</v>
      </c>
      <c r="N33" s="30"/>
      <c r="O33" s="30"/>
      <c r="P33" s="48"/>
      <c r="Q33" s="41"/>
      <c r="T33" s="34"/>
    </row>
    <row r="34" spans="2:20" x14ac:dyDescent="0.25">
      <c r="B34" s="122"/>
      <c r="C34" s="105"/>
      <c r="D34" s="44">
        <v>312.75</v>
      </c>
      <c r="E34" s="44">
        <v>28.21</v>
      </c>
      <c r="F34" s="44">
        <v>137.21</v>
      </c>
      <c r="G34" s="44">
        <v>125.17</v>
      </c>
      <c r="H34" s="44">
        <f>40.95+25.32</f>
        <v>66.27</v>
      </c>
      <c r="I34" s="55">
        <f>8988.15</f>
        <v>8988.15</v>
      </c>
      <c r="J34" s="44">
        <f>197.45+125.01</f>
        <v>322.45999999999998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52">
        <f>SUM(D34:O34)</f>
        <v>9980.2199999999993</v>
      </c>
      <c r="Q34" s="40"/>
      <c r="T34" s="34"/>
    </row>
    <row r="35" spans="2:20" x14ac:dyDescent="0.25">
      <c r="B35" s="122"/>
      <c r="C35" s="104" t="s">
        <v>44</v>
      </c>
      <c r="D35" s="30">
        <v>42762</v>
      </c>
      <c r="E35" s="30">
        <v>42793</v>
      </c>
      <c r="F35" s="30">
        <v>42818</v>
      </c>
      <c r="G35" s="30">
        <v>42844</v>
      </c>
      <c r="H35" s="30">
        <v>42878</v>
      </c>
      <c r="I35" s="30">
        <v>42912</v>
      </c>
      <c r="J35" s="30">
        <v>42945</v>
      </c>
      <c r="K35" s="30">
        <v>42976</v>
      </c>
      <c r="L35" s="30">
        <v>43007</v>
      </c>
      <c r="M35" s="30">
        <v>43041</v>
      </c>
      <c r="N35" s="30">
        <v>43076</v>
      </c>
      <c r="O35" s="30">
        <v>43094</v>
      </c>
      <c r="P35" s="48"/>
      <c r="Q35" s="41"/>
      <c r="T35" s="34"/>
    </row>
    <row r="36" spans="2:20" x14ac:dyDescent="0.25">
      <c r="B36" s="122"/>
      <c r="C36" s="105"/>
      <c r="D36" s="31">
        <f>4231.51-D8-D16-D4-D18-D57-D53-D61-'2017'!O8</f>
        <v>1300.19</v>
      </c>
      <c r="E36" s="31">
        <f>2536.53-E8-E16-E4-E61-F61</f>
        <v>558.26</v>
      </c>
      <c r="F36" s="31">
        <f>3126.73-F4-F8-F14-F16-2280.5-84.36</f>
        <v>514.89</v>
      </c>
      <c r="G36" s="31">
        <f>3062.2-G4-G8-G14-G16-G59-G61</f>
        <v>703.61</v>
      </c>
      <c r="H36" s="31">
        <f>1997.69-H4-G8-G16-H16-H59-H61</f>
        <v>909.98</v>
      </c>
      <c r="I36" s="31">
        <f>1963.86-I16-H8-I4-I61-H14</f>
        <v>614.70000000000005</v>
      </c>
      <c r="J36" s="31">
        <f>4781.66-K61-J8-J16-J55-J4-I8-J61</f>
        <v>1352.36</v>
      </c>
      <c r="K36" s="31">
        <f>1713.55-K16-K4-K59</f>
        <v>648.13</v>
      </c>
      <c r="L36" s="31">
        <f>2405.33-L16-L4-K8-L61</f>
        <v>479.19000000000102</v>
      </c>
      <c r="M36" s="31">
        <f>5049.26-M61-M4-L8-M8-M16-N61</f>
        <v>1234.51</v>
      </c>
      <c r="N36" s="31">
        <f>4268.17-O61-N63-N16-N4</f>
        <v>1970.33</v>
      </c>
      <c r="O36" s="31">
        <f>658.42-N10-O16-O4</f>
        <v>463.97</v>
      </c>
      <c r="P36" s="52">
        <f>SUM(D36:O36)</f>
        <v>10750.12</v>
      </c>
      <c r="Q36" s="40"/>
      <c r="T36" s="34"/>
    </row>
    <row r="37" spans="2:20" x14ac:dyDescent="0.25">
      <c r="B37" s="122"/>
      <c r="C37" s="104" t="s">
        <v>40</v>
      </c>
      <c r="D37" s="30">
        <v>42762</v>
      </c>
      <c r="E37" s="30"/>
      <c r="F37" s="30">
        <v>42835</v>
      </c>
      <c r="G37" s="30">
        <v>42842</v>
      </c>
      <c r="H37" s="30">
        <v>42874</v>
      </c>
      <c r="I37" s="30">
        <v>42908</v>
      </c>
      <c r="J37" s="30"/>
      <c r="K37" s="30">
        <v>42976</v>
      </c>
      <c r="L37" s="30"/>
      <c r="M37" s="30">
        <v>43037</v>
      </c>
      <c r="N37" s="30">
        <v>43059</v>
      </c>
      <c r="O37" s="30">
        <v>43094</v>
      </c>
      <c r="P37" s="48"/>
      <c r="Q37" s="41"/>
      <c r="T37" s="34"/>
    </row>
    <row r="38" spans="2:20" x14ac:dyDescent="0.25">
      <c r="B38" s="122"/>
      <c r="C38" s="105"/>
      <c r="D38" s="31">
        <v>0</v>
      </c>
      <c r="E38" s="31">
        <v>0</v>
      </c>
      <c r="F38" s="31">
        <v>7.42</v>
      </c>
      <c r="G38" s="31">
        <v>2.04</v>
      </c>
      <c r="H38" s="31">
        <v>38.19</v>
      </c>
      <c r="I38" s="31">
        <v>21.32</v>
      </c>
      <c r="J38" s="31">
        <v>0</v>
      </c>
      <c r="K38" s="31">
        <v>5.18</v>
      </c>
      <c r="L38" s="31">
        <v>0</v>
      </c>
      <c r="M38" s="31">
        <v>0</v>
      </c>
      <c r="N38" s="31">
        <v>147.91999999999999</v>
      </c>
      <c r="O38" s="31">
        <v>26.18</v>
      </c>
      <c r="P38" s="52">
        <f>SUM(D38:O38)</f>
        <v>248.25</v>
      </c>
      <c r="Q38" s="40"/>
      <c r="T38" s="34"/>
    </row>
    <row r="39" spans="2:20" ht="15" customHeight="1" x14ac:dyDescent="0.25">
      <c r="B39" s="122"/>
      <c r="C39" s="104" t="s">
        <v>35</v>
      </c>
      <c r="D39" s="30">
        <v>42767</v>
      </c>
      <c r="E39" s="30">
        <v>42793</v>
      </c>
      <c r="F39" s="30">
        <v>42821</v>
      </c>
      <c r="G39" s="30">
        <v>42851</v>
      </c>
      <c r="H39" s="30">
        <v>42878</v>
      </c>
      <c r="I39" s="30">
        <v>42908</v>
      </c>
      <c r="J39" s="30">
        <v>42945</v>
      </c>
      <c r="K39" s="30">
        <v>42976</v>
      </c>
      <c r="L39" s="30"/>
      <c r="M39" s="30">
        <v>43037</v>
      </c>
      <c r="N39" s="30"/>
      <c r="O39" s="30"/>
      <c r="P39" s="48"/>
      <c r="Q39" s="41"/>
    </row>
    <row r="40" spans="2:20" x14ac:dyDescent="0.25">
      <c r="B40" s="122"/>
      <c r="C40" s="105"/>
      <c r="D40" s="31">
        <v>0</v>
      </c>
      <c r="E40" s="31">
        <v>0</v>
      </c>
      <c r="F40" s="31">
        <v>0</v>
      </c>
      <c r="G40" s="31">
        <v>96.88</v>
      </c>
      <c r="H40" s="31">
        <v>200.32</v>
      </c>
      <c r="I40" s="31">
        <v>473.21</v>
      </c>
      <c r="J40" s="31">
        <v>19.03</v>
      </c>
      <c r="K40" s="31">
        <v>8.48</v>
      </c>
      <c r="L40" s="31">
        <v>0</v>
      </c>
      <c r="M40" s="31">
        <v>0</v>
      </c>
      <c r="N40" s="31">
        <v>0</v>
      </c>
      <c r="O40" s="31">
        <v>0</v>
      </c>
      <c r="P40" s="50">
        <f>SUM(D40:O40)</f>
        <v>797.92</v>
      </c>
      <c r="Q40" s="40"/>
    </row>
    <row r="41" spans="2:20" x14ac:dyDescent="0.25">
      <c r="B41" s="122"/>
      <c r="C41" s="117" t="s">
        <v>36</v>
      </c>
      <c r="D41" s="30">
        <v>42767</v>
      </c>
      <c r="E41" s="30">
        <v>42793</v>
      </c>
      <c r="F41" s="30">
        <v>42821</v>
      </c>
      <c r="G41" s="30">
        <v>42851</v>
      </c>
      <c r="H41" s="30">
        <v>42874</v>
      </c>
      <c r="I41" s="30">
        <v>42908</v>
      </c>
      <c r="J41" s="30">
        <v>42931</v>
      </c>
      <c r="K41" s="30">
        <v>42976</v>
      </c>
      <c r="L41" s="30">
        <v>43007</v>
      </c>
      <c r="M41" s="30">
        <v>43037</v>
      </c>
      <c r="N41" s="30">
        <v>43076</v>
      </c>
      <c r="O41" s="30">
        <v>43094</v>
      </c>
      <c r="P41" s="48"/>
      <c r="Q41" s="41"/>
    </row>
    <row r="42" spans="2:20" x14ac:dyDescent="0.25">
      <c r="B42" s="122"/>
      <c r="C42" s="117"/>
      <c r="D42" s="31">
        <v>0</v>
      </c>
      <c r="E42" s="31">
        <v>0</v>
      </c>
      <c r="F42" s="31">
        <v>0</v>
      </c>
      <c r="G42" s="31">
        <v>99.3</v>
      </c>
      <c r="H42" s="31">
        <v>0</v>
      </c>
      <c r="I42" s="31">
        <v>0</v>
      </c>
      <c r="J42" s="31">
        <v>299.91000000000003</v>
      </c>
      <c r="K42" s="31">
        <v>0</v>
      </c>
      <c r="L42" s="31">
        <v>0</v>
      </c>
      <c r="M42" s="31">
        <v>137.84</v>
      </c>
      <c r="N42" s="31">
        <v>0</v>
      </c>
      <c r="O42" s="31">
        <v>0</v>
      </c>
      <c r="P42" s="50">
        <f>SUM(D42:O42)</f>
        <v>537.04999999999995</v>
      </c>
      <c r="Q42" s="40"/>
    </row>
    <row r="43" spans="2:20" ht="15" customHeight="1" x14ac:dyDescent="0.25">
      <c r="B43" s="122"/>
      <c r="C43" s="124" t="s">
        <v>37</v>
      </c>
      <c r="D43" s="30">
        <v>42767</v>
      </c>
      <c r="E43" s="30">
        <v>42793</v>
      </c>
      <c r="F43" s="30">
        <v>42821</v>
      </c>
      <c r="G43" s="30"/>
      <c r="H43" s="30">
        <v>42874</v>
      </c>
      <c r="I43" s="30">
        <v>42908</v>
      </c>
      <c r="J43" s="30">
        <v>42945</v>
      </c>
      <c r="K43" s="30">
        <v>42976</v>
      </c>
      <c r="L43" s="30">
        <v>43007</v>
      </c>
      <c r="M43" s="30">
        <v>43037</v>
      </c>
      <c r="N43" s="30">
        <v>43067</v>
      </c>
      <c r="O43" s="30">
        <v>43094</v>
      </c>
      <c r="P43" s="48"/>
    </row>
    <row r="44" spans="2:20" x14ac:dyDescent="0.25">
      <c r="B44" s="122"/>
      <c r="C44" s="105"/>
      <c r="D44" s="31">
        <f>154.56+597.25</f>
        <v>751.81</v>
      </c>
      <c r="E44" s="31">
        <f>543.81+50.89</f>
        <v>594.70000000000005</v>
      </c>
      <c r="F44" s="31">
        <f>485.47+52.16</f>
        <v>537.63</v>
      </c>
      <c r="G44" s="31">
        <v>0</v>
      </c>
      <c r="H44" s="31">
        <v>0</v>
      </c>
      <c r="I44" s="31">
        <v>0</v>
      </c>
      <c r="J44" s="31">
        <f>368.81</f>
        <v>368.81</v>
      </c>
      <c r="K44" s="31">
        <f>100.94+507.01</f>
        <v>607.95000000000005</v>
      </c>
      <c r="L44" s="31">
        <f>483.06+3.89</f>
        <v>486.95</v>
      </c>
      <c r="M44" s="31">
        <f>98.64+389.36</f>
        <v>488</v>
      </c>
      <c r="N44" s="31">
        <f>544.08+70.01</f>
        <v>614.09</v>
      </c>
      <c r="O44" s="31">
        <f>16.83+364.68</f>
        <v>381.51</v>
      </c>
      <c r="P44" s="50">
        <f>SUM(D44:O44)</f>
        <v>4831.45</v>
      </c>
      <c r="Q44" s="40"/>
    </row>
    <row r="45" spans="2:20" x14ac:dyDescent="0.25">
      <c r="B45" s="122"/>
      <c r="C45" s="104" t="s">
        <v>48</v>
      </c>
      <c r="D45" s="30"/>
      <c r="E45" s="30"/>
      <c r="F45" s="30"/>
      <c r="G45" s="30"/>
      <c r="H45" s="30"/>
      <c r="I45" s="30"/>
      <c r="J45" s="30"/>
      <c r="K45" s="30">
        <v>42976</v>
      </c>
      <c r="L45" s="30">
        <v>43007</v>
      </c>
      <c r="M45" s="30">
        <v>43037</v>
      </c>
      <c r="N45" s="30">
        <v>43076</v>
      </c>
      <c r="O45" s="30">
        <v>43094</v>
      </c>
      <c r="P45" s="48"/>
      <c r="Q45" s="34"/>
    </row>
    <row r="46" spans="2:20" x14ac:dyDescent="0.25">
      <c r="B46" s="122"/>
      <c r="C46" s="105"/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24.88</v>
      </c>
      <c r="L46" s="44">
        <v>123.62</v>
      </c>
      <c r="M46" s="44">
        <v>0</v>
      </c>
      <c r="N46" s="44">
        <v>163.25</v>
      </c>
      <c r="O46" s="44">
        <v>0</v>
      </c>
      <c r="P46" s="52"/>
      <c r="Q46" s="34"/>
    </row>
    <row r="47" spans="2:20" x14ac:dyDescent="0.25">
      <c r="B47" s="122"/>
      <c r="C47" s="104" t="s">
        <v>39</v>
      </c>
      <c r="D47" s="30">
        <v>42767</v>
      </c>
      <c r="E47" s="30">
        <v>42793</v>
      </c>
      <c r="F47" s="30">
        <v>42821</v>
      </c>
      <c r="G47" s="30"/>
      <c r="H47" s="30">
        <v>42874</v>
      </c>
      <c r="I47" s="30">
        <v>42908</v>
      </c>
      <c r="J47" s="30"/>
      <c r="K47" s="30"/>
      <c r="L47" s="30"/>
      <c r="M47" s="30"/>
      <c r="N47" s="30"/>
      <c r="O47" s="30"/>
      <c r="P47" s="48"/>
    </row>
    <row r="48" spans="2:20" x14ac:dyDescent="0.25">
      <c r="B48" s="122"/>
      <c r="C48" s="105"/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50">
        <f>SUM(D48:O48)</f>
        <v>0</v>
      </c>
      <c r="Q48" s="40"/>
    </row>
    <row r="49" spans="2:18" ht="15" customHeight="1" x14ac:dyDescent="0.25">
      <c r="B49" s="123"/>
      <c r="C49" s="37" t="s">
        <v>0</v>
      </c>
      <c r="D49" s="10">
        <f t="shared" ref="D49:P49" si="2">SUM(D26,D28,D30,D32,D34,D36,D38,D40,D42,D44,D48)</f>
        <v>2602.21</v>
      </c>
      <c r="E49" s="10">
        <f t="shared" si="2"/>
        <v>1375.65</v>
      </c>
      <c r="F49" s="10">
        <f t="shared" si="2"/>
        <v>1493.04</v>
      </c>
      <c r="G49" s="10">
        <f t="shared" si="2"/>
        <v>1821.9</v>
      </c>
      <c r="H49" s="10">
        <f t="shared" si="2"/>
        <v>2220.37</v>
      </c>
      <c r="I49" s="10">
        <f t="shared" si="2"/>
        <v>10732.74</v>
      </c>
      <c r="J49" s="10">
        <f t="shared" si="2"/>
        <v>3270.23</v>
      </c>
      <c r="K49" s="10">
        <f t="shared" si="2"/>
        <v>1345.6</v>
      </c>
      <c r="L49" s="10">
        <f t="shared" si="2"/>
        <v>1120.92</v>
      </c>
      <c r="M49" s="10">
        <f t="shared" si="2"/>
        <v>2336.14</v>
      </c>
      <c r="N49" s="10">
        <f t="shared" si="2"/>
        <v>3359.45</v>
      </c>
      <c r="O49" s="10">
        <f t="shared" si="2"/>
        <v>1449.43</v>
      </c>
      <c r="P49" s="10">
        <f t="shared" si="2"/>
        <v>33127.68</v>
      </c>
      <c r="Q49" s="34"/>
    </row>
    <row r="50" spans="2:18" ht="15" customHeight="1" x14ac:dyDescent="0.25">
      <c r="B50" s="111" t="s">
        <v>25</v>
      </c>
      <c r="C50" s="103" t="s">
        <v>16</v>
      </c>
      <c r="D50" s="30"/>
      <c r="E50" s="30"/>
      <c r="F50" s="30">
        <v>42806</v>
      </c>
      <c r="G50" s="30"/>
      <c r="H50" s="30"/>
      <c r="I50" s="30"/>
      <c r="J50" s="30"/>
      <c r="K50" s="30"/>
      <c r="L50" s="30"/>
      <c r="M50" s="30"/>
      <c r="N50" s="30"/>
      <c r="O50" s="30">
        <v>43084</v>
      </c>
      <c r="P50" s="48"/>
    </row>
    <row r="51" spans="2:18" x14ac:dyDescent="0.25">
      <c r="B51" s="112"/>
      <c r="C51" s="103"/>
      <c r="D51" s="31">
        <v>0</v>
      </c>
      <c r="E51" s="31">
        <v>0</v>
      </c>
      <c r="F51" s="31">
        <v>175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400</v>
      </c>
      <c r="P51" s="50">
        <f>SUM(D51:O51)</f>
        <v>575</v>
      </c>
    </row>
    <row r="52" spans="2:18" x14ac:dyDescent="0.25">
      <c r="B52" s="112"/>
      <c r="C52" s="103" t="s">
        <v>45</v>
      </c>
      <c r="D52" s="30">
        <v>42743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8"/>
    </row>
    <row r="53" spans="2:18" x14ac:dyDescent="0.25">
      <c r="B53" s="112"/>
      <c r="C53" s="103"/>
      <c r="D53" s="31">
        <f>1595</f>
        <v>1595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50">
        <f>SUM(D53:O53)</f>
        <v>1595</v>
      </c>
    </row>
    <row r="54" spans="2:18" x14ac:dyDescent="0.25">
      <c r="B54" s="112"/>
      <c r="C54" s="109" t="s">
        <v>42</v>
      </c>
      <c r="D54" s="30"/>
      <c r="E54" s="30"/>
      <c r="F54" s="30"/>
      <c r="G54" s="30"/>
      <c r="H54" s="30"/>
      <c r="I54" s="30"/>
      <c r="J54" s="30">
        <v>42570</v>
      </c>
      <c r="K54" s="30"/>
      <c r="L54" s="30"/>
      <c r="M54" s="30"/>
      <c r="N54" s="30"/>
      <c r="O54" s="30"/>
      <c r="P54" s="48"/>
    </row>
    <row r="55" spans="2:18" x14ac:dyDescent="0.25">
      <c r="B55" s="112"/>
      <c r="C55" s="110"/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121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50">
        <f>SUM(D55:O55)</f>
        <v>121</v>
      </c>
    </row>
    <row r="56" spans="2:18" x14ac:dyDescent="0.25">
      <c r="B56" s="112"/>
      <c r="C56" s="109" t="s">
        <v>46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48"/>
    </row>
    <row r="57" spans="2:18" x14ac:dyDescent="0.25">
      <c r="B57" s="112"/>
      <c r="C57" s="110"/>
      <c r="D57" s="31">
        <v>52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50">
        <f>SUM(D57:O57)</f>
        <v>52</v>
      </c>
    </row>
    <row r="58" spans="2:18" x14ac:dyDescent="0.25">
      <c r="B58" s="112"/>
      <c r="C58" s="109" t="s">
        <v>47</v>
      </c>
      <c r="D58" s="30"/>
      <c r="E58" s="30"/>
      <c r="F58" s="30">
        <v>42821</v>
      </c>
      <c r="G58" s="30">
        <v>42844</v>
      </c>
      <c r="H58" s="30">
        <v>42878</v>
      </c>
      <c r="I58" s="30"/>
      <c r="J58" s="30"/>
      <c r="K58" s="30">
        <v>42945</v>
      </c>
      <c r="L58" s="30"/>
      <c r="M58" s="30"/>
      <c r="N58" s="30">
        <v>43059</v>
      </c>
      <c r="O58" s="30"/>
      <c r="P58" s="48"/>
    </row>
    <row r="59" spans="2:18" x14ac:dyDescent="0.25">
      <c r="B59" s="112"/>
      <c r="C59" s="110"/>
      <c r="D59" s="31">
        <v>0</v>
      </c>
      <c r="E59" s="31">
        <v>0</v>
      </c>
      <c r="F59" s="31">
        <f>2280.5+84.36</f>
        <v>2364.86</v>
      </c>
      <c r="G59" s="31">
        <f>649.46+463.77+136.14+16.15</f>
        <v>1265.52</v>
      </c>
      <c r="H59" s="31">
        <f>1.51</f>
        <v>1.51</v>
      </c>
      <c r="I59" s="31">
        <v>0</v>
      </c>
      <c r="J59" s="31">
        <v>0</v>
      </c>
      <c r="K59" s="31">
        <f>994.8+8.5+5.85</f>
        <v>1009.15</v>
      </c>
      <c r="L59" s="31">
        <v>0</v>
      </c>
      <c r="M59" s="31">
        <v>0</v>
      </c>
      <c r="N59" s="31">
        <v>18</v>
      </c>
      <c r="O59" s="31">
        <v>0</v>
      </c>
      <c r="P59" s="50">
        <f>SUM(D59:O59)</f>
        <v>4659.04</v>
      </c>
    </row>
    <row r="60" spans="2:18" x14ac:dyDescent="0.25">
      <c r="B60" s="112"/>
      <c r="C60" s="109" t="s">
        <v>30</v>
      </c>
      <c r="D60" s="30">
        <v>42738</v>
      </c>
      <c r="E60" s="30">
        <v>42767</v>
      </c>
      <c r="F60" s="30">
        <v>42794</v>
      </c>
      <c r="G60" s="30">
        <v>42824</v>
      </c>
      <c r="H60" s="30">
        <v>42855</v>
      </c>
      <c r="I60" s="30">
        <v>42886</v>
      </c>
      <c r="J60" s="30">
        <v>42916</v>
      </c>
      <c r="K60" s="30">
        <v>42941</v>
      </c>
      <c r="L60" s="30">
        <v>42976</v>
      </c>
      <c r="M60" s="30">
        <v>43007</v>
      </c>
      <c r="N60" s="30">
        <v>43038</v>
      </c>
      <c r="O60" s="30">
        <v>43069</v>
      </c>
      <c r="P60" s="48"/>
    </row>
    <row r="61" spans="2:18" x14ac:dyDescent="0.25">
      <c r="B61" s="112"/>
      <c r="C61" s="110"/>
      <c r="D61" s="31">
        <v>870</v>
      </c>
      <c r="E61" s="31">
        <v>870</v>
      </c>
      <c r="F61" s="31">
        <v>870</v>
      </c>
      <c r="G61" s="31">
        <v>870</v>
      </c>
      <c r="H61" s="31">
        <v>870</v>
      </c>
      <c r="I61" s="31">
        <f>910+100</f>
        <v>1010</v>
      </c>
      <c r="J61" s="31">
        <v>672</v>
      </c>
      <c r="K61" s="31">
        <v>2383</v>
      </c>
      <c r="L61" s="31">
        <f>875*0.9+1000</f>
        <v>1787.5</v>
      </c>
      <c r="M61" s="31">
        <f>910*0.9+1000</f>
        <v>1819</v>
      </c>
      <c r="N61" s="31">
        <v>1819</v>
      </c>
      <c r="O61" s="31">
        <f>875*0.9+1000</f>
        <v>1787.5</v>
      </c>
      <c r="P61" s="50">
        <f>SUM(D61:O61)</f>
        <v>15628</v>
      </c>
    </row>
    <row r="62" spans="2:18" x14ac:dyDescent="0.25">
      <c r="B62" s="112"/>
      <c r="C62" s="109" t="s">
        <v>41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>
        <v>43062</v>
      </c>
      <c r="O62" s="30"/>
      <c r="P62" s="48"/>
    </row>
    <row r="63" spans="2:18" x14ac:dyDescent="0.25">
      <c r="B63" s="112"/>
      <c r="C63" s="110"/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415</v>
      </c>
      <c r="O63" s="31">
        <v>0</v>
      </c>
      <c r="P63" s="50">
        <f>SUM(D63:O63)</f>
        <v>415</v>
      </c>
      <c r="Q63" s="34"/>
      <c r="R63" s="45"/>
    </row>
    <row r="64" spans="2:18" x14ac:dyDescent="0.25">
      <c r="B64" s="113"/>
      <c r="C64" s="38" t="s">
        <v>0</v>
      </c>
      <c r="D64" s="10">
        <f t="shared" ref="D64:P64" si="3">SUM(D51,D53,D55,D57,D59,D61,D63)</f>
        <v>2517</v>
      </c>
      <c r="E64" s="10">
        <f t="shared" si="3"/>
        <v>870</v>
      </c>
      <c r="F64" s="10">
        <f t="shared" si="3"/>
        <v>3409.86</v>
      </c>
      <c r="G64" s="10">
        <f t="shared" si="3"/>
        <v>2135.52</v>
      </c>
      <c r="H64" s="10">
        <f t="shared" si="3"/>
        <v>871.51</v>
      </c>
      <c r="I64" s="10">
        <f t="shared" si="3"/>
        <v>1010</v>
      </c>
      <c r="J64" s="10">
        <f t="shared" si="3"/>
        <v>793</v>
      </c>
      <c r="K64" s="10">
        <f t="shared" si="3"/>
        <v>3392.15</v>
      </c>
      <c r="L64" s="10">
        <f t="shared" si="3"/>
        <v>1787.5</v>
      </c>
      <c r="M64" s="10">
        <f t="shared" si="3"/>
        <v>1819</v>
      </c>
      <c r="N64" s="10">
        <f t="shared" si="3"/>
        <v>2252</v>
      </c>
      <c r="O64" s="10">
        <f t="shared" si="3"/>
        <v>2187.5</v>
      </c>
      <c r="P64" s="10">
        <f t="shared" si="3"/>
        <v>23045.040000000001</v>
      </c>
    </row>
    <row r="65" spans="3:16" x14ac:dyDescent="0.25">
      <c r="C65" s="11" t="s">
        <v>0</v>
      </c>
      <c r="D65" s="12">
        <f t="shared" ref="D65:P65" si="4">SUM(D4,D6,D8,D10,D12,D14,D16,D18,D21,D23,D26,D28,D30,D32,D34,D36,D38,D40,D42,D44,D48,D51,D53,D55,D57,D59,D61,D63)</f>
        <v>7456.92</v>
      </c>
      <c r="E65" s="12">
        <f t="shared" si="4"/>
        <v>4569.95</v>
      </c>
      <c r="F65" s="12">
        <f t="shared" si="4"/>
        <v>7324.47</v>
      </c>
      <c r="G65" s="12">
        <f t="shared" si="4"/>
        <v>6089.03</v>
      </c>
      <c r="H65" s="12">
        <f t="shared" si="4"/>
        <v>5476.69</v>
      </c>
      <c r="I65" s="12">
        <f t="shared" si="4"/>
        <v>14105.01</v>
      </c>
      <c r="J65" s="12">
        <f t="shared" si="4"/>
        <v>6215.52</v>
      </c>
      <c r="K65" s="12">
        <f t="shared" si="4"/>
        <v>6940.33</v>
      </c>
      <c r="L65" s="12">
        <f t="shared" si="4"/>
        <v>5266.73</v>
      </c>
      <c r="M65" s="12">
        <f t="shared" si="4"/>
        <v>6266.66</v>
      </c>
      <c r="N65" s="12">
        <f t="shared" si="4"/>
        <v>7788.98</v>
      </c>
      <c r="O65" s="12">
        <f t="shared" si="4"/>
        <v>5978.37</v>
      </c>
      <c r="P65" s="12">
        <f t="shared" si="4"/>
        <v>83478.66</v>
      </c>
    </row>
    <row r="67" spans="3:16" x14ac:dyDescent="0.25">
      <c r="P67" s="34">
        <f>P65-N23</f>
        <v>83478.66</v>
      </c>
    </row>
  </sheetData>
  <mergeCells count="33">
    <mergeCell ref="B50:B64"/>
    <mergeCell ref="C50:C51"/>
    <mergeCell ref="C52:C53"/>
    <mergeCell ref="C54:C55"/>
    <mergeCell ref="C56:C57"/>
    <mergeCell ref="C58:C59"/>
    <mergeCell ref="C60:C61"/>
    <mergeCell ref="C62:C63"/>
    <mergeCell ref="B20:B24"/>
    <mergeCell ref="C20:C21"/>
    <mergeCell ref="C22:C23"/>
    <mergeCell ref="B25:B49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7:C48"/>
    <mergeCell ref="C45:C46"/>
    <mergeCell ref="B3:B19"/>
    <mergeCell ref="C3:C4"/>
    <mergeCell ref="C5:C6"/>
    <mergeCell ref="C7:C8"/>
    <mergeCell ref="C9:C10"/>
    <mergeCell ref="C11:C12"/>
    <mergeCell ref="C13:C14"/>
    <mergeCell ref="C15:C16"/>
    <mergeCell ref="C17:C1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69"/>
  <sheetViews>
    <sheetView topLeftCell="A35" zoomScale="85" zoomScaleNormal="85" workbookViewId="0">
      <pane xSplit="3" topLeftCell="D1" activePane="topRight" state="frozen"/>
      <selection activeCell="A40" sqref="A40"/>
      <selection pane="topRight" activeCell="I63" sqref="I63"/>
    </sheetView>
  </sheetViews>
  <sheetFormatPr defaultRowHeight="15" x14ac:dyDescent="0.25"/>
  <cols>
    <col min="3" max="3" width="15" bestFit="1" customWidth="1"/>
    <col min="4" max="4" width="9.85546875" bestFit="1" customWidth="1"/>
    <col min="5" max="5" width="10.28515625" bestFit="1" customWidth="1"/>
    <col min="6" max="7" width="10.140625" bestFit="1" customWidth="1"/>
    <col min="8" max="8" width="10.85546875" bestFit="1" customWidth="1"/>
    <col min="9" max="9" width="10.140625" bestFit="1" customWidth="1"/>
    <col min="10" max="10" width="9.7109375" bestFit="1" customWidth="1"/>
    <col min="11" max="11" width="10.28515625" bestFit="1" customWidth="1"/>
    <col min="12" max="12" width="9.7109375" bestFit="1" customWidth="1"/>
    <col min="13" max="14" width="10.7109375" bestFit="1" customWidth="1"/>
    <col min="15" max="16" width="10.85546875" bestFit="1" customWidth="1"/>
    <col min="17" max="17" width="10.140625" bestFit="1" customWidth="1"/>
  </cols>
  <sheetData>
    <row r="2" spans="2:21" x14ac:dyDescent="0.25">
      <c r="C2" s="1"/>
      <c r="D2" s="13">
        <v>43101</v>
      </c>
      <c r="E2" s="13">
        <v>43132</v>
      </c>
      <c r="F2" s="13">
        <v>43160</v>
      </c>
      <c r="G2" s="13">
        <v>43191</v>
      </c>
      <c r="H2" s="13">
        <v>43221</v>
      </c>
      <c r="I2" s="13">
        <v>43252</v>
      </c>
      <c r="J2" s="13">
        <v>43282</v>
      </c>
      <c r="K2" s="13">
        <v>43313</v>
      </c>
      <c r="L2" s="13">
        <v>43344</v>
      </c>
      <c r="M2" s="13">
        <v>43374</v>
      </c>
      <c r="N2" s="13">
        <v>43405</v>
      </c>
      <c r="O2" s="13">
        <v>43435</v>
      </c>
      <c r="P2" s="13" t="s">
        <v>0</v>
      </c>
    </row>
    <row r="3" spans="2:21" ht="15" customHeight="1" x14ac:dyDescent="0.25">
      <c r="B3" s="125" t="s">
        <v>26</v>
      </c>
      <c r="C3" s="106" t="s">
        <v>1</v>
      </c>
      <c r="D3" s="30">
        <v>43116</v>
      </c>
      <c r="E3" s="30">
        <v>43144</v>
      </c>
      <c r="F3" s="30">
        <v>43173</v>
      </c>
      <c r="G3" s="33">
        <v>43196</v>
      </c>
      <c r="H3" s="33">
        <v>43234</v>
      </c>
      <c r="I3" s="33">
        <v>43264</v>
      </c>
      <c r="J3" s="33">
        <v>43307</v>
      </c>
      <c r="K3" s="33">
        <v>43327</v>
      </c>
      <c r="L3" s="33">
        <v>43356</v>
      </c>
      <c r="M3" s="30">
        <v>43368</v>
      </c>
      <c r="N3" s="33">
        <v>43396</v>
      </c>
      <c r="O3" s="33">
        <v>43463</v>
      </c>
      <c r="P3" s="33">
        <v>43463</v>
      </c>
    </row>
    <row r="4" spans="2:21" x14ac:dyDescent="0.25">
      <c r="B4" s="126"/>
      <c r="C4" s="106"/>
      <c r="D4" s="31">
        <v>180.82</v>
      </c>
      <c r="E4" s="31">
        <v>136.56</v>
      </c>
      <c r="F4" s="31">
        <v>121.16</v>
      </c>
      <c r="G4" s="31">
        <v>106.62</v>
      </c>
      <c r="H4" s="31">
        <v>62.67</v>
      </c>
      <c r="I4" s="31">
        <v>29.27</v>
      </c>
      <c r="J4" s="31">
        <v>29.96</v>
      </c>
      <c r="K4" s="31">
        <v>29.96</v>
      </c>
      <c r="L4" s="31">
        <v>20.86</v>
      </c>
      <c r="M4" s="31">
        <v>22.65</v>
      </c>
      <c r="N4" s="31">
        <v>32.090000000000003</v>
      </c>
      <c r="O4" s="31">
        <f>87.22+108.88</f>
        <v>196.1</v>
      </c>
      <c r="P4" s="31">
        <f>SUM(D4:O4)</f>
        <v>968.72</v>
      </c>
    </row>
    <row r="5" spans="2:21" x14ac:dyDescent="0.25">
      <c r="B5" s="126"/>
      <c r="C5" s="106" t="s">
        <v>10</v>
      </c>
      <c r="D5" s="30">
        <v>43124</v>
      </c>
      <c r="E5" s="30">
        <v>43153</v>
      </c>
      <c r="F5" s="30">
        <v>43193</v>
      </c>
      <c r="G5" s="30">
        <v>43206</v>
      </c>
      <c r="H5" s="30">
        <v>43243</v>
      </c>
      <c r="I5" s="30">
        <v>43270</v>
      </c>
      <c r="J5" s="30">
        <v>43306</v>
      </c>
      <c r="K5" s="30">
        <v>43315</v>
      </c>
      <c r="L5" s="30">
        <v>43369</v>
      </c>
      <c r="M5" s="30">
        <v>43376</v>
      </c>
      <c r="N5" s="30">
        <v>43411</v>
      </c>
      <c r="O5" s="30">
        <v>43460</v>
      </c>
      <c r="P5" s="33">
        <v>43463</v>
      </c>
    </row>
    <row r="6" spans="2:21" x14ac:dyDescent="0.25">
      <c r="B6" s="126"/>
      <c r="C6" s="106"/>
      <c r="D6" s="31">
        <v>87.52</v>
      </c>
      <c r="E6" s="31">
        <v>101.09</v>
      </c>
      <c r="F6" s="31">
        <v>85.96</v>
      </c>
      <c r="G6" s="31">
        <v>58.55</v>
      </c>
      <c r="H6" s="31">
        <v>57.78</v>
      </c>
      <c r="I6" s="31">
        <v>22.21</v>
      </c>
      <c r="J6" s="31">
        <v>17.11</v>
      </c>
      <c r="K6" s="31">
        <v>16.52</v>
      </c>
      <c r="L6" s="31">
        <v>16.52</v>
      </c>
      <c r="M6" s="31">
        <v>16.309999999999999</v>
      </c>
      <c r="N6" s="31">
        <v>22</v>
      </c>
      <c r="O6" s="31">
        <v>63.17</v>
      </c>
      <c r="P6" s="31">
        <f>SUM(D6:O6)</f>
        <v>564.74</v>
      </c>
    </row>
    <row r="7" spans="2:21" x14ac:dyDescent="0.25">
      <c r="B7" s="126"/>
      <c r="C7" s="106" t="s">
        <v>2</v>
      </c>
      <c r="D7" s="35">
        <v>43126</v>
      </c>
      <c r="E7" s="30">
        <v>43160</v>
      </c>
      <c r="F7" s="30">
        <v>43184</v>
      </c>
      <c r="G7" s="30">
        <v>43230</v>
      </c>
      <c r="H7" s="30">
        <v>43264</v>
      </c>
      <c r="I7" s="30">
        <v>43289</v>
      </c>
      <c r="J7" s="30">
        <v>43290</v>
      </c>
      <c r="K7" s="30">
        <v>43315</v>
      </c>
      <c r="L7" s="30">
        <v>43355</v>
      </c>
      <c r="M7" s="30">
        <v>43376</v>
      </c>
      <c r="N7" s="30">
        <v>43411</v>
      </c>
      <c r="O7" s="30">
        <v>43463</v>
      </c>
      <c r="P7" s="33">
        <v>43463</v>
      </c>
    </row>
    <row r="8" spans="2:21" x14ac:dyDescent="0.25">
      <c r="B8" s="126"/>
      <c r="C8" s="106"/>
      <c r="D8" s="36">
        <v>111.52</v>
      </c>
      <c r="E8" s="31">
        <v>80.59</v>
      </c>
      <c r="F8" s="31">
        <v>72.45</v>
      </c>
      <c r="G8" s="31">
        <v>69.260000000000005</v>
      </c>
      <c r="H8" s="31">
        <v>55.29</v>
      </c>
      <c r="I8" s="31">
        <v>97.33</v>
      </c>
      <c r="J8" s="31">
        <v>97.33</v>
      </c>
      <c r="K8" s="31">
        <v>125.49</v>
      </c>
      <c r="L8" s="31">
        <v>90.58</v>
      </c>
      <c r="M8" s="31">
        <v>78.31</v>
      </c>
      <c r="N8" s="31">
        <v>53.56</v>
      </c>
      <c r="O8" s="31">
        <f>68.94+68.09</f>
        <v>137.03</v>
      </c>
      <c r="P8" s="31">
        <f>SUM(D8:O8)</f>
        <v>1068.74</v>
      </c>
    </row>
    <row r="9" spans="2:21" x14ac:dyDescent="0.25">
      <c r="B9" s="126"/>
      <c r="C9" s="106" t="s">
        <v>11</v>
      </c>
      <c r="D9" s="30">
        <v>43125</v>
      </c>
      <c r="E9" s="30">
        <v>43154</v>
      </c>
      <c r="F9" s="30">
        <v>43185</v>
      </c>
      <c r="G9" s="30">
        <v>43230</v>
      </c>
      <c r="H9" s="30">
        <v>43230</v>
      </c>
      <c r="I9" s="30">
        <v>43270</v>
      </c>
      <c r="J9" s="30">
        <v>43307</v>
      </c>
      <c r="K9" s="30">
        <v>43315</v>
      </c>
      <c r="L9" s="30">
        <v>43364</v>
      </c>
      <c r="M9" s="30">
        <v>43376</v>
      </c>
      <c r="N9" s="30">
        <v>43441</v>
      </c>
      <c r="O9" s="30">
        <v>43436</v>
      </c>
      <c r="P9" s="33">
        <v>43463</v>
      </c>
    </row>
    <row r="10" spans="2:21" x14ac:dyDescent="0.25">
      <c r="B10" s="126"/>
      <c r="C10" s="106"/>
      <c r="D10" s="31">
        <v>41.72</v>
      </c>
      <c r="E10" s="31">
        <v>48.78</v>
      </c>
      <c r="F10" s="31">
        <v>40.520000000000003</v>
      </c>
      <c r="G10" s="31">
        <v>34.47</v>
      </c>
      <c r="H10" s="31">
        <v>35.19</v>
      </c>
      <c r="I10" s="31">
        <v>34.24</v>
      </c>
      <c r="J10" s="31">
        <v>35.42</v>
      </c>
      <c r="K10" s="31">
        <v>51.34</v>
      </c>
      <c r="L10" s="31">
        <v>44.44</v>
      </c>
      <c r="M10" s="31">
        <v>36.49</v>
      </c>
      <c r="N10" s="31">
        <v>0</v>
      </c>
      <c r="O10" s="31">
        <v>66.75</v>
      </c>
      <c r="P10" s="31">
        <f>SUM(D10:O10)</f>
        <v>469.36</v>
      </c>
    </row>
    <row r="11" spans="2:21" x14ac:dyDescent="0.25">
      <c r="B11" s="126"/>
      <c r="C11" s="106" t="s">
        <v>7</v>
      </c>
      <c r="D11" s="30"/>
      <c r="E11" s="30"/>
      <c r="F11" s="30">
        <v>43175</v>
      </c>
      <c r="G11" s="30"/>
      <c r="H11" s="30"/>
      <c r="I11" s="30">
        <v>43258</v>
      </c>
      <c r="J11" s="30"/>
      <c r="K11" s="30"/>
      <c r="L11" s="30">
        <v>43374</v>
      </c>
      <c r="M11" s="30"/>
      <c r="N11" s="30"/>
      <c r="O11" s="30">
        <v>43463</v>
      </c>
      <c r="P11" s="33">
        <v>43463</v>
      </c>
    </row>
    <row r="12" spans="2:21" x14ac:dyDescent="0.25">
      <c r="B12" s="126"/>
      <c r="C12" s="106"/>
      <c r="D12" s="31">
        <v>0</v>
      </c>
      <c r="E12" s="31">
        <v>0</v>
      </c>
      <c r="F12" s="31">
        <v>182.73</v>
      </c>
      <c r="G12" s="31">
        <v>0</v>
      </c>
      <c r="H12" s="31">
        <v>0</v>
      </c>
      <c r="I12" s="31">
        <v>152.97</v>
      </c>
      <c r="J12" s="31">
        <v>0</v>
      </c>
      <c r="K12" s="31">
        <v>0</v>
      </c>
      <c r="L12" s="31">
        <v>232.9</v>
      </c>
      <c r="M12" s="31">
        <v>0</v>
      </c>
      <c r="N12" s="31">
        <v>0</v>
      </c>
      <c r="O12" s="31">
        <v>196.54</v>
      </c>
      <c r="P12" s="31">
        <f>SUM(D12:O12)</f>
        <v>765.14</v>
      </c>
    </row>
    <row r="13" spans="2:21" x14ac:dyDescent="0.25">
      <c r="B13" s="126"/>
      <c r="C13" s="106" t="s">
        <v>8</v>
      </c>
      <c r="D13" s="30"/>
      <c r="E13" s="30"/>
      <c r="F13" s="30"/>
      <c r="G13" s="30"/>
      <c r="H13" s="30">
        <v>43245</v>
      </c>
      <c r="I13" s="32"/>
      <c r="J13" s="30"/>
      <c r="K13" s="30"/>
      <c r="L13" s="30"/>
      <c r="M13" s="30"/>
      <c r="N13" s="30"/>
      <c r="O13" s="30"/>
      <c r="P13" s="33">
        <v>43463</v>
      </c>
    </row>
    <row r="14" spans="2:21" x14ac:dyDescent="0.25">
      <c r="B14" s="126"/>
      <c r="C14" s="106"/>
      <c r="D14" s="31">
        <v>0</v>
      </c>
      <c r="E14" s="31">
        <v>0</v>
      </c>
      <c r="F14" s="31"/>
      <c r="G14" s="31">
        <v>0</v>
      </c>
      <c r="H14" s="31">
        <v>181.5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f>SUM(D14:O14)</f>
        <v>181.5</v>
      </c>
      <c r="U14" s="47"/>
    </row>
    <row r="15" spans="2:21" x14ac:dyDescent="0.25">
      <c r="B15" s="126"/>
      <c r="C15" s="106" t="s">
        <v>3</v>
      </c>
      <c r="D15" s="30">
        <v>43120</v>
      </c>
      <c r="E15" s="30">
        <v>43151</v>
      </c>
      <c r="F15" s="30">
        <v>43179</v>
      </c>
      <c r="G15" s="30">
        <v>43210</v>
      </c>
      <c r="H15" s="30">
        <v>43240</v>
      </c>
      <c r="I15" s="30">
        <v>43271</v>
      </c>
      <c r="J15" s="30">
        <v>43301</v>
      </c>
      <c r="K15" s="30">
        <v>43332</v>
      </c>
      <c r="L15" s="30">
        <v>43363</v>
      </c>
      <c r="M15" s="30">
        <v>43393</v>
      </c>
      <c r="N15" s="30">
        <v>43424</v>
      </c>
      <c r="O15" s="30">
        <v>43454</v>
      </c>
      <c r="P15" s="33">
        <v>43463</v>
      </c>
      <c r="U15" s="47"/>
    </row>
    <row r="16" spans="2:21" x14ac:dyDescent="0.25">
      <c r="B16" s="126"/>
      <c r="C16" s="106"/>
      <c r="D16" s="31">
        <v>35</v>
      </c>
      <c r="E16" s="31">
        <v>35</v>
      </c>
      <c r="F16" s="31">
        <v>35</v>
      </c>
      <c r="G16" s="31">
        <v>35</v>
      </c>
      <c r="H16" s="31">
        <v>35</v>
      </c>
      <c r="I16" s="31">
        <v>35</v>
      </c>
      <c r="J16" s="31">
        <v>35</v>
      </c>
      <c r="K16" s="31">
        <v>35</v>
      </c>
      <c r="L16" s="31">
        <v>35</v>
      </c>
      <c r="M16" s="31">
        <v>35</v>
      </c>
      <c r="N16" s="31">
        <v>35</v>
      </c>
      <c r="O16" s="31">
        <v>45</v>
      </c>
      <c r="P16" s="31">
        <f>SUM(D16:O16)</f>
        <v>430</v>
      </c>
      <c r="U16" s="47"/>
    </row>
    <row r="17" spans="2:21" x14ac:dyDescent="0.25">
      <c r="B17" s="126"/>
      <c r="C17" s="106" t="s">
        <v>5</v>
      </c>
      <c r="D17" s="30">
        <v>43109</v>
      </c>
      <c r="E17" s="30">
        <v>43140</v>
      </c>
      <c r="F17" s="30">
        <v>43167</v>
      </c>
      <c r="G17" s="30">
        <v>43184</v>
      </c>
      <c r="H17" s="30">
        <v>43230</v>
      </c>
      <c r="I17" s="30">
        <v>43259</v>
      </c>
      <c r="J17" s="30">
        <v>43290</v>
      </c>
      <c r="K17" s="30">
        <v>43320</v>
      </c>
      <c r="L17" s="30">
        <v>43354</v>
      </c>
      <c r="M17" s="30">
        <v>43376</v>
      </c>
      <c r="N17" s="30">
        <v>43412</v>
      </c>
      <c r="O17" s="30">
        <v>43442</v>
      </c>
      <c r="P17" s="33">
        <v>43463</v>
      </c>
      <c r="U17" s="47"/>
    </row>
    <row r="18" spans="2:21" x14ac:dyDescent="0.25">
      <c r="B18" s="126"/>
      <c r="C18" s="106"/>
      <c r="D18" s="31">
        <v>51.53</v>
      </c>
      <c r="E18" s="31">
        <v>52.2</v>
      </c>
      <c r="F18" s="31">
        <v>52.2</v>
      </c>
      <c r="G18" s="31">
        <v>52.2</v>
      </c>
      <c r="H18" s="31">
        <v>87.98</v>
      </c>
      <c r="I18" s="31">
        <v>62.76</v>
      </c>
      <c r="J18" s="31">
        <v>44.99</v>
      </c>
      <c r="K18" s="31">
        <v>47.64</v>
      </c>
      <c r="L18" s="31">
        <v>47.64</v>
      </c>
      <c r="M18" s="31">
        <v>47.64</v>
      </c>
      <c r="N18" s="31">
        <v>47.64</v>
      </c>
      <c r="O18" s="31">
        <f>47.64*2</f>
        <v>95.28</v>
      </c>
      <c r="P18" s="31">
        <f>SUM(D18:O18)</f>
        <v>689.7</v>
      </c>
      <c r="U18" s="47"/>
    </row>
    <row r="19" spans="2:21" ht="15" customHeight="1" x14ac:dyDescent="0.25">
      <c r="B19" s="127"/>
      <c r="C19" s="42" t="s">
        <v>0</v>
      </c>
      <c r="D19" s="10">
        <f t="shared" ref="D19:P19" si="0">SUM(D4,D6,D8,D10,D12,D14,D16,D18)</f>
        <v>508.11</v>
      </c>
      <c r="E19" s="10">
        <f t="shared" si="0"/>
        <v>454.22</v>
      </c>
      <c r="F19" s="10">
        <f t="shared" si="0"/>
        <v>590.02</v>
      </c>
      <c r="G19" s="10">
        <f t="shared" si="0"/>
        <v>356.1</v>
      </c>
      <c r="H19" s="10">
        <f t="shared" si="0"/>
        <v>515.41</v>
      </c>
      <c r="I19" s="10">
        <f t="shared" si="0"/>
        <v>433.78</v>
      </c>
      <c r="J19" s="10">
        <f t="shared" si="0"/>
        <v>259.81</v>
      </c>
      <c r="K19" s="10">
        <f t="shared" si="0"/>
        <v>305.95</v>
      </c>
      <c r="L19" s="10">
        <f t="shared" si="0"/>
        <v>487.94</v>
      </c>
      <c r="M19" s="10">
        <f t="shared" si="0"/>
        <v>236.4</v>
      </c>
      <c r="N19" s="10">
        <f t="shared" si="0"/>
        <v>190.29</v>
      </c>
      <c r="O19" s="10">
        <f t="shared" si="0"/>
        <v>799.87</v>
      </c>
      <c r="P19" s="10">
        <f t="shared" si="0"/>
        <v>5137.8999999999996</v>
      </c>
      <c r="U19" s="47"/>
    </row>
    <row r="20" spans="2:21" x14ac:dyDescent="0.25">
      <c r="B20" s="118" t="s">
        <v>27</v>
      </c>
      <c r="C20" s="107" t="s">
        <v>4</v>
      </c>
      <c r="D20" s="30">
        <v>43101</v>
      </c>
      <c r="E20" s="30">
        <v>43132</v>
      </c>
      <c r="F20" s="30">
        <v>43160</v>
      </c>
      <c r="G20" s="30">
        <v>43191</v>
      </c>
      <c r="H20" s="30">
        <v>43221</v>
      </c>
      <c r="I20" s="30">
        <v>43252</v>
      </c>
      <c r="J20" s="30">
        <v>43282</v>
      </c>
      <c r="K20" s="30">
        <v>43313</v>
      </c>
      <c r="L20" s="30">
        <v>43344</v>
      </c>
      <c r="M20" s="30">
        <v>43374</v>
      </c>
      <c r="N20" s="30">
        <v>43405</v>
      </c>
      <c r="O20" s="30">
        <v>43435</v>
      </c>
      <c r="P20" s="33">
        <v>43463</v>
      </c>
      <c r="U20" s="47"/>
    </row>
    <row r="21" spans="2:21" x14ac:dyDescent="0.25">
      <c r="B21" s="119"/>
      <c r="C21" s="108"/>
      <c r="D21" s="31">
        <v>1883.66</v>
      </c>
      <c r="E21" s="31">
        <v>1883.66</v>
      </c>
      <c r="F21" s="31">
        <v>1888.38</v>
      </c>
      <c r="G21" s="31">
        <v>1888.38</v>
      </c>
      <c r="H21" s="31">
        <v>1888.38</v>
      </c>
      <c r="I21" s="31">
        <v>1888.38</v>
      </c>
      <c r="J21" s="31">
        <v>1888.38</v>
      </c>
      <c r="K21" s="31">
        <v>1888.38</v>
      </c>
      <c r="L21" s="31">
        <v>1888.38</v>
      </c>
      <c r="M21" s="31">
        <v>1888.38</v>
      </c>
      <c r="N21" s="31">
        <v>1888.38</v>
      </c>
      <c r="O21" s="31">
        <v>1888.38</v>
      </c>
      <c r="P21" s="31">
        <f>SUM(D21:O21)</f>
        <v>22651.119999999999</v>
      </c>
      <c r="U21" s="47"/>
    </row>
    <row r="22" spans="2:21" x14ac:dyDescent="0.25">
      <c r="B22" s="119"/>
      <c r="C22" s="107" t="s">
        <v>14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U22" s="46"/>
    </row>
    <row r="23" spans="2:21" ht="15" customHeight="1" x14ac:dyDescent="0.25">
      <c r="B23" s="119"/>
      <c r="C23" s="108"/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f>SUM(D23:O23)</f>
        <v>0</v>
      </c>
      <c r="Q23" s="40"/>
    </row>
    <row r="24" spans="2:21" ht="15" customHeight="1" x14ac:dyDescent="0.25">
      <c r="B24" s="120"/>
      <c r="C24" s="39" t="s">
        <v>0</v>
      </c>
      <c r="D24" s="10">
        <f t="shared" ref="D24:P24" si="1">SUM(D21,D23)</f>
        <v>1883.66</v>
      </c>
      <c r="E24" s="10">
        <f t="shared" si="1"/>
        <v>1883.66</v>
      </c>
      <c r="F24" s="10">
        <f t="shared" si="1"/>
        <v>1888.38</v>
      </c>
      <c r="G24" s="10">
        <f t="shared" si="1"/>
        <v>1888.38</v>
      </c>
      <c r="H24" s="10">
        <f t="shared" si="1"/>
        <v>1888.38</v>
      </c>
      <c r="I24" s="10">
        <f t="shared" si="1"/>
        <v>1888.38</v>
      </c>
      <c r="J24" s="10">
        <f t="shared" si="1"/>
        <v>1888.38</v>
      </c>
      <c r="K24" s="10">
        <f t="shared" si="1"/>
        <v>1888.38</v>
      </c>
      <c r="L24" s="10">
        <f t="shared" si="1"/>
        <v>1888.38</v>
      </c>
      <c r="M24" s="10">
        <f t="shared" si="1"/>
        <v>1888.38</v>
      </c>
      <c r="N24" s="10">
        <f t="shared" si="1"/>
        <v>1888.38</v>
      </c>
      <c r="O24" s="10">
        <f t="shared" si="1"/>
        <v>1888.38</v>
      </c>
      <c r="P24" s="10">
        <f t="shared" si="1"/>
        <v>22651.119999999999</v>
      </c>
      <c r="Q24" s="41"/>
    </row>
    <row r="25" spans="2:21" x14ac:dyDescent="0.25">
      <c r="B25" s="121" t="s">
        <v>24</v>
      </c>
      <c r="C25" s="104" t="s">
        <v>32</v>
      </c>
      <c r="D25" s="30">
        <v>43126</v>
      </c>
      <c r="E25" s="30">
        <v>43159</v>
      </c>
      <c r="F25" s="30">
        <v>43184</v>
      </c>
      <c r="G25" s="30">
        <v>43230</v>
      </c>
      <c r="H25" s="30">
        <v>43262</v>
      </c>
      <c r="I25" s="30">
        <v>43289</v>
      </c>
      <c r="J25" s="30">
        <v>43315</v>
      </c>
      <c r="K25" s="30">
        <v>43347</v>
      </c>
      <c r="L25" s="30">
        <v>43376</v>
      </c>
      <c r="M25" s="30">
        <v>43411</v>
      </c>
      <c r="N25" s="30">
        <v>43436</v>
      </c>
      <c r="O25" s="30">
        <v>43463</v>
      </c>
      <c r="P25" s="33">
        <v>43463</v>
      </c>
      <c r="Q25" s="41"/>
      <c r="S25" s="34"/>
    </row>
    <row r="26" spans="2:21" x14ac:dyDescent="0.25">
      <c r="B26" s="122"/>
      <c r="C26" s="105"/>
      <c r="D26" s="31">
        <v>37.06</v>
      </c>
      <c r="E26" s="31">
        <v>30.84</v>
      </c>
      <c r="F26" s="31">
        <v>24.53</v>
      </c>
      <c r="G26" s="31">
        <v>277.23</v>
      </c>
      <c r="H26" s="31">
        <v>330.38</v>
      </c>
      <c r="I26" s="31">
        <v>396.59</v>
      </c>
      <c r="J26" s="31">
        <v>0</v>
      </c>
      <c r="K26" s="31">
        <v>43.01</v>
      </c>
      <c r="L26" s="44">
        <v>0</v>
      </c>
      <c r="M26" s="31">
        <v>0</v>
      </c>
      <c r="N26" s="31">
        <v>182.14</v>
      </c>
      <c r="O26" s="31">
        <v>143.83000000000001</v>
      </c>
      <c r="P26" s="31">
        <f>SUM(D26:O26)</f>
        <v>1465.61</v>
      </c>
      <c r="Q26" s="40"/>
    </row>
    <row r="27" spans="2:21" x14ac:dyDescent="0.25">
      <c r="B27" s="122"/>
      <c r="C27" s="104" t="s">
        <v>33</v>
      </c>
      <c r="D27" s="30">
        <v>43126</v>
      </c>
      <c r="E27" s="30">
        <v>43158</v>
      </c>
      <c r="F27" s="30">
        <v>43184</v>
      </c>
      <c r="G27" s="30">
        <v>43230</v>
      </c>
      <c r="H27" s="30"/>
      <c r="I27" s="30">
        <v>43273</v>
      </c>
      <c r="J27" s="30">
        <v>43315</v>
      </c>
      <c r="K27" s="30">
        <v>43347</v>
      </c>
      <c r="L27" s="30">
        <v>43376</v>
      </c>
      <c r="M27" s="30">
        <v>43411</v>
      </c>
      <c r="N27" s="30">
        <v>43436</v>
      </c>
      <c r="O27" s="30">
        <v>43463</v>
      </c>
      <c r="P27" s="33">
        <v>43463</v>
      </c>
      <c r="Q27" s="41"/>
      <c r="R27" s="34"/>
    </row>
    <row r="28" spans="2:21" x14ac:dyDescent="0.25">
      <c r="B28" s="122"/>
      <c r="C28" s="105"/>
      <c r="D28" s="31">
        <v>0</v>
      </c>
      <c r="E28" s="31">
        <v>31.77</v>
      </c>
      <c r="F28" s="31">
        <v>10.43</v>
      </c>
      <c r="G28" s="31">
        <v>0</v>
      </c>
      <c r="H28" s="31">
        <v>0</v>
      </c>
      <c r="I28" s="31">
        <v>0</v>
      </c>
      <c r="J28" s="31">
        <v>75.31</v>
      </c>
      <c r="K28" s="31">
        <f>162.62+31.13</f>
        <v>193.75</v>
      </c>
      <c r="L28" s="31">
        <v>249.2</v>
      </c>
      <c r="M28" s="31">
        <v>0</v>
      </c>
      <c r="N28" s="31">
        <v>103.43</v>
      </c>
      <c r="O28" s="31">
        <v>67.400000000000006</v>
      </c>
      <c r="P28" s="31">
        <f>SUM(D28:O28)</f>
        <v>731.29</v>
      </c>
      <c r="Q28" s="40"/>
    </row>
    <row r="29" spans="2:21" x14ac:dyDescent="0.25">
      <c r="B29" s="122"/>
      <c r="C29" s="104" t="s">
        <v>34</v>
      </c>
      <c r="D29" s="30">
        <v>43126</v>
      </c>
      <c r="E29" s="30"/>
      <c r="F29" s="30"/>
      <c r="G29" s="30">
        <v>43230</v>
      </c>
      <c r="H29" s="30"/>
      <c r="I29" s="30"/>
      <c r="J29" s="30">
        <v>43315</v>
      </c>
      <c r="K29" s="30">
        <v>43347</v>
      </c>
      <c r="L29" s="30">
        <v>43353</v>
      </c>
      <c r="M29" s="30">
        <v>43411</v>
      </c>
      <c r="N29" s="30">
        <v>43436</v>
      </c>
      <c r="O29" s="30">
        <v>43463</v>
      </c>
      <c r="P29" s="33">
        <v>43463</v>
      </c>
      <c r="Q29" s="41"/>
    </row>
    <row r="30" spans="2:21" x14ac:dyDescent="0.25">
      <c r="B30" s="122"/>
      <c r="C30" s="105"/>
      <c r="D30" s="31">
        <v>20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12.99</v>
      </c>
      <c r="K30" s="31">
        <v>0</v>
      </c>
      <c r="L30" s="31">
        <v>29.03</v>
      </c>
      <c r="M30" s="31">
        <v>49.27</v>
      </c>
      <c r="N30" s="31">
        <v>226.56</v>
      </c>
      <c r="O30" s="31">
        <v>0</v>
      </c>
      <c r="P30" s="31">
        <f>SUM(D30:O30)</f>
        <v>337.85</v>
      </c>
      <c r="Q30" s="40"/>
      <c r="T30" s="34"/>
    </row>
    <row r="31" spans="2:21" ht="15" customHeight="1" x14ac:dyDescent="0.25">
      <c r="B31" s="122"/>
      <c r="C31" s="104" t="s">
        <v>38</v>
      </c>
      <c r="D31" s="30">
        <v>43126</v>
      </c>
      <c r="E31" s="30"/>
      <c r="F31" s="30"/>
      <c r="G31" s="30"/>
      <c r="H31" s="30"/>
      <c r="I31" s="30"/>
      <c r="J31" s="30"/>
      <c r="K31" s="30">
        <v>43347</v>
      </c>
      <c r="L31" s="30"/>
      <c r="M31" s="30"/>
      <c r="N31" s="30"/>
      <c r="O31" s="30"/>
      <c r="P31" s="33">
        <v>43463</v>
      </c>
      <c r="Q31" s="41"/>
      <c r="T31" s="34"/>
    </row>
    <row r="32" spans="2:21" x14ac:dyDescent="0.25">
      <c r="B32" s="122"/>
      <c r="C32" s="105"/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f>SUM(D32:O32)</f>
        <v>0</v>
      </c>
      <c r="Q32" s="40"/>
      <c r="T32" s="34"/>
    </row>
    <row r="33" spans="2:20" ht="15" customHeight="1" x14ac:dyDescent="0.25">
      <c r="B33" s="122"/>
      <c r="C33" s="104" t="s">
        <v>43</v>
      </c>
      <c r="D33" s="30">
        <v>43126</v>
      </c>
      <c r="E33" s="30">
        <v>43159</v>
      </c>
      <c r="F33" s="30">
        <v>43184</v>
      </c>
      <c r="G33" s="30">
        <v>43230</v>
      </c>
      <c r="H33" s="30">
        <v>43262</v>
      </c>
      <c r="I33" s="30">
        <v>43289</v>
      </c>
      <c r="J33" s="30">
        <v>43315</v>
      </c>
      <c r="K33" s="30">
        <v>43347</v>
      </c>
      <c r="L33" s="30">
        <v>43376</v>
      </c>
      <c r="M33" s="30">
        <v>43411</v>
      </c>
      <c r="N33" s="30">
        <v>43436</v>
      </c>
      <c r="O33" s="30">
        <v>43463</v>
      </c>
      <c r="P33" s="33">
        <v>43463</v>
      </c>
      <c r="Q33" s="41"/>
      <c r="T33" s="34"/>
    </row>
    <row r="34" spans="2:20" x14ac:dyDescent="0.25">
      <c r="B34" s="122"/>
      <c r="C34" s="105"/>
      <c r="D34" s="44">
        <v>75.290000000000006</v>
      </c>
      <c r="E34" s="44">
        <v>167</v>
      </c>
      <c r="F34" s="44">
        <v>896.62</v>
      </c>
      <c r="G34" s="44">
        <v>467.87</v>
      </c>
      <c r="H34" s="44">
        <v>239.42</v>
      </c>
      <c r="I34" s="44">
        <v>1255.8399999999999</v>
      </c>
      <c r="J34" s="44">
        <v>4026.59</v>
      </c>
      <c r="K34" s="44">
        <v>149.66999999999999</v>
      </c>
      <c r="L34" s="31">
        <v>177.46</v>
      </c>
      <c r="M34" s="44">
        <v>498.93</v>
      </c>
      <c r="N34" s="44">
        <v>163.03</v>
      </c>
      <c r="O34" s="44">
        <v>999.45</v>
      </c>
      <c r="P34" s="44">
        <f>SUM(D34:O34)</f>
        <v>9117.17</v>
      </c>
      <c r="Q34" s="40"/>
      <c r="T34" s="34"/>
    </row>
    <row r="35" spans="2:20" x14ac:dyDescent="0.25">
      <c r="B35" s="122"/>
      <c r="C35" s="104" t="s">
        <v>44</v>
      </c>
      <c r="D35" s="30">
        <v>43126</v>
      </c>
      <c r="E35" s="30">
        <v>43158</v>
      </c>
      <c r="F35" s="30">
        <v>43183</v>
      </c>
      <c r="G35" s="30">
        <v>43209</v>
      </c>
      <c r="H35" s="30">
        <v>43263</v>
      </c>
      <c r="I35" s="30">
        <v>43289</v>
      </c>
      <c r="J35" s="30">
        <v>43315</v>
      </c>
      <c r="K35" s="30">
        <v>43347</v>
      </c>
      <c r="L35" s="30">
        <v>43376</v>
      </c>
      <c r="M35" s="30">
        <v>43411</v>
      </c>
      <c r="N35" s="30">
        <v>43436</v>
      </c>
      <c r="O35" s="30">
        <v>43463</v>
      </c>
      <c r="P35" s="33">
        <v>43463</v>
      </c>
      <c r="Q35" s="41"/>
      <c r="T35" s="34"/>
    </row>
    <row r="36" spans="2:20" x14ac:dyDescent="0.25">
      <c r="B36" s="122"/>
      <c r="C36" s="105"/>
      <c r="D36" s="31">
        <f>3555.6-D55-D4-D63-'2018'!O8</f>
        <v>725.25</v>
      </c>
      <c r="E36" s="31">
        <f>6041.91 - E8-E63-E16-E4-D63-D8 - E65</f>
        <v>1261.24</v>
      </c>
      <c r="F36" s="31">
        <f>527.86</f>
        <v>527.86</v>
      </c>
      <c r="G36" s="31">
        <f>2399.25 + 2322.2 - H63 - G16 - G4 - G63 - F8 - G61 - F16</f>
        <v>804.91</v>
      </c>
      <c r="H36" s="31">
        <f>2855.46+363.03-H63-H16-H4-H6-H14</f>
        <v>1094.04</v>
      </c>
      <c r="I36" s="31">
        <f>4752-I61-J63-I16-H8-I4+457.09</f>
        <v>1250.55</v>
      </c>
      <c r="J36" s="31">
        <f>1072.52-K63-J4-J16-J8</f>
        <v>129.22999999999999</v>
      </c>
      <c r="K36" s="31">
        <f>2367.14-L63-L4-K16-K8-K65</f>
        <v>770.75</v>
      </c>
      <c r="L36" s="31">
        <f>2966.73-M63-M4-L16-L8</f>
        <v>1304.55</v>
      </c>
      <c r="M36" s="31">
        <f>1106.51+1981.28-N63-M61-N4-M57-M8-M16</f>
        <v>1205.1099999999999</v>
      </c>
      <c r="N36" s="31">
        <f>1995.11-O4-O63-N16-N8-N61</f>
        <v>1486.45</v>
      </c>
      <c r="O36" s="31">
        <f>1419.87-108.88-O16-68.94-O63</f>
        <v>998.05</v>
      </c>
      <c r="P36" s="44">
        <f>SUM(D36:O36)</f>
        <v>11557.99</v>
      </c>
      <c r="Q36" s="40"/>
      <c r="T36" s="34"/>
    </row>
    <row r="37" spans="2:20" x14ac:dyDescent="0.25">
      <c r="B37" s="122"/>
      <c r="C37" s="104" t="s">
        <v>40</v>
      </c>
      <c r="D37" s="30">
        <v>43126</v>
      </c>
      <c r="E37" s="30"/>
      <c r="F37" s="30">
        <v>43175</v>
      </c>
      <c r="G37" s="30">
        <v>43230</v>
      </c>
      <c r="H37" s="30"/>
      <c r="I37" s="30"/>
      <c r="J37" s="30"/>
      <c r="K37" s="30">
        <v>43347</v>
      </c>
      <c r="L37" s="30"/>
      <c r="M37" s="30">
        <v>43411</v>
      </c>
      <c r="N37" s="30">
        <v>43436</v>
      </c>
      <c r="O37" s="30">
        <v>43463</v>
      </c>
      <c r="P37" s="33">
        <v>43463</v>
      </c>
      <c r="Q37" s="41"/>
      <c r="T37" s="34"/>
    </row>
    <row r="38" spans="2:20" x14ac:dyDescent="0.25">
      <c r="B38" s="122"/>
      <c r="C38" s="105"/>
      <c r="D38" s="31">
        <v>0</v>
      </c>
      <c r="E38" s="31">
        <v>0</v>
      </c>
      <c r="F38" s="31">
        <v>22.25</v>
      </c>
      <c r="G38" s="31">
        <v>0</v>
      </c>
      <c r="H38" s="31">
        <v>0</v>
      </c>
      <c r="I38" s="31">
        <v>0</v>
      </c>
      <c r="J38" s="31">
        <v>0</v>
      </c>
      <c r="K38" s="31">
        <v>65.28</v>
      </c>
      <c r="L38" s="31">
        <v>0</v>
      </c>
      <c r="M38" s="31">
        <v>80.66</v>
      </c>
      <c r="N38" s="31">
        <v>201.6</v>
      </c>
      <c r="O38" s="31">
        <v>0</v>
      </c>
      <c r="P38" s="44">
        <f>SUM(D38:O38)</f>
        <v>369.79</v>
      </c>
      <c r="Q38" s="40"/>
      <c r="T38" s="34"/>
    </row>
    <row r="39" spans="2:20" ht="15" customHeight="1" x14ac:dyDescent="0.25">
      <c r="B39" s="122"/>
      <c r="C39" s="104" t="s">
        <v>35</v>
      </c>
      <c r="D39" s="30">
        <v>43126</v>
      </c>
      <c r="E39" s="30">
        <v>43158</v>
      </c>
      <c r="F39" s="30">
        <v>43184</v>
      </c>
      <c r="G39" s="30">
        <v>43230</v>
      </c>
      <c r="H39" s="30">
        <v>43262</v>
      </c>
      <c r="I39" s="30">
        <v>43289</v>
      </c>
      <c r="J39" s="30">
        <v>43315</v>
      </c>
      <c r="K39" s="30">
        <v>43347</v>
      </c>
      <c r="L39" s="30">
        <v>43376</v>
      </c>
      <c r="M39" s="30">
        <v>43411</v>
      </c>
      <c r="N39" s="30">
        <v>43436</v>
      </c>
      <c r="O39" s="30">
        <v>43463</v>
      </c>
      <c r="P39" s="33">
        <v>43463</v>
      </c>
      <c r="Q39" s="41"/>
    </row>
    <row r="40" spans="2:20" x14ac:dyDescent="0.25">
      <c r="B40" s="122"/>
      <c r="C40" s="105"/>
      <c r="D40" s="31">
        <v>23.08</v>
      </c>
      <c r="E40" s="31">
        <v>0</v>
      </c>
      <c r="F40" s="31">
        <v>55.11</v>
      </c>
      <c r="G40" s="31">
        <v>124.66</v>
      </c>
      <c r="H40" s="31">
        <v>25.85</v>
      </c>
      <c r="I40" s="31">
        <v>83.41</v>
      </c>
      <c r="J40" s="31">
        <v>0</v>
      </c>
      <c r="K40" s="31">
        <v>0</v>
      </c>
      <c r="L40" s="31">
        <v>0</v>
      </c>
      <c r="M40" s="31">
        <v>0</v>
      </c>
      <c r="N40" s="31">
        <v>249.68</v>
      </c>
      <c r="O40" s="31">
        <v>0</v>
      </c>
      <c r="P40" s="31">
        <f>SUM(D40:O40)</f>
        <v>561.79</v>
      </c>
      <c r="Q40" s="40"/>
    </row>
    <row r="41" spans="2:20" x14ac:dyDescent="0.25">
      <c r="B41" s="122"/>
      <c r="C41" s="117" t="s">
        <v>36</v>
      </c>
      <c r="D41" s="30">
        <v>43126</v>
      </c>
      <c r="E41" s="30">
        <v>43158</v>
      </c>
      <c r="F41" s="30">
        <v>43184</v>
      </c>
      <c r="G41" s="30">
        <v>43230</v>
      </c>
      <c r="H41" s="30"/>
      <c r="I41" s="30">
        <v>43273</v>
      </c>
      <c r="J41" s="30">
        <v>43315</v>
      </c>
      <c r="K41" s="30">
        <v>43347</v>
      </c>
      <c r="L41" s="30">
        <v>43376</v>
      </c>
      <c r="M41" s="30">
        <v>43411</v>
      </c>
      <c r="N41" s="30">
        <v>43413</v>
      </c>
      <c r="O41" s="30">
        <v>43463</v>
      </c>
      <c r="P41" s="33">
        <v>43463</v>
      </c>
      <c r="Q41" s="41"/>
    </row>
    <row r="42" spans="2:20" x14ac:dyDescent="0.25">
      <c r="B42" s="122"/>
      <c r="C42" s="117"/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301.45999999999998</v>
      </c>
      <c r="N42" s="31">
        <v>270.3</v>
      </c>
      <c r="O42" s="31">
        <v>0</v>
      </c>
      <c r="P42" s="31">
        <f>SUM(D42:O42)</f>
        <v>571.76</v>
      </c>
      <c r="Q42" s="40"/>
    </row>
    <row r="43" spans="2:20" ht="15" customHeight="1" x14ac:dyDescent="0.25">
      <c r="B43" s="122"/>
      <c r="C43" s="124" t="s">
        <v>37</v>
      </c>
      <c r="D43" s="30">
        <v>43126</v>
      </c>
      <c r="E43" s="30">
        <v>43158</v>
      </c>
      <c r="F43" s="30">
        <v>43184</v>
      </c>
      <c r="G43" s="30">
        <v>43230</v>
      </c>
      <c r="H43" s="30">
        <v>43261</v>
      </c>
      <c r="I43" s="30">
        <v>43289</v>
      </c>
      <c r="J43" s="30">
        <v>43315</v>
      </c>
      <c r="K43" s="30">
        <v>43347</v>
      </c>
      <c r="L43" s="30">
        <v>43376</v>
      </c>
      <c r="M43" s="30">
        <v>43411</v>
      </c>
      <c r="N43" s="30">
        <v>43436</v>
      </c>
      <c r="O43" s="30">
        <v>43463</v>
      </c>
      <c r="P43" s="33">
        <v>43463</v>
      </c>
    </row>
    <row r="44" spans="2:20" x14ac:dyDescent="0.25">
      <c r="B44" s="122"/>
      <c r="C44" s="105"/>
      <c r="D44" s="31">
        <f>286.5+284.41</f>
        <v>570.91</v>
      </c>
      <c r="E44" s="31">
        <f>120.02+490.9</f>
        <v>610.91999999999996</v>
      </c>
      <c r="F44" s="31">
        <f>345.23</f>
        <v>345.23</v>
      </c>
      <c r="G44" s="31">
        <f>283.25+138.71</f>
        <v>421.96</v>
      </c>
      <c r="H44" s="31">
        <v>119.26</v>
      </c>
      <c r="I44" s="31">
        <v>171.34</v>
      </c>
      <c r="J44" s="31">
        <v>409.67</v>
      </c>
      <c r="K44" s="31">
        <v>577.01</v>
      </c>
      <c r="L44" s="31">
        <v>265.43</v>
      </c>
      <c r="M44" s="31">
        <v>633.99</v>
      </c>
      <c r="N44" s="31">
        <f>269.15</f>
        <v>269.14999999999998</v>
      </c>
      <c r="O44" s="31">
        <f>304.42+102.82</f>
        <v>407.24</v>
      </c>
      <c r="P44" s="31">
        <f>SUM(D44:O44)</f>
        <v>4802.1099999999997</v>
      </c>
      <c r="Q44" s="40"/>
    </row>
    <row r="45" spans="2:20" x14ac:dyDescent="0.25">
      <c r="B45" s="122"/>
      <c r="C45" s="104" t="s">
        <v>48</v>
      </c>
      <c r="D45" s="30">
        <v>43126</v>
      </c>
      <c r="E45" s="30">
        <v>43159</v>
      </c>
      <c r="F45" s="30">
        <v>43184</v>
      </c>
      <c r="G45" s="30">
        <v>43230</v>
      </c>
      <c r="H45" s="30">
        <v>43261</v>
      </c>
      <c r="I45" s="30">
        <v>43289</v>
      </c>
      <c r="J45" s="30">
        <v>43315</v>
      </c>
      <c r="K45" s="30">
        <v>43347</v>
      </c>
      <c r="L45" s="30">
        <v>43376</v>
      </c>
      <c r="M45" s="30">
        <v>43411</v>
      </c>
      <c r="N45" s="30">
        <v>43436</v>
      </c>
      <c r="O45" s="30">
        <v>43463</v>
      </c>
      <c r="P45" s="33">
        <v>43463</v>
      </c>
      <c r="Q45" s="34"/>
    </row>
    <row r="46" spans="2:20" x14ac:dyDescent="0.25">
      <c r="B46" s="122"/>
      <c r="C46" s="105"/>
      <c r="D46" s="44">
        <v>0</v>
      </c>
      <c r="E46" s="44">
        <v>0</v>
      </c>
      <c r="F46" s="44">
        <v>0</v>
      </c>
      <c r="G46" s="44">
        <v>0</v>
      </c>
      <c r="H46" s="44">
        <v>95.1</v>
      </c>
      <c r="I46" s="44">
        <v>0</v>
      </c>
      <c r="J46" s="44">
        <v>61.23</v>
      </c>
      <c r="K46" s="44">
        <v>55.49</v>
      </c>
      <c r="L46" s="44">
        <v>108.67</v>
      </c>
      <c r="M46" s="44">
        <v>0</v>
      </c>
      <c r="N46" s="44">
        <v>0</v>
      </c>
      <c r="O46" s="44">
        <v>0</v>
      </c>
      <c r="P46" s="31">
        <f>SUM(D46:O46)</f>
        <v>320.49</v>
      </c>
      <c r="Q46" s="34"/>
    </row>
    <row r="47" spans="2:20" x14ac:dyDescent="0.25">
      <c r="B47" s="122"/>
      <c r="C47" s="104" t="s">
        <v>39</v>
      </c>
      <c r="D47" s="30">
        <v>43126</v>
      </c>
      <c r="E47" s="30">
        <v>43158</v>
      </c>
      <c r="F47" s="30">
        <v>43186</v>
      </c>
      <c r="G47" s="30"/>
      <c r="H47" s="30"/>
      <c r="I47" s="30"/>
      <c r="J47" s="30"/>
      <c r="K47" s="30">
        <v>43347</v>
      </c>
      <c r="L47" s="30">
        <v>43376</v>
      </c>
      <c r="M47" s="30"/>
      <c r="N47" s="30">
        <v>43436</v>
      </c>
      <c r="O47" s="30">
        <v>43463</v>
      </c>
      <c r="P47" s="33">
        <v>43463</v>
      </c>
    </row>
    <row r="48" spans="2:20" x14ac:dyDescent="0.25">
      <c r="B48" s="122"/>
      <c r="C48" s="105"/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f>SUM(D48:O48)</f>
        <v>0</v>
      </c>
      <c r="Q48" s="40"/>
    </row>
    <row r="49" spans="2:17" x14ac:dyDescent="0.25">
      <c r="B49" s="122"/>
      <c r="C49" s="104" t="s">
        <v>49</v>
      </c>
      <c r="D49" s="30">
        <v>43126</v>
      </c>
      <c r="E49" s="30">
        <v>43158</v>
      </c>
      <c r="F49" s="30">
        <v>43186</v>
      </c>
      <c r="G49" s="30"/>
      <c r="H49" s="30"/>
      <c r="I49" s="30">
        <v>43297</v>
      </c>
      <c r="J49" s="30">
        <v>43315</v>
      </c>
      <c r="K49" s="30">
        <v>43347</v>
      </c>
      <c r="L49" s="30">
        <v>43376</v>
      </c>
      <c r="M49" s="30">
        <v>43411</v>
      </c>
      <c r="N49" s="30">
        <v>43436</v>
      </c>
      <c r="O49" s="30">
        <v>43463</v>
      </c>
      <c r="P49" s="33">
        <v>43463</v>
      </c>
      <c r="Q49" s="34"/>
    </row>
    <row r="50" spans="2:17" x14ac:dyDescent="0.25">
      <c r="B50" s="122"/>
      <c r="C50" s="105"/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62.71</v>
      </c>
      <c r="J50" s="31">
        <v>0</v>
      </c>
      <c r="K50" s="31">
        <v>84.59</v>
      </c>
      <c r="L50" s="31">
        <v>0</v>
      </c>
      <c r="M50" s="31">
        <v>48.64</v>
      </c>
      <c r="N50" s="31">
        <v>0</v>
      </c>
      <c r="O50" s="31">
        <v>0.28999999999999998</v>
      </c>
      <c r="P50" s="31">
        <f>SUM(D50:O50)</f>
        <v>196.23</v>
      </c>
      <c r="Q50" s="34"/>
    </row>
    <row r="51" spans="2:17" ht="15" customHeight="1" x14ac:dyDescent="0.25">
      <c r="B51" s="123"/>
      <c r="C51" s="37" t="s">
        <v>0</v>
      </c>
      <c r="D51" s="10">
        <f t="shared" ref="D51:P51" si="2">SUM(D26,D28,D30,D32,D34,D36,D38,D40,D42,D44,D46,D48,D50)</f>
        <v>1451.59</v>
      </c>
      <c r="E51" s="10">
        <f t="shared" si="2"/>
        <v>2101.77</v>
      </c>
      <c r="F51" s="10">
        <f t="shared" si="2"/>
        <v>1882.03</v>
      </c>
      <c r="G51" s="10">
        <f t="shared" si="2"/>
        <v>2096.63</v>
      </c>
      <c r="H51" s="10">
        <f t="shared" si="2"/>
        <v>1904.05</v>
      </c>
      <c r="I51" s="10">
        <f t="shared" si="2"/>
        <v>3220.44</v>
      </c>
      <c r="J51" s="10">
        <f t="shared" si="2"/>
        <v>4715.0200000000004</v>
      </c>
      <c r="K51" s="10">
        <f t="shared" si="2"/>
        <v>1939.55</v>
      </c>
      <c r="L51" s="10">
        <f t="shared" si="2"/>
        <v>2134.34</v>
      </c>
      <c r="M51" s="10">
        <f t="shared" si="2"/>
        <v>2818.06</v>
      </c>
      <c r="N51" s="10">
        <f t="shared" si="2"/>
        <v>3152.34</v>
      </c>
      <c r="O51" s="10">
        <f t="shared" si="2"/>
        <v>2616.2600000000002</v>
      </c>
      <c r="P51" s="10">
        <f t="shared" si="2"/>
        <v>30032.080000000002</v>
      </c>
      <c r="Q51" s="34"/>
    </row>
    <row r="52" spans="2:17" ht="15" customHeight="1" x14ac:dyDescent="0.25">
      <c r="B52" s="111" t="s">
        <v>25</v>
      </c>
      <c r="C52" s="103" t="s">
        <v>16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3">
        <v>43463</v>
      </c>
    </row>
    <row r="53" spans="2:17" x14ac:dyDescent="0.25">
      <c r="B53" s="112"/>
      <c r="C53" s="103"/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415</v>
      </c>
      <c r="P53" s="31">
        <f>SUM(D53:O53)</f>
        <v>415</v>
      </c>
    </row>
    <row r="54" spans="2:17" x14ac:dyDescent="0.25">
      <c r="B54" s="112"/>
      <c r="C54" s="103" t="s">
        <v>45</v>
      </c>
      <c r="D54" s="30">
        <v>43122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3">
        <v>43463</v>
      </c>
    </row>
    <row r="55" spans="2:17" x14ac:dyDescent="0.25">
      <c r="B55" s="112"/>
      <c r="C55" s="103"/>
      <c r="D55" s="31">
        <v>1073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f>SUM(D55:O55)</f>
        <v>1073</v>
      </c>
    </row>
    <row r="56" spans="2:17" x14ac:dyDescent="0.25">
      <c r="B56" s="112"/>
      <c r="C56" s="109" t="s">
        <v>42</v>
      </c>
      <c r="D56" s="30"/>
      <c r="E56" s="30"/>
      <c r="F56" s="30"/>
      <c r="G56" s="30"/>
      <c r="H56" s="30"/>
      <c r="I56" s="30"/>
      <c r="J56" s="30"/>
      <c r="K56" s="30"/>
      <c r="L56" s="30"/>
      <c r="M56" s="30">
        <v>43383</v>
      </c>
      <c r="N56" s="30"/>
      <c r="O56" s="30"/>
      <c r="P56" s="33">
        <v>43463</v>
      </c>
    </row>
    <row r="57" spans="2:17" x14ac:dyDescent="0.25">
      <c r="B57" s="112"/>
      <c r="C57" s="110"/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148</v>
      </c>
      <c r="N57" s="31">
        <v>0</v>
      </c>
      <c r="O57" s="31">
        <v>0</v>
      </c>
      <c r="P57" s="31">
        <f>SUM(D57:O57)</f>
        <v>148</v>
      </c>
    </row>
    <row r="58" spans="2:17" x14ac:dyDescent="0.25">
      <c r="B58" s="112"/>
      <c r="C58" s="109" t="s">
        <v>46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3">
        <v>43463</v>
      </c>
    </row>
    <row r="59" spans="2:17" x14ac:dyDescent="0.25">
      <c r="B59" s="112"/>
      <c r="C59" s="110"/>
      <c r="D59" s="31">
        <v>52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f>SUM(D59:O59)</f>
        <v>52</v>
      </c>
    </row>
    <row r="60" spans="2:17" x14ac:dyDescent="0.25">
      <c r="B60" s="112"/>
      <c r="C60" s="109" t="s">
        <v>47</v>
      </c>
      <c r="D60" s="30"/>
      <c r="E60" s="30"/>
      <c r="F60" s="30"/>
      <c r="G60" s="30">
        <v>43209</v>
      </c>
      <c r="H60" s="30">
        <v>43243</v>
      </c>
      <c r="I60" s="30">
        <v>43270</v>
      </c>
      <c r="J60" s="30"/>
      <c r="K60" s="30">
        <v>43310</v>
      </c>
      <c r="L60" s="30"/>
      <c r="M60" s="30">
        <v>43383</v>
      </c>
      <c r="N60" s="30">
        <v>43424</v>
      </c>
      <c r="O60" s="30"/>
      <c r="P60" s="33">
        <v>43463</v>
      </c>
    </row>
    <row r="61" spans="2:17" x14ac:dyDescent="0.25">
      <c r="B61" s="112"/>
      <c r="C61" s="110"/>
      <c r="D61" s="31">
        <v>0</v>
      </c>
      <c r="E61" s="31">
        <v>0</v>
      </c>
      <c r="F61" s="31"/>
      <c r="G61" s="31">
        <f>92.47</f>
        <v>92.47</v>
      </c>
      <c r="H61" s="31">
        <v>0</v>
      </c>
      <c r="I61" s="31">
        <f>808.85+1424.14+228.49</f>
        <v>2461.48</v>
      </c>
      <c r="J61" s="31">
        <v>0</v>
      </c>
      <c r="K61" s="31">
        <v>0</v>
      </c>
      <c r="L61" s="31">
        <v>0</v>
      </c>
      <c r="M61" s="31">
        <v>94.33</v>
      </c>
      <c r="N61" s="31">
        <v>25</v>
      </c>
      <c r="O61" s="31">
        <v>0</v>
      </c>
      <c r="P61" s="31">
        <f>SUM(D61:O61)</f>
        <v>2673.28</v>
      </c>
    </row>
    <row r="62" spans="2:17" x14ac:dyDescent="0.25">
      <c r="B62" s="112"/>
      <c r="C62" s="109" t="s">
        <v>30</v>
      </c>
      <c r="D62" s="30">
        <v>43103</v>
      </c>
      <c r="E62" s="30">
        <v>43132</v>
      </c>
      <c r="F62" s="30">
        <v>43159</v>
      </c>
      <c r="G62" s="30">
        <v>43189</v>
      </c>
      <c r="H62" s="30">
        <v>43220</v>
      </c>
      <c r="I62" s="30">
        <v>43251</v>
      </c>
      <c r="J62" s="30">
        <v>43281</v>
      </c>
      <c r="K62" s="30">
        <v>43313</v>
      </c>
      <c r="L62" s="30">
        <v>43347</v>
      </c>
      <c r="M62" s="30">
        <v>43376</v>
      </c>
      <c r="N62" s="30">
        <v>43411</v>
      </c>
      <c r="O62" s="30">
        <v>43434</v>
      </c>
      <c r="P62" s="33">
        <v>43463</v>
      </c>
    </row>
    <row r="63" spans="2:17" x14ac:dyDescent="0.25">
      <c r="B63" s="112"/>
      <c r="C63" s="110"/>
      <c r="D63" s="31">
        <v>1439.5</v>
      </c>
      <c r="E63" s="31">
        <f>875*0.9+1000</f>
        <v>1787.5</v>
      </c>
      <c r="F63" s="31">
        <f>875*0.9+1000</f>
        <v>1787.5</v>
      </c>
      <c r="G63" s="31">
        <f>875*0.9+1000</f>
        <v>1787.5</v>
      </c>
      <c r="H63" s="31">
        <f>875*0.9+1000</f>
        <v>1787.5</v>
      </c>
      <c r="I63" s="31">
        <f>875*0.9+1000 + 16904</f>
        <v>18691.5</v>
      </c>
      <c r="J63" s="31">
        <v>1377.5</v>
      </c>
      <c r="K63" s="31">
        <v>781</v>
      </c>
      <c r="L63" s="31">
        <f>291*4+68.73</f>
        <v>1232.73</v>
      </c>
      <c r="M63" s="31">
        <f>291*5+58.95</f>
        <v>1513.95</v>
      </c>
      <c r="N63" s="31">
        <f>291*5+39.95</f>
        <v>1494.95</v>
      </c>
      <c r="O63" s="31">
        <v>199</v>
      </c>
      <c r="P63" s="31">
        <f>SUM(D63:O63)</f>
        <v>33880.129999999997</v>
      </c>
    </row>
    <row r="64" spans="2:17" x14ac:dyDescent="0.25">
      <c r="B64" s="112"/>
      <c r="C64" s="109" t="s">
        <v>41</v>
      </c>
      <c r="D64" s="30"/>
      <c r="E64" s="30">
        <v>43160</v>
      </c>
      <c r="F64" s="30"/>
      <c r="G64" s="30"/>
      <c r="H64" s="30"/>
      <c r="I64" s="30"/>
      <c r="J64" s="30"/>
      <c r="K64" s="30">
        <v>43332</v>
      </c>
      <c r="L64" s="30"/>
      <c r="M64" s="30"/>
      <c r="N64" s="30"/>
      <c r="O64" s="30"/>
      <c r="P64" s="33">
        <v>43463</v>
      </c>
    </row>
    <row r="65" spans="2:18" x14ac:dyDescent="0.25">
      <c r="B65" s="112"/>
      <c r="C65" s="110"/>
      <c r="D65" s="31">
        <v>0</v>
      </c>
      <c r="E65" s="31">
        <v>1190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182.31</v>
      </c>
      <c r="L65" s="31">
        <v>0</v>
      </c>
      <c r="M65" s="31">
        <v>0</v>
      </c>
      <c r="N65" s="31">
        <v>0</v>
      </c>
      <c r="O65" s="31">
        <v>0</v>
      </c>
      <c r="P65" s="31">
        <f>SUM(D65:O65)</f>
        <v>1372.31</v>
      </c>
      <c r="Q65" s="34"/>
      <c r="R65" s="45"/>
    </row>
    <row r="66" spans="2:18" x14ac:dyDescent="0.25">
      <c r="B66" s="113"/>
      <c r="C66" s="38" t="s">
        <v>0</v>
      </c>
      <c r="D66" s="10">
        <f t="shared" ref="D66:P66" si="3">SUM(D53,D55,D57,D59,D61,D63,D65)</f>
        <v>2564.5</v>
      </c>
      <c r="E66" s="10">
        <f t="shared" si="3"/>
        <v>2977.5</v>
      </c>
      <c r="F66" s="10">
        <f t="shared" si="3"/>
        <v>1787.5</v>
      </c>
      <c r="G66" s="10">
        <f t="shared" si="3"/>
        <v>1879.97</v>
      </c>
      <c r="H66" s="10">
        <f t="shared" si="3"/>
        <v>1787.5</v>
      </c>
      <c r="I66" s="10">
        <f t="shared" si="3"/>
        <v>21152.98</v>
      </c>
      <c r="J66" s="10">
        <f t="shared" si="3"/>
        <v>1377.5</v>
      </c>
      <c r="K66" s="10">
        <f t="shared" si="3"/>
        <v>963.31</v>
      </c>
      <c r="L66" s="10">
        <f t="shared" si="3"/>
        <v>1232.73</v>
      </c>
      <c r="M66" s="10">
        <f t="shared" si="3"/>
        <v>1756.28</v>
      </c>
      <c r="N66" s="10">
        <f t="shared" si="3"/>
        <v>1519.95</v>
      </c>
      <c r="O66" s="10">
        <f t="shared" si="3"/>
        <v>614</v>
      </c>
      <c r="P66" s="10">
        <f t="shared" si="3"/>
        <v>39613.72</v>
      </c>
    </row>
    <row r="67" spans="2:18" x14ac:dyDescent="0.25">
      <c r="C67" s="11" t="s">
        <v>0</v>
      </c>
      <c r="D67" s="12">
        <f t="shared" ref="D67:P67" si="4">SUM(D19,D24,D51,D66)</f>
        <v>6407.86</v>
      </c>
      <c r="E67" s="12">
        <f t="shared" si="4"/>
        <v>7417.15</v>
      </c>
      <c r="F67" s="12">
        <f t="shared" si="4"/>
        <v>6147.93</v>
      </c>
      <c r="G67" s="12">
        <f t="shared" si="4"/>
        <v>6221.08</v>
      </c>
      <c r="H67" s="12">
        <f t="shared" si="4"/>
        <v>6095.34</v>
      </c>
      <c r="I67" s="12">
        <f t="shared" si="4"/>
        <v>26695.58</v>
      </c>
      <c r="J67" s="12">
        <f t="shared" si="4"/>
        <v>8240.7099999999991</v>
      </c>
      <c r="K67" s="12">
        <f t="shared" si="4"/>
        <v>5097.1899999999996</v>
      </c>
      <c r="L67" s="12">
        <f t="shared" si="4"/>
        <v>5743.39</v>
      </c>
      <c r="M67" s="12">
        <f t="shared" si="4"/>
        <v>6699.12</v>
      </c>
      <c r="N67" s="12">
        <f t="shared" si="4"/>
        <v>6750.96</v>
      </c>
      <c r="O67" s="12">
        <f t="shared" si="4"/>
        <v>5918.51</v>
      </c>
      <c r="P67" s="56">
        <f t="shared" si="4"/>
        <v>97434.82</v>
      </c>
    </row>
    <row r="69" spans="2:18" x14ac:dyDescent="0.25">
      <c r="P69" s="34">
        <f>P67-N23</f>
        <v>97434.82</v>
      </c>
    </row>
  </sheetData>
  <mergeCells count="34">
    <mergeCell ref="C49:C50"/>
    <mergeCell ref="B3:B19"/>
    <mergeCell ref="C3:C4"/>
    <mergeCell ref="C5:C6"/>
    <mergeCell ref="C7:C8"/>
    <mergeCell ref="C9:C10"/>
    <mergeCell ref="C11:C12"/>
    <mergeCell ref="C13:C14"/>
    <mergeCell ref="C15:C16"/>
    <mergeCell ref="C17:C18"/>
    <mergeCell ref="C47:C48"/>
    <mergeCell ref="B20:B24"/>
    <mergeCell ref="C20:C21"/>
    <mergeCell ref="C22:C23"/>
    <mergeCell ref="B25:B51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B52:B66"/>
    <mergeCell ref="C52:C53"/>
    <mergeCell ref="C54:C55"/>
    <mergeCell ref="C56:C57"/>
    <mergeCell ref="C58:C59"/>
    <mergeCell ref="C60:C61"/>
    <mergeCell ref="C62:C63"/>
    <mergeCell ref="C64:C6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U69"/>
  <sheetViews>
    <sheetView topLeftCell="A51" zoomScaleNormal="100" workbookViewId="0">
      <pane xSplit="3" topLeftCell="D1" activePane="topRight" state="frozen"/>
      <selection activeCell="A40" sqref="A40"/>
      <selection pane="topRight" activeCell="D51" sqref="D51:N51"/>
    </sheetView>
  </sheetViews>
  <sheetFormatPr defaultRowHeight="15" x14ac:dyDescent="0.25"/>
  <cols>
    <col min="3" max="3" width="15" bestFit="1" customWidth="1"/>
    <col min="4" max="4" width="9.85546875" bestFit="1" customWidth="1"/>
    <col min="5" max="5" width="10.28515625" bestFit="1" customWidth="1"/>
    <col min="6" max="7" width="10.140625" bestFit="1" customWidth="1"/>
    <col min="8" max="9" width="10.85546875" bestFit="1" customWidth="1"/>
    <col min="10" max="10" width="10.140625" bestFit="1" customWidth="1"/>
    <col min="11" max="11" width="10.28515625" bestFit="1" customWidth="1"/>
    <col min="12" max="12" width="10.140625" bestFit="1" customWidth="1"/>
    <col min="13" max="13" width="10.7109375" bestFit="1" customWidth="1"/>
    <col min="14" max="16" width="11.140625" bestFit="1" customWidth="1"/>
    <col min="17" max="17" width="10.140625" bestFit="1" customWidth="1"/>
  </cols>
  <sheetData>
    <row r="2" spans="2:21" x14ac:dyDescent="0.25">
      <c r="C2" s="1"/>
      <c r="D2" s="13">
        <v>43466</v>
      </c>
      <c r="E2" s="13">
        <v>43497</v>
      </c>
      <c r="F2" s="13">
        <v>43525</v>
      </c>
      <c r="G2" s="13">
        <v>43556</v>
      </c>
      <c r="H2" s="13">
        <v>43586</v>
      </c>
      <c r="I2" s="13">
        <v>43617</v>
      </c>
      <c r="J2" s="13">
        <v>43647</v>
      </c>
      <c r="K2" s="13">
        <v>43678</v>
      </c>
      <c r="L2" s="13">
        <v>43709</v>
      </c>
      <c r="M2" s="13">
        <v>43739</v>
      </c>
      <c r="N2" s="13">
        <v>43770</v>
      </c>
      <c r="O2" s="13">
        <v>43800</v>
      </c>
      <c r="P2" s="13" t="s">
        <v>0</v>
      </c>
    </row>
    <row r="3" spans="2:21" ht="15" customHeight="1" x14ac:dyDescent="0.25">
      <c r="B3" s="125" t="s">
        <v>26</v>
      </c>
      <c r="C3" s="106" t="s">
        <v>1</v>
      </c>
      <c r="D3" s="30">
        <v>43489</v>
      </c>
      <c r="E3" s="30">
        <v>43523</v>
      </c>
      <c r="F3" s="30">
        <v>43551</v>
      </c>
      <c r="G3" s="33">
        <v>43581</v>
      </c>
      <c r="H3" s="30">
        <v>43613</v>
      </c>
      <c r="I3" s="33">
        <v>43642</v>
      </c>
      <c r="J3" s="33">
        <v>43687</v>
      </c>
      <c r="K3" s="33">
        <v>43703</v>
      </c>
      <c r="L3" s="30">
        <v>43733</v>
      </c>
      <c r="M3" s="30">
        <v>43762</v>
      </c>
      <c r="N3" s="33">
        <v>43790</v>
      </c>
      <c r="O3" s="33">
        <v>43818</v>
      </c>
      <c r="P3" s="58">
        <v>43828</v>
      </c>
    </row>
    <row r="4" spans="2:21" x14ac:dyDescent="0.25">
      <c r="B4" s="126"/>
      <c r="C4" s="106"/>
      <c r="D4" s="31">
        <v>137.29</v>
      </c>
      <c r="E4" s="31">
        <v>171.85</v>
      </c>
      <c r="F4" s="31">
        <v>123.34</v>
      </c>
      <c r="G4" s="31">
        <v>72.430000000000007</v>
      </c>
      <c r="H4" s="31">
        <v>45.14</v>
      </c>
      <c r="I4" s="31">
        <v>24.84</v>
      </c>
      <c r="J4" s="31">
        <v>21.95</v>
      </c>
      <c r="K4" s="31">
        <v>22.42</v>
      </c>
      <c r="L4" s="31">
        <v>18.72</v>
      </c>
      <c r="M4" s="31">
        <v>29.57</v>
      </c>
      <c r="N4" s="31">
        <v>86.05</v>
      </c>
      <c r="O4" s="31">
        <v>112.33</v>
      </c>
      <c r="P4" s="59">
        <f>SUM(D4:O4)</f>
        <v>865.93</v>
      </c>
    </row>
    <row r="5" spans="2:21" x14ac:dyDescent="0.25">
      <c r="B5" s="126"/>
      <c r="C5" s="106" t="s">
        <v>10</v>
      </c>
      <c r="D5" s="30">
        <v>43506</v>
      </c>
      <c r="E5" s="30">
        <v>43533</v>
      </c>
      <c r="F5" s="30">
        <v>43570</v>
      </c>
      <c r="G5" s="30">
        <v>43608</v>
      </c>
      <c r="H5" s="30">
        <v>43641</v>
      </c>
      <c r="I5" s="30">
        <v>43653</v>
      </c>
      <c r="J5" s="33">
        <v>43687</v>
      </c>
      <c r="K5" s="30">
        <v>43715</v>
      </c>
      <c r="L5" s="30">
        <v>43771</v>
      </c>
      <c r="M5" s="30">
        <v>43804</v>
      </c>
      <c r="N5" s="30">
        <v>43826</v>
      </c>
      <c r="O5" s="57">
        <v>43825</v>
      </c>
      <c r="P5" s="58">
        <v>43828</v>
      </c>
    </row>
    <row r="6" spans="2:21" x14ac:dyDescent="0.25">
      <c r="B6" s="126"/>
      <c r="C6" s="106"/>
      <c r="D6" s="31">
        <f>87.9+99.17</f>
        <v>187.07</v>
      </c>
      <c r="E6" s="31">
        <v>94.59</v>
      </c>
      <c r="F6" s="31">
        <v>65.319999999999993</v>
      </c>
      <c r="G6" s="31">
        <v>21.48</v>
      </c>
      <c r="H6" s="31">
        <v>29.45</v>
      </c>
      <c r="I6" s="31">
        <v>17.829999999999998</v>
      </c>
      <c r="J6" s="31">
        <v>16.600000000000001</v>
      </c>
      <c r="K6" s="31">
        <v>15.97</v>
      </c>
      <c r="L6" s="31">
        <v>19.010000000000002</v>
      </c>
      <c r="M6" s="31">
        <v>43.64</v>
      </c>
      <c r="N6" s="31">
        <v>72.930000000000007</v>
      </c>
      <c r="O6" s="59">
        <v>0</v>
      </c>
      <c r="P6" s="59">
        <f>SUM(D6:O6)</f>
        <v>583.89</v>
      </c>
    </row>
    <row r="7" spans="2:21" x14ac:dyDescent="0.25">
      <c r="B7" s="126"/>
      <c r="C7" s="106" t="s">
        <v>2</v>
      </c>
      <c r="D7" s="35">
        <v>43506</v>
      </c>
      <c r="E7" s="30">
        <v>43533</v>
      </c>
      <c r="F7" s="30">
        <v>43554</v>
      </c>
      <c r="G7" s="30">
        <v>43585</v>
      </c>
      <c r="H7" s="30">
        <v>43617</v>
      </c>
      <c r="I7" s="30">
        <v>43654</v>
      </c>
      <c r="J7" s="33">
        <v>43692</v>
      </c>
      <c r="K7" s="30">
        <v>43715</v>
      </c>
      <c r="L7" s="30">
        <v>43746</v>
      </c>
      <c r="M7" s="30">
        <v>43771</v>
      </c>
      <c r="N7" s="30">
        <v>43804</v>
      </c>
      <c r="O7" s="30">
        <v>43825</v>
      </c>
      <c r="P7" s="58">
        <v>43828</v>
      </c>
    </row>
    <row r="8" spans="2:21" x14ac:dyDescent="0.25">
      <c r="B8" s="126"/>
      <c r="C8" s="106"/>
      <c r="D8" s="36">
        <v>74.83</v>
      </c>
      <c r="E8" s="31">
        <v>83.08</v>
      </c>
      <c r="F8" s="31">
        <v>69.38</v>
      </c>
      <c r="G8" s="31">
        <v>62.27</v>
      </c>
      <c r="H8" s="31">
        <v>55.89</v>
      </c>
      <c r="I8" s="31">
        <v>52.4</v>
      </c>
      <c r="J8" s="31">
        <v>116.92</v>
      </c>
      <c r="K8" s="31">
        <v>123.11</v>
      </c>
      <c r="L8" s="31">
        <v>51.29</v>
      </c>
      <c r="M8" s="31">
        <v>62</v>
      </c>
      <c r="N8" s="31">
        <v>78.7</v>
      </c>
      <c r="O8" s="31">
        <v>76.459999999999994</v>
      </c>
      <c r="P8" s="59">
        <f>SUM(D8:O8)</f>
        <v>906.33</v>
      </c>
    </row>
    <row r="9" spans="2:21" x14ac:dyDescent="0.25">
      <c r="B9" s="126"/>
      <c r="C9" s="106" t="s">
        <v>11</v>
      </c>
      <c r="D9" s="30">
        <v>43506</v>
      </c>
      <c r="E9" s="30">
        <v>43533</v>
      </c>
      <c r="F9" s="30">
        <v>43550</v>
      </c>
      <c r="G9" s="30">
        <v>43608</v>
      </c>
      <c r="H9" s="30">
        <v>43653</v>
      </c>
      <c r="I9" s="30">
        <v>43654</v>
      </c>
      <c r="J9" s="33">
        <v>43692</v>
      </c>
      <c r="K9" s="30">
        <v>43715</v>
      </c>
      <c r="L9" s="30">
        <v>43746</v>
      </c>
      <c r="M9" s="30">
        <v>43771</v>
      </c>
      <c r="N9" s="30">
        <v>43804</v>
      </c>
      <c r="O9" s="57">
        <v>43801</v>
      </c>
      <c r="P9" s="58">
        <v>43828</v>
      </c>
    </row>
    <row r="10" spans="2:21" x14ac:dyDescent="0.25">
      <c r="B10" s="126"/>
      <c r="C10" s="106"/>
      <c r="D10" s="31">
        <f>44.08+38.47</f>
        <v>82.55</v>
      </c>
      <c r="E10" s="31">
        <v>41.98</v>
      </c>
      <c r="F10" s="31">
        <v>0</v>
      </c>
      <c r="G10" s="31">
        <v>47.66</v>
      </c>
      <c r="H10" s="31">
        <v>62.51</v>
      </c>
      <c r="I10" s="31">
        <v>62.51</v>
      </c>
      <c r="J10" s="31">
        <v>69.58</v>
      </c>
      <c r="K10" s="31">
        <v>46.58</v>
      </c>
      <c r="L10" s="31">
        <v>36.51</v>
      </c>
      <c r="M10" s="31">
        <v>33.07</v>
      </c>
      <c r="N10" s="31">
        <v>45.31</v>
      </c>
      <c r="O10" s="59">
        <v>66.75</v>
      </c>
      <c r="P10" s="59">
        <f>SUM(D10:O10)</f>
        <v>595.01</v>
      </c>
    </row>
    <row r="11" spans="2:21" x14ac:dyDescent="0.25">
      <c r="B11" s="126"/>
      <c r="C11" s="106" t="s">
        <v>7</v>
      </c>
      <c r="D11" s="30"/>
      <c r="E11" s="30">
        <v>43533</v>
      </c>
      <c r="F11" s="30"/>
      <c r="G11" s="30"/>
      <c r="H11" s="30">
        <v>43629</v>
      </c>
      <c r="I11" s="30"/>
      <c r="J11" s="30"/>
      <c r="K11" s="30"/>
      <c r="L11" s="30">
        <v>43746</v>
      </c>
      <c r="M11" s="30"/>
      <c r="N11" s="30"/>
      <c r="O11" s="30">
        <v>43825</v>
      </c>
      <c r="P11" s="58">
        <v>43828</v>
      </c>
    </row>
    <row r="12" spans="2:21" x14ac:dyDescent="0.25">
      <c r="B12" s="126"/>
      <c r="C12" s="106"/>
      <c r="D12" s="31">
        <v>0</v>
      </c>
      <c r="E12" s="31">
        <v>146</v>
      </c>
      <c r="F12" s="31">
        <v>0</v>
      </c>
      <c r="G12" s="31">
        <v>0</v>
      </c>
      <c r="H12" s="31">
        <v>177</v>
      </c>
      <c r="I12" s="31">
        <v>0</v>
      </c>
      <c r="J12" s="31">
        <v>0</v>
      </c>
      <c r="K12" s="31">
        <v>0</v>
      </c>
      <c r="L12" s="31">
        <v>222.14</v>
      </c>
      <c r="M12" s="31">
        <v>0</v>
      </c>
      <c r="N12" s="31">
        <v>0</v>
      </c>
      <c r="O12" s="31">
        <v>140</v>
      </c>
      <c r="P12" s="59">
        <f>SUM(D12:O12)</f>
        <v>685.14</v>
      </c>
    </row>
    <row r="13" spans="2:21" x14ac:dyDescent="0.25">
      <c r="B13" s="126"/>
      <c r="C13" s="106" t="s">
        <v>8</v>
      </c>
      <c r="D13" s="30"/>
      <c r="E13" s="30">
        <v>43533</v>
      </c>
      <c r="F13" s="30"/>
      <c r="G13" s="30"/>
      <c r="H13" s="30">
        <v>43617</v>
      </c>
      <c r="I13" s="32"/>
      <c r="J13" s="30"/>
      <c r="K13" s="30"/>
      <c r="L13" s="30"/>
      <c r="M13" s="30"/>
      <c r="N13" s="30"/>
      <c r="O13" s="61"/>
      <c r="P13" s="58">
        <v>43828</v>
      </c>
    </row>
    <row r="14" spans="2:21" x14ac:dyDescent="0.25">
      <c r="B14" s="126"/>
      <c r="C14" s="106"/>
      <c r="D14" s="31">
        <v>0</v>
      </c>
      <c r="E14" s="31">
        <v>0</v>
      </c>
      <c r="F14" s="31"/>
      <c r="G14" s="31">
        <v>0</v>
      </c>
      <c r="H14" s="31">
        <v>181.5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62">
        <v>0</v>
      </c>
      <c r="P14" s="59">
        <f>SUM(D14:O14)</f>
        <v>181.5</v>
      </c>
      <c r="U14" s="47"/>
    </row>
    <row r="15" spans="2:21" x14ac:dyDescent="0.25">
      <c r="B15" s="126"/>
      <c r="C15" s="106" t="s">
        <v>3</v>
      </c>
      <c r="D15" s="30">
        <v>43485</v>
      </c>
      <c r="E15" s="30">
        <v>43516</v>
      </c>
      <c r="F15" s="30">
        <v>43544</v>
      </c>
      <c r="G15" s="30">
        <v>43575</v>
      </c>
      <c r="H15" s="30">
        <v>43605</v>
      </c>
      <c r="I15" s="30">
        <v>43636</v>
      </c>
      <c r="J15" s="33">
        <v>43666</v>
      </c>
      <c r="K15" s="30">
        <v>43697</v>
      </c>
      <c r="L15" s="30">
        <v>43728</v>
      </c>
      <c r="M15" s="30">
        <v>43758</v>
      </c>
      <c r="N15" s="30">
        <v>43789</v>
      </c>
      <c r="O15" s="30">
        <v>43819</v>
      </c>
      <c r="P15" s="58">
        <v>43828</v>
      </c>
      <c r="U15" s="47"/>
    </row>
    <row r="16" spans="2:21" x14ac:dyDescent="0.25">
      <c r="B16" s="126"/>
      <c r="C16" s="106"/>
      <c r="D16" s="31">
        <v>45</v>
      </c>
      <c r="E16" s="31">
        <v>45</v>
      </c>
      <c r="F16" s="31">
        <v>33</v>
      </c>
      <c r="G16" s="31">
        <v>35</v>
      </c>
      <c r="H16" s="31">
        <v>35</v>
      </c>
      <c r="I16" s="31">
        <v>35</v>
      </c>
      <c r="J16" s="31">
        <v>35</v>
      </c>
      <c r="K16" s="31">
        <v>35</v>
      </c>
      <c r="L16" s="31">
        <v>35</v>
      </c>
      <c r="M16" s="31">
        <v>35</v>
      </c>
      <c r="N16" s="31">
        <v>35</v>
      </c>
      <c r="O16" s="31">
        <v>35</v>
      </c>
      <c r="P16" s="59">
        <f>SUM(D16:O16)</f>
        <v>438</v>
      </c>
      <c r="U16" s="47"/>
    </row>
    <row r="17" spans="2:21" x14ac:dyDescent="0.25">
      <c r="B17" s="126"/>
      <c r="C17" s="106" t="s">
        <v>5</v>
      </c>
      <c r="D17" s="30">
        <v>43506</v>
      </c>
      <c r="E17" s="30">
        <v>43533</v>
      </c>
      <c r="F17" s="30">
        <v>43554</v>
      </c>
      <c r="G17" s="30">
        <v>43585</v>
      </c>
      <c r="H17" s="30">
        <v>43617</v>
      </c>
      <c r="I17" s="30">
        <v>43654</v>
      </c>
      <c r="J17" s="33">
        <v>43686</v>
      </c>
      <c r="K17" s="30">
        <v>43715</v>
      </c>
      <c r="L17" s="30">
        <v>43746</v>
      </c>
      <c r="M17" s="30">
        <v>43771</v>
      </c>
      <c r="N17" s="30">
        <v>43804</v>
      </c>
      <c r="O17" s="30">
        <v>43825</v>
      </c>
      <c r="P17" s="58">
        <v>43828</v>
      </c>
      <c r="U17" s="47"/>
    </row>
    <row r="18" spans="2:21" x14ac:dyDescent="0.25">
      <c r="B18" s="126"/>
      <c r="C18" s="106"/>
      <c r="D18" s="31">
        <v>47.63</v>
      </c>
      <c r="E18" s="31">
        <v>47.63</v>
      </c>
      <c r="F18" s="31">
        <v>47.63</v>
      </c>
      <c r="G18" s="31">
        <v>47.63</v>
      </c>
      <c r="H18" s="31">
        <v>54.09</v>
      </c>
      <c r="I18" s="31">
        <v>82.59</v>
      </c>
      <c r="J18" s="31">
        <v>44.86</v>
      </c>
      <c r="K18" s="31">
        <v>50</v>
      </c>
      <c r="L18" s="31">
        <v>50</v>
      </c>
      <c r="M18" s="31">
        <v>50</v>
      </c>
      <c r="N18" s="31">
        <v>50</v>
      </c>
      <c r="O18" s="31">
        <v>50</v>
      </c>
      <c r="P18" s="59">
        <f>SUM(D18:O18)</f>
        <v>622.05999999999995</v>
      </c>
      <c r="U18" s="47"/>
    </row>
    <row r="19" spans="2:21" ht="15" customHeight="1" x14ac:dyDescent="0.25">
      <c r="B19" s="127"/>
      <c r="C19" s="42" t="s">
        <v>0</v>
      </c>
      <c r="D19" s="10">
        <f t="shared" ref="D19:P19" si="0">SUM(D4,D6,D8,D10,D12,D14,D16,D18)</f>
        <v>574.37</v>
      </c>
      <c r="E19" s="10">
        <f t="shared" si="0"/>
        <v>630.13</v>
      </c>
      <c r="F19" s="10">
        <f t="shared" si="0"/>
        <v>338.67</v>
      </c>
      <c r="G19" s="10">
        <f t="shared" si="0"/>
        <v>286.47000000000003</v>
      </c>
      <c r="H19" s="10">
        <f t="shared" si="0"/>
        <v>640.58000000000004</v>
      </c>
      <c r="I19" s="10">
        <f t="shared" si="0"/>
        <v>275.17</v>
      </c>
      <c r="J19" s="10">
        <f t="shared" si="0"/>
        <v>304.91000000000003</v>
      </c>
      <c r="K19" s="10">
        <f t="shared" si="0"/>
        <v>293.08</v>
      </c>
      <c r="L19" s="10">
        <f t="shared" si="0"/>
        <v>432.67</v>
      </c>
      <c r="M19" s="10">
        <f t="shared" si="0"/>
        <v>253.28</v>
      </c>
      <c r="N19" s="10">
        <f t="shared" si="0"/>
        <v>367.99</v>
      </c>
      <c r="O19" s="10">
        <f t="shared" si="0"/>
        <v>480.54</v>
      </c>
      <c r="P19" s="10">
        <f t="shared" si="0"/>
        <v>4877.8599999999997</v>
      </c>
      <c r="U19" s="47"/>
    </row>
    <row r="20" spans="2:21" x14ac:dyDescent="0.25">
      <c r="B20" s="118" t="s">
        <v>27</v>
      </c>
      <c r="C20" s="107" t="s">
        <v>4</v>
      </c>
      <c r="D20" s="30">
        <v>43466</v>
      </c>
      <c r="E20" s="30">
        <v>43497</v>
      </c>
      <c r="F20" s="30">
        <v>43525</v>
      </c>
      <c r="G20" s="30">
        <v>43556</v>
      </c>
      <c r="H20" s="30">
        <v>43586</v>
      </c>
      <c r="I20" s="30">
        <v>43617</v>
      </c>
      <c r="J20" s="33">
        <v>43647</v>
      </c>
      <c r="K20" s="30">
        <v>43678</v>
      </c>
      <c r="L20" s="30">
        <v>43709</v>
      </c>
      <c r="M20" s="30">
        <v>43739</v>
      </c>
      <c r="N20" s="30">
        <v>43770</v>
      </c>
      <c r="O20" s="30">
        <v>43800</v>
      </c>
      <c r="P20" s="58">
        <v>43828</v>
      </c>
      <c r="U20" s="47"/>
    </row>
    <row r="21" spans="2:21" x14ac:dyDescent="0.25">
      <c r="B21" s="119"/>
      <c r="C21" s="108"/>
      <c r="D21" s="31">
        <v>1883.66</v>
      </c>
      <c r="E21" s="31">
        <v>1883.66</v>
      </c>
      <c r="F21" s="31">
        <v>1888.38</v>
      </c>
      <c r="G21" s="31">
        <v>1893.36</v>
      </c>
      <c r="H21" s="31">
        <v>1888.38</v>
      </c>
      <c r="I21" s="31">
        <v>1888.38</v>
      </c>
      <c r="J21" s="31">
        <v>1888.38</v>
      </c>
      <c r="K21" s="31">
        <v>1888.38</v>
      </c>
      <c r="L21" s="31">
        <v>1888.38</v>
      </c>
      <c r="M21" s="31">
        <v>1888.38</v>
      </c>
      <c r="N21" s="31">
        <v>1888.38</v>
      </c>
      <c r="O21" s="31">
        <v>1888.38</v>
      </c>
      <c r="P21" s="59">
        <f>SUM(D21:O21)</f>
        <v>22656.1</v>
      </c>
      <c r="U21" s="47"/>
    </row>
    <row r="22" spans="2:21" x14ac:dyDescent="0.25">
      <c r="B22" s="119"/>
      <c r="C22" s="107" t="s">
        <v>14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57"/>
      <c r="U22" s="46"/>
    </row>
    <row r="23" spans="2:21" ht="15" customHeight="1" x14ac:dyDescent="0.25">
      <c r="B23" s="119"/>
      <c r="C23" s="108"/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59">
        <f>SUM(D23:O23)</f>
        <v>0</v>
      </c>
      <c r="Q23" s="40"/>
    </row>
    <row r="24" spans="2:21" ht="15" customHeight="1" x14ac:dyDescent="0.25">
      <c r="B24" s="120"/>
      <c r="C24" s="39" t="s">
        <v>0</v>
      </c>
      <c r="D24" s="10">
        <f t="shared" ref="D24:P24" si="1">SUM(D21,D23)</f>
        <v>1883.66</v>
      </c>
      <c r="E24" s="10">
        <f t="shared" si="1"/>
        <v>1883.66</v>
      </c>
      <c r="F24" s="10">
        <f t="shared" si="1"/>
        <v>1888.38</v>
      </c>
      <c r="G24" s="10">
        <f t="shared" si="1"/>
        <v>1893.36</v>
      </c>
      <c r="H24" s="10">
        <f t="shared" si="1"/>
        <v>1888.38</v>
      </c>
      <c r="I24" s="10">
        <f t="shared" si="1"/>
        <v>1888.38</v>
      </c>
      <c r="J24" s="10">
        <f t="shared" si="1"/>
        <v>1888.38</v>
      </c>
      <c r="K24" s="10">
        <f t="shared" si="1"/>
        <v>1888.38</v>
      </c>
      <c r="L24" s="10">
        <f t="shared" si="1"/>
        <v>1888.38</v>
      </c>
      <c r="M24" s="10">
        <f t="shared" si="1"/>
        <v>1888.38</v>
      </c>
      <c r="N24" s="10">
        <f t="shared" si="1"/>
        <v>1888.38</v>
      </c>
      <c r="O24" s="10">
        <f t="shared" si="1"/>
        <v>1888.38</v>
      </c>
      <c r="P24" s="10">
        <f t="shared" si="1"/>
        <v>22656.1</v>
      </c>
      <c r="Q24" s="41"/>
    </row>
    <row r="25" spans="2:21" x14ac:dyDescent="0.25">
      <c r="B25" s="121" t="s">
        <v>24</v>
      </c>
      <c r="C25" s="104" t="s">
        <v>32</v>
      </c>
      <c r="D25" s="30">
        <v>43506</v>
      </c>
      <c r="E25" s="30">
        <v>43533</v>
      </c>
      <c r="F25" s="30">
        <v>43554</v>
      </c>
      <c r="G25" s="30">
        <v>43585</v>
      </c>
      <c r="H25" s="30">
        <v>43617</v>
      </c>
      <c r="I25" s="30">
        <v>43654</v>
      </c>
      <c r="J25" s="33">
        <v>43687</v>
      </c>
      <c r="K25" s="30">
        <v>43715</v>
      </c>
      <c r="L25" s="30">
        <v>43746</v>
      </c>
      <c r="M25" s="30">
        <v>43771</v>
      </c>
      <c r="N25" s="30">
        <v>43804</v>
      </c>
      <c r="O25" s="30">
        <v>43825</v>
      </c>
      <c r="P25" s="58">
        <v>43828</v>
      </c>
      <c r="Q25" s="41"/>
      <c r="S25" s="34"/>
    </row>
    <row r="26" spans="2:21" x14ac:dyDescent="0.25">
      <c r="B26" s="122"/>
      <c r="C26" s="105"/>
      <c r="D26" s="31">
        <v>0</v>
      </c>
      <c r="E26" s="31">
        <v>78.44</v>
      </c>
      <c r="F26" s="31">
        <v>0</v>
      </c>
      <c r="G26" s="31">
        <v>244.05</v>
      </c>
      <c r="H26" s="31">
        <v>486.24</v>
      </c>
      <c r="I26" s="31">
        <v>445.48</v>
      </c>
      <c r="J26" s="31">
        <v>5.5</v>
      </c>
      <c r="K26" s="31">
        <v>0</v>
      </c>
      <c r="L26" s="44">
        <v>23.99</v>
      </c>
      <c r="M26" s="31">
        <v>61.16</v>
      </c>
      <c r="N26" s="31">
        <v>824.53</v>
      </c>
      <c r="O26" s="31">
        <v>0</v>
      </c>
      <c r="P26" s="59">
        <f>SUM(D26:O26)</f>
        <v>2169.39</v>
      </c>
      <c r="Q26" s="40"/>
    </row>
    <row r="27" spans="2:21" x14ac:dyDescent="0.25">
      <c r="B27" s="122"/>
      <c r="C27" s="104" t="s">
        <v>33</v>
      </c>
      <c r="D27" s="30">
        <v>43506</v>
      </c>
      <c r="E27" s="30">
        <v>43533</v>
      </c>
      <c r="F27" s="30">
        <v>43554</v>
      </c>
      <c r="G27" s="30">
        <v>43585</v>
      </c>
      <c r="H27" s="30">
        <v>43617</v>
      </c>
      <c r="I27" s="30">
        <v>43653</v>
      </c>
      <c r="J27" s="33">
        <v>43687</v>
      </c>
      <c r="K27" s="30">
        <v>43715</v>
      </c>
      <c r="L27" s="30">
        <v>43746</v>
      </c>
      <c r="M27" s="30">
        <v>43771</v>
      </c>
      <c r="N27" s="30">
        <v>43804</v>
      </c>
      <c r="O27" s="30">
        <v>43825</v>
      </c>
      <c r="P27" s="58">
        <v>43828</v>
      </c>
      <c r="Q27" s="41"/>
      <c r="R27" s="34"/>
    </row>
    <row r="28" spans="2:21" x14ac:dyDescent="0.25">
      <c r="B28" s="122"/>
      <c r="C28" s="105"/>
      <c r="D28" s="31">
        <v>251.35</v>
      </c>
      <c r="E28" s="31">
        <f>380.03+64.32</f>
        <v>444.35</v>
      </c>
      <c r="F28" s="31">
        <v>221.95</v>
      </c>
      <c r="G28" s="31">
        <v>99.68</v>
      </c>
      <c r="H28" s="31">
        <v>0</v>
      </c>
      <c r="I28" s="31">
        <v>0</v>
      </c>
      <c r="J28" s="31">
        <f>136.9+278.61</f>
        <v>415.51</v>
      </c>
      <c r="K28" s="31">
        <v>74.95</v>
      </c>
      <c r="L28" s="31">
        <f>9.52+500</f>
        <v>509.52</v>
      </c>
      <c r="M28" s="31">
        <v>0</v>
      </c>
      <c r="N28" s="31">
        <v>83.17</v>
      </c>
      <c r="O28" s="31">
        <v>305.08999999999997</v>
      </c>
      <c r="P28" s="59">
        <f>SUM(D28:O28)</f>
        <v>2405.5700000000002</v>
      </c>
      <c r="Q28" s="40"/>
    </row>
    <row r="29" spans="2:21" x14ac:dyDescent="0.25">
      <c r="B29" s="122"/>
      <c r="C29" s="104" t="s">
        <v>34</v>
      </c>
      <c r="D29" s="30">
        <v>43506</v>
      </c>
      <c r="E29" s="30">
        <v>43533</v>
      </c>
      <c r="F29" s="30">
        <v>43554</v>
      </c>
      <c r="G29" s="30">
        <v>43585</v>
      </c>
      <c r="H29" s="30">
        <v>43617</v>
      </c>
      <c r="I29" s="30">
        <v>43653</v>
      </c>
      <c r="J29" s="33">
        <v>43687</v>
      </c>
      <c r="K29" s="30">
        <v>43715</v>
      </c>
      <c r="L29" s="30">
        <v>43746</v>
      </c>
      <c r="M29" s="30">
        <v>43771</v>
      </c>
      <c r="N29" s="30">
        <v>43804</v>
      </c>
      <c r="O29" s="30">
        <v>43825</v>
      </c>
      <c r="P29" s="58">
        <v>43828</v>
      </c>
      <c r="Q29" s="41"/>
    </row>
    <row r="30" spans="2:21" x14ac:dyDescent="0.25">
      <c r="B30" s="122"/>
      <c r="C30" s="105"/>
      <c r="D30" s="31">
        <v>46.77</v>
      </c>
      <c r="E30" s="31">
        <v>0</v>
      </c>
      <c r="F30" s="31">
        <v>0</v>
      </c>
      <c r="G30" s="31">
        <v>52.6</v>
      </c>
      <c r="H30" s="31">
        <v>0</v>
      </c>
      <c r="I30" s="31">
        <v>0.01</v>
      </c>
      <c r="J30" s="31">
        <v>0</v>
      </c>
      <c r="K30" s="31">
        <v>0</v>
      </c>
      <c r="L30" s="31">
        <v>0</v>
      </c>
      <c r="M30" s="31">
        <v>62.13</v>
      </c>
      <c r="N30" s="31">
        <v>10.42</v>
      </c>
      <c r="O30" s="31">
        <v>40.520000000000003</v>
      </c>
      <c r="P30" s="59">
        <f>SUM(D30:O30)</f>
        <v>212.45</v>
      </c>
      <c r="Q30" s="40"/>
      <c r="T30" s="34"/>
    </row>
    <row r="31" spans="2:21" ht="15" customHeight="1" x14ac:dyDescent="0.25">
      <c r="B31" s="122"/>
      <c r="C31" s="104" t="s">
        <v>50</v>
      </c>
      <c r="D31" s="30">
        <v>43506</v>
      </c>
      <c r="E31" s="30">
        <v>43533</v>
      </c>
      <c r="F31" s="30">
        <v>43554</v>
      </c>
      <c r="G31" s="30">
        <v>43585</v>
      </c>
      <c r="H31" s="30">
        <v>43617</v>
      </c>
      <c r="I31" s="30">
        <v>43653</v>
      </c>
      <c r="J31" s="33">
        <v>43687</v>
      </c>
      <c r="K31" s="30">
        <v>43715</v>
      </c>
      <c r="L31" s="30"/>
      <c r="M31" s="30"/>
      <c r="N31" s="30"/>
      <c r="O31" s="30"/>
      <c r="P31" s="58">
        <v>43828</v>
      </c>
      <c r="Q31" s="41"/>
      <c r="T31" s="34"/>
    </row>
    <row r="32" spans="2:21" x14ac:dyDescent="0.25">
      <c r="B32" s="122"/>
      <c r="C32" s="105"/>
      <c r="D32" s="44">
        <v>0</v>
      </c>
      <c r="E32" s="44">
        <v>0</v>
      </c>
      <c r="F32" s="44">
        <v>0</v>
      </c>
      <c r="G32" s="44">
        <v>1031.73</v>
      </c>
      <c r="H32" s="44">
        <v>0</v>
      </c>
      <c r="I32" s="44">
        <v>258.29000000000002</v>
      </c>
      <c r="J32" s="44">
        <v>77.39</v>
      </c>
      <c r="K32" s="44">
        <v>64.89</v>
      </c>
      <c r="L32" s="44">
        <v>0</v>
      </c>
      <c r="M32" s="44">
        <v>0</v>
      </c>
      <c r="N32" s="44">
        <v>0</v>
      </c>
      <c r="O32" s="44">
        <v>0</v>
      </c>
      <c r="P32" s="60">
        <f>SUM(D32:O32)</f>
        <v>1432.3</v>
      </c>
      <c r="Q32" s="40"/>
      <c r="T32" s="34"/>
    </row>
    <row r="33" spans="2:20" ht="15" customHeight="1" x14ac:dyDescent="0.25">
      <c r="B33" s="122"/>
      <c r="C33" s="104" t="s">
        <v>43</v>
      </c>
      <c r="D33" s="30">
        <v>43506</v>
      </c>
      <c r="E33" s="30">
        <v>43533</v>
      </c>
      <c r="F33" s="30">
        <v>43554</v>
      </c>
      <c r="G33" s="30">
        <v>43585</v>
      </c>
      <c r="H33" s="30">
        <v>43617</v>
      </c>
      <c r="I33" s="30">
        <v>43654</v>
      </c>
      <c r="J33" s="33">
        <v>43672</v>
      </c>
      <c r="K33" s="30">
        <v>43715</v>
      </c>
      <c r="L33" s="30">
        <v>43746</v>
      </c>
      <c r="M33" s="30">
        <v>43771</v>
      </c>
      <c r="N33" s="30">
        <v>43804</v>
      </c>
      <c r="O33" s="30">
        <v>43825</v>
      </c>
      <c r="P33" s="58">
        <v>43828</v>
      </c>
      <c r="Q33" s="41"/>
      <c r="T33" s="34"/>
    </row>
    <row r="34" spans="2:20" x14ac:dyDescent="0.25">
      <c r="B34" s="122"/>
      <c r="C34" s="105"/>
      <c r="D34" s="44">
        <v>209.97</v>
      </c>
      <c r="E34" s="44">
        <v>209.43</v>
      </c>
      <c r="F34" s="44">
        <v>1820.76</v>
      </c>
      <c r="G34" s="44">
        <f>1317.56-G59</f>
        <v>1113.82</v>
      </c>
      <c r="H34" s="44">
        <f>1415.08-H59</f>
        <v>535.04</v>
      </c>
      <c r="I34" s="44">
        <f>133.55-I59</f>
        <v>-622.72</v>
      </c>
      <c r="J34" s="44">
        <f>6499.27-J59</f>
        <v>56.259999999999302</v>
      </c>
      <c r="K34" s="44">
        <f>4913.64-K59</f>
        <v>413.64</v>
      </c>
      <c r="L34" s="31">
        <v>273.72000000000003</v>
      </c>
      <c r="M34" s="44">
        <v>197.71</v>
      </c>
      <c r="N34" s="44">
        <v>183.58</v>
      </c>
      <c r="O34" s="44">
        <v>231.93</v>
      </c>
      <c r="P34" s="60">
        <f>SUM(D34:O34)</f>
        <v>4623.1400000000003</v>
      </c>
      <c r="Q34" s="40"/>
      <c r="T34" s="34"/>
    </row>
    <row r="35" spans="2:20" x14ac:dyDescent="0.25">
      <c r="B35" s="122"/>
      <c r="C35" s="104" t="s">
        <v>44</v>
      </c>
      <c r="D35" s="30">
        <v>43506</v>
      </c>
      <c r="E35" s="30">
        <v>43533</v>
      </c>
      <c r="F35" s="30">
        <v>43548</v>
      </c>
      <c r="G35" s="30">
        <v>43574</v>
      </c>
      <c r="H35" s="30">
        <v>43617</v>
      </c>
      <c r="I35" s="30">
        <v>43654</v>
      </c>
      <c r="J35" s="33">
        <v>43687</v>
      </c>
      <c r="K35" s="30">
        <v>43715</v>
      </c>
      <c r="L35" s="30">
        <v>43746</v>
      </c>
      <c r="M35" s="30">
        <v>43771</v>
      </c>
      <c r="N35" s="30">
        <v>43804</v>
      </c>
      <c r="O35" s="30">
        <v>43825</v>
      </c>
      <c r="P35" s="58">
        <v>43828</v>
      </c>
      <c r="Q35" s="41"/>
      <c r="T35" s="34"/>
    </row>
    <row r="36" spans="2:20" x14ac:dyDescent="0.25">
      <c r="B36" s="122"/>
      <c r="C36" s="105"/>
      <c r="D36" s="31">
        <f>2078.42+2048.73-D4-D16-D55-D61-D63</f>
        <v>1377.86</v>
      </c>
      <c r="E36" s="31">
        <f>2206.78 + 426.04 -E63 - E61- E4- E16 - D18 - D8</f>
        <v>186.33</v>
      </c>
      <c r="F36" s="31">
        <f>1491.01-F63-F4-F16-E18-E8</f>
        <v>314.76</v>
      </c>
      <c r="G36" s="31">
        <f>1103.48 - G4-G16-G63-F8</f>
        <v>-197.28</v>
      </c>
      <c r="H36" s="31">
        <f>2198.65-H4-H63-H14-H16-G8</f>
        <v>655.74</v>
      </c>
      <c r="I36" s="31">
        <f>2734.39-I4-I63-I61-I16</f>
        <v>825.29</v>
      </c>
      <c r="J36" s="31">
        <f>1620.92+1059.24-J61-J63-J4-J16-I8-J65</f>
        <v>139.08000000000001</v>
      </c>
      <c r="K36" s="31">
        <f>1583-K4-K16-J8-K63</f>
        <v>459.06</v>
      </c>
      <c r="L36" s="31">
        <f>2161.66-L63-L4-L16</f>
        <v>642.04999999999905</v>
      </c>
      <c r="M36" s="31">
        <f>1529.22-M63-M4-M16-L8</f>
        <v>483.73</v>
      </c>
      <c r="N36" s="31">
        <f>2526.9-N63-N16-N4</f>
        <v>927.72</v>
      </c>
      <c r="O36" s="31">
        <f>169.7+1237.98-O16-O4-N8-O63-O61</f>
        <v>608.07000000000005</v>
      </c>
      <c r="P36" s="60">
        <f>SUM(D36:O36)</f>
        <v>6422.41</v>
      </c>
      <c r="Q36" s="40"/>
      <c r="T36" s="34"/>
    </row>
    <row r="37" spans="2:20" x14ac:dyDescent="0.25">
      <c r="B37" s="122"/>
      <c r="C37" s="104" t="s">
        <v>40</v>
      </c>
      <c r="D37" s="30">
        <v>43506</v>
      </c>
      <c r="E37" s="30">
        <v>43533</v>
      </c>
      <c r="F37" s="30">
        <v>43554</v>
      </c>
      <c r="G37" s="30">
        <v>43585</v>
      </c>
      <c r="H37" s="30">
        <v>43617</v>
      </c>
      <c r="I37" s="30"/>
      <c r="J37" s="33">
        <v>43687</v>
      </c>
      <c r="K37" s="30">
        <v>43715</v>
      </c>
      <c r="L37" s="30"/>
      <c r="M37" s="30">
        <v>43771</v>
      </c>
      <c r="N37" s="30">
        <v>43804</v>
      </c>
      <c r="O37" s="30">
        <v>43825</v>
      </c>
      <c r="P37" s="58">
        <v>43828</v>
      </c>
      <c r="Q37" s="41"/>
      <c r="T37" s="34"/>
    </row>
    <row r="38" spans="2:20" x14ac:dyDescent="0.25">
      <c r="B38" s="122"/>
      <c r="C38" s="105"/>
      <c r="D38" s="31">
        <v>0</v>
      </c>
      <c r="E38" s="31">
        <v>6.96</v>
      </c>
      <c r="F38" s="31">
        <v>0</v>
      </c>
      <c r="G38" s="31">
        <v>0</v>
      </c>
      <c r="H38" s="31">
        <v>31.13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175</v>
      </c>
      <c r="O38" s="31">
        <v>1.84</v>
      </c>
      <c r="P38" s="60">
        <f>SUM(D38:O38)</f>
        <v>214.93</v>
      </c>
      <c r="Q38" s="40"/>
      <c r="T38" s="34"/>
    </row>
    <row r="39" spans="2:20" ht="15" customHeight="1" x14ac:dyDescent="0.25">
      <c r="B39" s="122"/>
      <c r="C39" s="104" t="s">
        <v>35</v>
      </c>
      <c r="D39" s="30">
        <v>43506</v>
      </c>
      <c r="E39" s="30">
        <v>43533</v>
      </c>
      <c r="F39" s="30">
        <v>43554</v>
      </c>
      <c r="G39" s="30">
        <v>43585</v>
      </c>
      <c r="H39" s="30">
        <v>43617</v>
      </c>
      <c r="I39" s="30">
        <v>43654</v>
      </c>
      <c r="J39" s="33">
        <v>43687</v>
      </c>
      <c r="K39" s="30">
        <v>43715</v>
      </c>
      <c r="L39" s="30">
        <v>43746</v>
      </c>
      <c r="M39" s="30">
        <v>43771</v>
      </c>
      <c r="N39" s="30">
        <v>43804</v>
      </c>
      <c r="O39" s="30">
        <v>43825</v>
      </c>
      <c r="P39" s="58">
        <v>43828</v>
      </c>
      <c r="Q39" s="41"/>
    </row>
    <row r="40" spans="2:20" x14ac:dyDescent="0.25">
      <c r="B40" s="122"/>
      <c r="C40" s="105"/>
      <c r="D40" s="31">
        <v>0</v>
      </c>
      <c r="E40" s="31">
        <v>0</v>
      </c>
      <c r="F40" s="31">
        <v>41.21</v>
      </c>
      <c r="G40" s="31">
        <v>125.42</v>
      </c>
      <c r="H40" s="31">
        <v>28.64</v>
      </c>
      <c r="I40" s="31">
        <v>0</v>
      </c>
      <c r="J40" s="31">
        <v>61.92</v>
      </c>
      <c r="K40" s="31">
        <v>0</v>
      </c>
      <c r="L40" s="31">
        <v>79.64</v>
      </c>
      <c r="M40" s="31">
        <v>0</v>
      </c>
      <c r="N40" s="31">
        <v>185.72</v>
      </c>
      <c r="O40" s="31">
        <v>0</v>
      </c>
      <c r="P40" s="59">
        <f>SUM(D40:O40)</f>
        <v>522.54999999999995</v>
      </c>
      <c r="Q40" s="40"/>
    </row>
    <row r="41" spans="2:20" x14ac:dyDescent="0.25">
      <c r="B41" s="122"/>
      <c r="C41" s="117" t="s">
        <v>36</v>
      </c>
      <c r="D41" s="30">
        <v>43506</v>
      </c>
      <c r="E41" s="30">
        <v>43533</v>
      </c>
      <c r="F41" s="30">
        <v>43554</v>
      </c>
      <c r="G41" s="30">
        <v>43585</v>
      </c>
      <c r="H41" s="30">
        <v>43617</v>
      </c>
      <c r="I41" s="30">
        <v>43653</v>
      </c>
      <c r="J41" s="33">
        <v>43687</v>
      </c>
      <c r="K41" s="30">
        <v>43715</v>
      </c>
      <c r="L41" s="30">
        <v>43746</v>
      </c>
      <c r="M41" s="30">
        <v>43771</v>
      </c>
      <c r="N41" s="30">
        <v>43804</v>
      </c>
      <c r="O41" s="30">
        <v>43825</v>
      </c>
      <c r="P41" s="58">
        <v>43828</v>
      </c>
      <c r="Q41" s="41"/>
    </row>
    <row r="42" spans="2:20" x14ac:dyDescent="0.25">
      <c r="B42" s="122"/>
      <c r="C42" s="117"/>
      <c r="D42" s="31">
        <v>0</v>
      </c>
      <c r="E42" s="31">
        <v>0</v>
      </c>
      <c r="F42" s="31">
        <v>75.81</v>
      </c>
      <c r="G42" s="31">
        <v>84.01</v>
      </c>
      <c r="H42" s="31">
        <v>18.98</v>
      </c>
      <c r="I42" s="31">
        <v>88.52</v>
      </c>
      <c r="J42" s="31">
        <v>0</v>
      </c>
      <c r="K42" s="31">
        <v>0</v>
      </c>
      <c r="L42" s="31">
        <v>102.65</v>
      </c>
      <c r="M42" s="31">
        <v>0</v>
      </c>
      <c r="N42" s="31">
        <v>0</v>
      </c>
      <c r="O42" s="31">
        <v>0</v>
      </c>
      <c r="P42" s="59">
        <f>SUM(D42:O42)</f>
        <v>369.97</v>
      </c>
      <c r="Q42" s="40"/>
    </row>
    <row r="43" spans="2:20" ht="15" customHeight="1" x14ac:dyDescent="0.25">
      <c r="B43" s="122"/>
      <c r="C43" s="124" t="s">
        <v>37</v>
      </c>
      <c r="D43" s="30">
        <v>43506</v>
      </c>
      <c r="E43" s="30">
        <v>43533</v>
      </c>
      <c r="F43" s="30">
        <v>43554</v>
      </c>
      <c r="G43" s="30">
        <v>43585</v>
      </c>
      <c r="H43" s="30">
        <v>43617</v>
      </c>
      <c r="I43" s="30">
        <v>43654</v>
      </c>
      <c r="J43" s="33">
        <v>43687</v>
      </c>
      <c r="K43" s="30">
        <v>43715</v>
      </c>
      <c r="L43" s="30">
        <v>43746</v>
      </c>
      <c r="M43" s="30">
        <v>43771</v>
      </c>
      <c r="N43" s="30">
        <v>43804</v>
      </c>
      <c r="O43" s="30">
        <v>43825</v>
      </c>
      <c r="P43" s="58">
        <v>43828</v>
      </c>
    </row>
    <row r="44" spans="2:20" x14ac:dyDescent="0.25">
      <c r="B44" s="122"/>
      <c r="C44" s="105"/>
      <c r="D44" s="31">
        <f>33.87+234.09</f>
        <v>267.95999999999998</v>
      </c>
      <c r="E44" s="31">
        <v>0</v>
      </c>
      <c r="F44" s="31">
        <v>0</v>
      </c>
      <c r="G44" s="31">
        <v>0</v>
      </c>
      <c r="H44" s="31">
        <v>0</v>
      </c>
      <c r="I44" s="31">
        <v>98.74</v>
      </c>
      <c r="J44" s="31">
        <v>435.81</v>
      </c>
      <c r="K44" s="31">
        <v>230.81</v>
      </c>
      <c r="L44" s="31">
        <v>522.54</v>
      </c>
      <c r="M44" s="31">
        <v>400.52</v>
      </c>
      <c r="N44" s="31">
        <v>480.92</v>
      </c>
      <c r="O44" s="31">
        <v>327.84</v>
      </c>
      <c r="P44" s="59">
        <f>SUM(D44:O44)</f>
        <v>2765.14</v>
      </c>
      <c r="Q44" s="40"/>
    </row>
    <row r="45" spans="2:20" x14ac:dyDescent="0.25">
      <c r="B45" s="122"/>
      <c r="C45" s="104" t="s">
        <v>48</v>
      </c>
      <c r="D45" s="30">
        <v>43506</v>
      </c>
      <c r="E45" s="30">
        <v>43533</v>
      </c>
      <c r="F45" s="30">
        <v>43554</v>
      </c>
      <c r="G45" s="30">
        <v>43585</v>
      </c>
      <c r="H45" s="30">
        <v>43617</v>
      </c>
      <c r="I45" s="30">
        <v>43654</v>
      </c>
      <c r="J45" s="33">
        <v>43687</v>
      </c>
      <c r="K45" s="30">
        <v>43715</v>
      </c>
      <c r="L45" s="30">
        <v>43746</v>
      </c>
      <c r="M45" s="30">
        <v>43771</v>
      </c>
      <c r="N45" s="30">
        <v>43804</v>
      </c>
      <c r="O45" s="30">
        <v>43825</v>
      </c>
      <c r="P45" s="58">
        <v>43828</v>
      </c>
      <c r="Q45" s="34"/>
    </row>
    <row r="46" spans="2:20" x14ac:dyDescent="0.25">
      <c r="B46" s="122"/>
      <c r="C46" s="105"/>
      <c r="D46" s="44">
        <v>0</v>
      </c>
      <c r="E46" s="44">
        <v>0</v>
      </c>
      <c r="F46" s="44">
        <v>32.54</v>
      </c>
      <c r="G46" s="44">
        <v>67.84</v>
      </c>
      <c r="H46" s="44">
        <v>0</v>
      </c>
      <c r="I46" s="44">
        <v>0</v>
      </c>
      <c r="J46" s="44">
        <v>195.62</v>
      </c>
      <c r="K46" s="44">
        <v>0</v>
      </c>
      <c r="L46" s="44">
        <v>0</v>
      </c>
      <c r="M46" s="44">
        <v>27.5</v>
      </c>
      <c r="N46" s="44">
        <v>0</v>
      </c>
      <c r="O46" s="44">
        <v>0</v>
      </c>
      <c r="P46" s="59">
        <f>SUM(D46:O46)</f>
        <v>323.5</v>
      </c>
      <c r="Q46" s="34"/>
    </row>
    <row r="47" spans="2:20" x14ac:dyDescent="0.25">
      <c r="B47" s="122"/>
      <c r="C47" s="104" t="s">
        <v>39</v>
      </c>
      <c r="D47" s="30">
        <v>43506</v>
      </c>
      <c r="E47" s="30">
        <v>43533</v>
      </c>
      <c r="F47" s="30">
        <v>43554</v>
      </c>
      <c r="G47" s="30">
        <v>43585</v>
      </c>
      <c r="H47" s="30">
        <v>43617</v>
      </c>
      <c r="I47" s="30"/>
      <c r="J47" s="33">
        <v>43687</v>
      </c>
      <c r="K47" s="30"/>
      <c r="L47" s="30"/>
      <c r="M47" s="30"/>
      <c r="N47" s="30"/>
      <c r="O47" s="30"/>
      <c r="P47" s="58"/>
    </row>
    <row r="48" spans="2:20" x14ac:dyDescent="0.25">
      <c r="B48" s="122"/>
      <c r="C48" s="105"/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59">
        <f>SUM(D48:O48)</f>
        <v>0</v>
      </c>
      <c r="Q48" s="40"/>
    </row>
    <row r="49" spans="2:18" x14ac:dyDescent="0.25">
      <c r="B49" s="122"/>
      <c r="C49" s="104" t="s">
        <v>49</v>
      </c>
      <c r="D49" s="30">
        <v>43506</v>
      </c>
      <c r="E49" s="30">
        <v>43533</v>
      </c>
      <c r="F49" s="30">
        <v>43554</v>
      </c>
      <c r="G49" s="30">
        <v>43585</v>
      </c>
      <c r="H49" s="30">
        <v>43617</v>
      </c>
      <c r="I49" s="30">
        <v>43653</v>
      </c>
      <c r="J49" s="33">
        <v>43687</v>
      </c>
      <c r="K49" s="30">
        <v>43715</v>
      </c>
      <c r="L49" s="30">
        <v>43746</v>
      </c>
      <c r="M49" s="30">
        <v>43771</v>
      </c>
      <c r="N49" s="30">
        <v>43804</v>
      </c>
      <c r="O49" s="30">
        <v>43828</v>
      </c>
      <c r="P49" s="58">
        <v>43828</v>
      </c>
      <c r="Q49" s="34"/>
    </row>
    <row r="50" spans="2:18" x14ac:dyDescent="0.25">
      <c r="B50" s="122"/>
      <c r="C50" s="105"/>
      <c r="D50" s="31">
        <v>92.51</v>
      </c>
      <c r="E50" s="31">
        <v>0</v>
      </c>
      <c r="F50" s="31">
        <v>0</v>
      </c>
      <c r="G50" s="31">
        <v>22.51</v>
      </c>
      <c r="H50" s="31">
        <v>15.77</v>
      </c>
      <c r="I50" s="31">
        <v>10.75</v>
      </c>
      <c r="J50" s="31">
        <v>28.79</v>
      </c>
      <c r="K50" s="31">
        <v>0</v>
      </c>
      <c r="L50" s="31">
        <v>22.02</v>
      </c>
      <c r="M50" s="31">
        <v>0</v>
      </c>
      <c r="N50" s="31">
        <v>0</v>
      </c>
      <c r="O50" s="31">
        <v>121.61</v>
      </c>
      <c r="P50" s="59">
        <f>SUM(D50:O50)</f>
        <v>313.95999999999998</v>
      </c>
      <c r="Q50" s="34"/>
    </row>
    <row r="51" spans="2:18" ht="15" customHeight="1" x14ac:dyDescent="0.25">
      <c r="B51" s="123"/>
      <c r="C51" s="37" t="s">
        <v>0</v>
      </c>
      <c r="D51" s="10">
        <f t="shared" ref="D51:P51" si="2">SUM(D26,D28,D30,D32,D34,D36,D38,D40,D42,D44,D46,D48,D50)</f>
        <v>2246.42</v>
      </c>
      <c r="E51" s="10">
        <f t="shared" si="2"/>
        <v>925.51</v>
      </c>
      <c r="F51" s="10">
        <f t="shared" si="2"/>
        <v>2507.0300000000002</v>
      </c>
      <c r="G51" s="10">
        <f t="shared" si="2"/>
        <v>2644.38</v>
      </c>
      <c r="H51" s="10">
        <f t="shared" si="2"/>
        <v>1771.54</v>
      </c>
      <c r="I51" s="10">
        <f t="shared" si="2"/>
        <v>1104.3599999999999</v>
      </c>
      <c r="J51" s="10">
        <f t="shared" si="2"/>
        <v>1415.88</v>
      </c>
      <c r="K51" s="10">
        <f t="shared" si="2"/>
        <v>1243.3499999999999</v>
      </c>
      <c r="L51" s="10">
        <f t="shared" si="2"/>
        <v>2176.13</v>
      </c>
      <c r="M51" s="10">
        <f t="shared" si="2"/>
        <v>1232.75</v>
      </c>
      <c r="N51" s="10">
        <f t="shared" si="2"/>
        <v>2871.06</v>
      </c>
      <c r="O51" s="10">
        <f t="shared" si="2"/>
        <v>1636.9</v>
      </c>
      <c r="P51" s="10">
        <f t="shared" si="2"/>
        <v>21775.31</v>
      </c>
      <c r="Q51" s="34"/>
    </row>
    <row r="52" spans="2:18" ht="15" customHeight="1" x14ac:dyDescent="0.25">
      <c r="B52" s="111" t="s">
        <v>25</v>
      </c>
      <c r="C52" s="103" t="s">
        <v>16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57"/>
      <c r="P52" s="58">
        <v>43828</v>
      </c>
    </row>
    <row r="53" spans="2:18" x14ac:dyDescent="0.25">
      <c r="B53" s="112"/>
      <c r="C53" s="103"/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59">
        <v>415</v>
      </c>
      <c r="P53" s="59">
        <f>SUM(D53:O53)</f>
        <v>415</v>
      </c>
    </row>
    <row r="54" spans="2:18" x14ac:dyDescent="0.25">
      <c r="B54" s="112"/>
      <c r="C54" s="103" t="s">
        <v>45</v>
      </c>
      <c r="D54" s="30">
        <v>43479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58">
        <v>43828</v>
      </c>
    </row>
    <row r="55" spans="2:18" x14ac:dyDescent="0.25">
      <c r="B55" s="112"/>
      <c r="C55" s="103"/>
      <c r="D55" s="31">
        <v>1118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59">
        <f>SUM(D55:O55)</f>
        <v>1118</v>
      </c>
    </row>
    <row r="56" spans="2:18" x14ac:dyDescent="0.25">
      <c r="B56" s="112"/>
      <c r="C56" s="109" t="s">
        <v>42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58">
        <v>43828</v>
      </c>
    </row>
    <row r="57" spans="2:18" x14ac:dyDescent="0.25">
      <c r="B57" s="112"/>
      <c r="C57" s="110"/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59">
        <f>SUM(D57:O57)</f>
        <v>0</v>
      </c>
    </row>
    <row r="58" spans="2:18" x14ac:dyDescent="0.25">
      <c r="B58" s="112"/>
      <c r="C58" s="109" t="s">
        <v>51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58">
        <v>43828</v>
      </c>
    </row>
    <row r="59" spans="2:18" x14ac:dyDescent="0.25">
      <c r="B59" s="112"/>
      <c r="C59" s="110"/>
      <c r="D59" s="31">
        <v>0</v>
      </c>
      <c r="E59" s="31">
        <v>0</v>
      </c>
      <c r="F59" s="31">
        <v>0</v>
      </c>
      <c r="G59" s="31">
        <v>203.74</v>
      </c>
      <c r="H59" s="31">
        <f>454.33+425.71</f>
        <v>880.04</v>
      </c>
      <c r="I59" s="31">
        <f>556.27+200</f>
        <v>756.27</v>
      </c>
      <c r="J59" s="31">
        <f>134.62+322.5+440.85+5545.04</f>
        <v>6443.01</v>
      </c>
      <c r="K59" s="31">
        <v>4500</v>
      </c>
      <c r="L59" s="31">
        <v>0</v>
      </c>
      <c r="M59" s="31">
        <v>0</v>
      </c>
      <c r="N59" s="31">
        <v>0</v>
      </c>
      <c r="O59" s="31">
        <v>0</v>
      </c>
      <c r="P59" s="59">
        <f>SUM(D59:O59)</f>
        <v>12783.06</v>
      </c>
    </row>
    <row r="60" spans="2:18" x14ac:dyDescent="0.25">
      <c r="B60" s="112"/>
      <c r="C60" s="109" t="s">
        <v>47</v>
      </c>
      <c r="D60" s="30">
        <v>43506</v>
      </c>
      <c r="E60" s="30">
        <v>43533</v>
      </c>
      <c r="F60" s="30">
        <v>43554</v>
      </c>
      <c r="G60" s="30">
        <v>43585</v>
      </c>
      <c r="H60" s="30">
        <v>43617</v>
      </c>
      <c r="I60" s="30">
        <v>43654</v>
      </c>
      <c r="J60" s="30">
        <v>43687</v>
      </c>
      <c r="K60" s="30">
        <v>43675</v>
      </c>
      <c r="L60" s="30"/>
      <c r="M60" s="30"/>
      <c r="N60" s="30"/>
      <c r="O60" s="30">
        <v>43808</v>
      </c>
      <c r="P60" s="58">
        <v>43828</v>
      </c>
    </row>
    <row r="61" spans="2:18" x14ac:dyDescent="0.25">
      <c r="B61" s="112"/>
      <c r="C61" s="110"/>
      <c r="D61" s="31">
        <f>39+94.33+37+26.39</f>
        <v>196.72</v>
      </c>
      <c r="E61" s="31">
        <f>32.26+868.2+42.72</f>
        <v>943.18</v>
      </c>
      <c r="F61" s="31">
        <v>0</v>
      </c>
      <c r="G61" s="31">
        <v>0</v>
      </c>
      <c r="H61" s="31">
        <v>0</v>
      </c>
      <c r="I61" s="31">
        <v>110.86</v>
      </c>
      <c r="J61" s="31">
        <v>87.73</v>
      </c>
      <c r="K61" s="31">
        <v>0</v>
      </c>
      <c r="L61" s="31">
        <v>0</v>
      </c>
      <c r="M61" s="31">
        <v>0</v>
      </c>
      <c r="N61" s="31">
        <v>170</v>
      </c>
      <c r="O61" s="31">
        <v>169.08</v>
      </c>
      <c r="P61" s="59">
        <f>SUM(D61:O61)</f>
        <v>1677.57</v>
      </c>
    </row>
    <row r="62" spans="2:18" x14ac:dyDescent="0.25">
      <c r="B62" s="112"/>
      <c r="C62" s="109" t="s">
        <v>30</v>
      </c>
      <c r="D62" s="30">
        <v>43506</v>
      </c>
      <c r="E62" s="30">
        <v>43533</v>
      </c>
      <c r="F62" s="30">
        <v>43524</v>
      </c>
      <c r="G62" s="30">
        <v>43554</v>
      </c>
      <c r="H62" s="30">
        <v>43617</v>
      </c>
      <c r="I62" s="30">
        <v>43654</v>
      </c>
      <c r="J62" s="33">
        <v>43687</v>
      </c>
      <c r="K62" s="30">
        <v>43715</v>
      </c>
      <c r="L62" s="30">
        <v>43712</v>
      </c>
      <c r="M62" s="30">
        <v>43771</v>
      </c>
      <c r="N62" s="30">
        <v>43804</v>
      </c>
      <c r="O62" s="30">
        <v>43799</v>
      </c>
      <c r="P62" s="58">
        <v>43828</v>
      </c>
    </row>
    <row r="63" spans="2:18" x14ac:dyDescent="0.25">
      <c r="B63" s="112"/>
      <c r="C63" s="110"/>
      <c r="D63" s="31">
        <f>291+291+291+291+88.28</f>
        <v>1252.28</v>
      </c>
      <c r="E63" s="31">
        <f>291*4</f>
        <v>1164</v>
      </c>
      <c r="F63" s="31">
        <f>291*3+16.2</f>
        <v>889.2</v>
      </c>
      <c r="G63" s="31">
        <f>386+156+271+271+39.95</f>
        <v>1123.95</v>
      </c>
      <c r="H63" s="31">
        <f>271+406+271+271</f>
        <v>1219</v>
      </c>
      <c r="I63" s="31">
        <f>444.8+567.8+444.8+281</f>
        <v>1738.4</v>
      </c>
      <c r="J63" s="31">
        <f>444.8+444.8+444.8+444.8+444.8</f>
        <v>2224</v>
      </c>
      <c r="K63" s="31">
        <f>444.8+444.8+60</f>
        <v>949.6</v>
      </c>
      <c r="L63" s="31">
        <f>245+245+143+245+245+67.5+63+51.5+57.38+64.13+39.38</f>
        <v>1465.89</v>
      </c>
      <c r="M63" s="31">
        <f>245+65.25+64.13+245+65.25+245</f>
        <v>929.63</v>
      </c>
      <c r="N63" s="31">
        <f>245+20.25+245+60.75+245+65.25+245+36+245+70.88</f>
        <v>1478.13</v>
      </c>
      <c r="O63" s="63">
        <f>47.25+245+60.75+51.5</f>
        <v>404.5</v>
      </c>
      <c r="P63" s="59">
        <f>SUM(D63:O63)</f>
        <v>14838.58</v>
      </c>
      <c r="R63" t="s">
        <v>52</v>
      </c>
    </row>
    <row r="64" spans="2:18" x14ac:dyDescent="0.25">
      <c r="B64" s="112"/>
      <c r="C64" s="109" t="s">
        <v>41</v>
      </c>
      <c r="D64" s="30"/>
      <c r="E64" s="30">
        <v>43533</v>
      </c>
      <c r="F64" s="30"/>
      <c r="G64" s="30"/>
      <c r="H64" s="30">
        <v>43617</v>
      </c>
      <c r="I64" s="30"/>
      <c r="J64" s="30">
        <v>43680</v>
      </c>
      <c r="K64" s="30"/>
      <c r="L64" s="30"/>
      <c r="M64" s="30"/>
      <c r="N64" s="30"/>
      <c r="O64" s="30"/>
      <c r="P64" s="58">
        <v>43828</v>
      </c>
    </row>
    <row r="65" spans="2:18" x14ac:dyDescent="0.25">
      <c r="B65" s="112"/>
      <c r="C65" s="110"/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120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59">
        <f>SUM(D65:O65)</f>
        <v>120</v>
      </c>
      <c r="Q65" s="34"/>
      <c r="R65" s="45"/>
    </row>
    <row r="66" spans="2:18" x14ac:dyDescent="0.25">
      <c r="B66" s="113"/>
      <c r="C66" s="38" t="s">
        <v>0</v>
      </c>
      <c r="D66" s="10">
        <f t="shared" ref="D66:P66" si="3">SUM(D53,D55,D57,D59,D61,D63,D65)</f>
        <v>2567</v>
      </c>
      <c r="E66" s="10">
        <f t="shared" si="3"/>
        <v>2107.1799999999998</v>
      </c>
      <c r="F66" s="10">
        <f t="shared" si="3"/>
        <v>889.2</v>
      </c>
      <c r="G66" s="10">
        <f t="shared" si="3"/>
        <v>1327.69</v>
      </c>
      <c r="H66" s="10">
        <f t="shared" si="3"/>
        <v>2099.04</v>
      </c>
      <c r="I66" s="10">
        <f t="shared" si="3"/>
        <v>2605.5300000000002</v>
      </c>
      <c r="J66" s="10">
        <f t="shared" si="3"/>
        <v>8874.74</v>
      </c>
      <c r="K66" s="10">
        <f t="shared" si="3"/>
        <v>5449.6</v>
      </c>
      <c r="L66" s="10">
        <f t="shared" si="3"/>
        <v>1465.89</v>
      </c>
      <c r="M66" s="10">
        <f t="shared" si="3"/>
        <v>929.63</v>
      </c>
      <c r="N66" s="10">
        <f t="shared" si="3"/>
        <v>1648.13</v>
      </c>
      <c r="O66" s="10">
        <f t="shared" si="3"/>
        <v>988.58</v>
      </c>
      <c r="P66" s="10">
        <f t="shared" si="3"/>
        <v>30952.21</v>
      </c>
    </row>
    <row r="67" spans="2:18" x14ac:dyDescent="0.25">
      <c r="C67" s="11" t="s">
        <v>0</v>
      </c>
      <c r="D67" s="12">
        <f t="shared" ref="D67:P67" si="4">SUM(D19,D24,D51,D66)</f>
        <v>7271.45</v>
      </c>
      <c r="E67" s="12">
        <f t="shared" si="4"/>
        <v>5546.48</v>
      </c>
      <c r="F67" s="12">
        <f t="shared" si="4"/>
        <v>5623.28</v>
      </c>
      <c r="G67" s="12">
        <f t="shared" si="4"/>
        <v>6151.9</v>
      </c>
      <c r="H67" s="12">
        <f t="shared" si="4"/>
        <v>6399.54</v>
      </c>
      <c r="I67" s="12">
        <f t="shared" si="4"/>
        <v>5873.44</v>
      </c>
      <c r="J67" s="12">
        <f t="shared" si="4"/>
        <v>12483.91</v>
      </c>
      <c r="K67" s="12">
        <f t="shared" si="4"/>
        <v>8874.41</v>
      </c>
      <c r="L67" s="12">
        <f t="shared" si="4"/>
        <v>5963.07</v>
      </c>
      <c r="M67" s="12">
        <f t="shared" si="4"/>
        <v>4304.04</v>
      </c>
      <c r="N67" s="12">
        <f t="shared" si="4"/>
        <v>6775.56</v>
      </c>
      <c r="O67" s="12">
        <f t="shared" si="4"/>
        <v>4994.3999999999996</v>
      </c>
      <c r="P67" s="56">
        <f t="shared" si="4"/>
        <v>80261.48</v>
      </c>
    </row>
    <row r="69" spans="2:18" x14ac:dyDescent="0.25">
      <c r="P69" s="34">
        <f>P67-N23</f>
        <v>80261.48</v>
      </c>
    </row>
  </sheetData>
  <mergeCells count="34">
    <mergeCell ref="B3:B19"/>
    <mergeCell ref="C3:C4"/>
    <mergeCell ref="C5:C6"/>
    <mergeCell ref="C7:C8"/>
    <mergeCell ref="C9:C10"/>
    <mergeCell ref="C11:C12"/>
    <mergeCell ref="C13:C14"/>
    <mergeCell ref="C15:C16"/>
    <mergeCell ref="C17:C18"/>
    <mergeCell ref="C47:C48"/>
    <mergeCell ref="B20:B24"/>
    <mergeCell ref="C20:C21"/>
    <mergeCell ref="C22:C23"/>
    <mergeCell ref="B25:B51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9:C50"/>
    <mergeCell ref="B52:B66"/>
    <mergeCell ref="C52:C53"/>
    <mergeCell ref="C54:C55"/>
    <mergeCell ref="C56:C57"/>
    <mergeCell ref="C58:C59"/>
    <mergeCell ref="C60:C61"/>
    <mergeCell ref="C62:C63"/>
    <mergeCell ref="C64:C6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6B3-2C81-4F7F-B2E4-544E362B077D}">
  <dimension ref="B2:U69"/>
  <sheetViews>
    <sheetView topLeftCell="A43" zoomScaleNormal="100" workbookViewId="0">
      <pane xSplit="3" topLeftCell="M1" activePane="topRight" state="frozen"/>
      <selection activeCell="A40" sqref="A40"/>
      <selection pane="topRight" activeCell="P31" sqref="P31"/>
    </sheetView>
  </sheetViews>
  <sheetFormatPr defaultRowHeight="15" x14ac:dyDescent="0.25"/>
  <cols>
    <col min="3" max="3" width="15" bestFit="1" customWidth="1"/>
    <col min="4" max="4" width="9.85546875" bestFit="1" customWidth="1"/>
    <col min="5" max="5" width="10.28515625" bestFit="1" customWidth="1"/>
    <col min="6" max="7" width="10.140625" bestFit="1" customWidth="1"/>
    <col min="8" max="9" width="10.85546875" bestFit="1" customWidth="1"/>
    <col min="10" max="10" width="10.140625" bestFit="1" customWidth="1"/>
    <col min="11" max="11" width="10.28515625" bestFit="1" customWidth="1"/>
    <col min="12" max="12" width="10.140625" bestFit="1" customWidth="1"/>
    <col min="13" max="13" width="10.7109375" bestFit="1" customWidth="1"/>
    <col min="14" max="16" width="11.140625" bestFit="1" customWidth="1"/>
    <col min="17" max="17" width="10.140625" bestFit="1" customWidth="1"/>
  </cols>
  <sheetData>
    <row r="2" spans="2:21" x14ac:dyDescent="0.25">
      <c r="C2" s="1"/>
      <c r="D2" s="13">
        <v>43831</v>
      </c>
      <c r="E2" s="13">
        <v>43862</v>
      </c>
      <c r="F2" s="13">
        <v>43891</v>
      </c>
      <c r="G2" s="13">
        <v>43922</v>
      </c>
      <c r="H2" s="13">
        <v>43952</v>
      </c>
      <c r="I2" s="13">
        <v>43983</v>
      </c>
      <c r="J2" s="13">
        <v>44013</v>
      </c>
      <c r="K2" s="13">
        <v>44044</v>
      </c>
      <c r="L2" s="13">
        <v>44075</v>
      </c>
      <c r="M2" s="13">
        <v>44105</v>
      </c>
      <c r="N2" s="13">
        <v>44136</v>
      </c>
      <c r="O2" s="13">
        <v>44166</v>
      </c>
      <c r="P2" s="13" t="s">
        <v>0</v>
      </c>
    </row>
    <row r="3" spans="2:21" ht="15" customHeight="1" x14ac:dyDescent="0.25">
      <c r="B3" s="125" t="s">
        <v>26</v>
      </c>
      <c r="C3" s="106" t="s">
        <v>1</v>
      </c>
      <c r="D3" s="30">
        <v>43852</v>
      </c>
      <c r="E3" s="30">
        <v>43880</v>
      </c>
      <c r="F3" s="30">
        <v>43910</v>
      </c>
      <c r="G3" s="30">
        <v>43953</v>
      </c>
      <c r="H3" s="30">
        <v>43979</v>
      </c>
      <c r="I3" s="30">
        <v>44013</v>
      </c>
      <c r="J3" s="33">
        <v>44033</v>
      </c>
      <c r="K3" s="33">
        <v>44063</v>
      </c>
      <c r="L3" s="30">
        <v>44096</v>
      </c>
      <c r="M3" s="30">
        <v>44125</v>
      </c>
      <c r="N3" s="33">
        <v>44155</v>
      </c>
      <c r="O3" s="33">
        <v>44187</v>
      </c>
      <c r="P3" s="33">
        <v>44194</v>
      </c>
    </row>
    <row r="4" spans="2:21" x14ac:dyDescent="0.25">
      <c r="B4" s="126"/>
      <c r="C4" s="106"/>
      <c r="D4" s="31">
        <v>115.27</v>
      </c>
      <c r="E4" s="31">
        <v>119.43</v>
      </c>
      <c r="F4" s="31">
        <v>117.68</v>
      </c>
      <c r="G4" s="31">
        <v>83.05</v>
      </c>
      <c r="H4" s="31">
        <v>61.8</v>
      </c>
      <c r="I4" s="31">
        <v>29.55</v>
      </c>
      <c r="J4" s="31">
        <v>23.18</v>
      </c>
      <c r="K4" s="31">
        <v>21.16</v>
      </c>
      <c r="L4" s="31">
        <v>21.96</v>
      </c>
      <c r="M4" s="31">
        <v>30.11</v>
      </c>
      <c r="N4" s="31">
        <v>73.81</v>
      </c>
      <c r="O4" s="31">
        <v>106.43</v>
      </c>
      <c r="P4" s="31">
        <f>SUM(D4:O4)</f>
        <v>803.43</v>
      </c>
    </row>
    <row r="5" spans="2:21" x14ac:dyDescent="0.25">
      <c r="B5" s="126"/>
      <c r="C5" s="106" t="s">
        <v>10</v>
      </c>
      <c r="D5" s="30">
        <v>43874</v>
      </c>
      <c r="E5" s="30">
        <v>43891</v>
      </c>
      <c r="F5" s="30">
        <v>43925</v>
      </c>
      <c r="G5" s="30">
        <v>43953</v>
      </c>
      <c r="H5" s="30">
        <v>43983</v>
      </c>
      <c r="I5" s="30">
        <v>44013</v>
      </c>
      <c r="J5" s="33">
        <v>44046</v>
      </c>
      <c r="K5" s="33">
        <v>44072</v>
      </c>
      <c r="L5" s="30">
        <v>44101</v>
      </c>
      <c r="M5" s="30">
        <v>44136</v>
      </c>
      <c r="N5" s="30">
        <v>44163</v>
      </c>
      <c r="O5" s="30">
        <v>44191</v>
      </c>
      <c r="P5" s="33">
        <v>44194</v>
      </c>
    </row>
    <row r="6" spans="2:21" x14ac:dyDescent="0.25">
      <c r="B6" s="126"/>
      <c r="C6" s="106"/>
      <c r="D6" s="31">
        <v>68.75</v>
      </c>
      <c r="E6" s="31">
        <v>78.87</v>
      </c>
      <c r="F6" s="31">
        <v>65.23</v>
      </c>
      <c r="G6" s="31">
        <v>54.86</v>
      </c>
      <c r="H6" s="31">
        <v>47.84</v>
      </c>
      <c r="I6" s="31">
        <v>16.41</v>
      </c>
      <c r="J6" s="31">
        <v>15.82</v>
      </c>
      <c r="K6" s="31">
        <v>15.82</v>
      </c>
      <c r="L6" s="31">
        <v>15.88</v>
      </c>
      <c r="M6" s="31">
        <v>16</v>
      </c>
      <c r="N6" s="31">
        <v>37.94</v>
      </c>
      <c r="O6" s="31">
        <v>80.709999999999994</v>
      </c>
      <c r="P6" s="31">
        <f>SUM(D6:O6)</f>
        <v>514.13</v>
      </c>
    </row>
    <row r="7" spans="2:21" x14ac:dyDescent="0.25">
      <c r="B7" s="126"/>
      <c r="C7" s="106" t="s">
        <v>2</v>
      </c>
      <c r="D7" s="30">
        <v>43862</v>
      </c>
      <c r="E7" s="30">
        <v>43891</v>
      </c>
      <c r="F7" s="30">
        <v>43925</v>
      </c>
      <c r="G7" s="30">
        <v>43953</v>
      </c>
      <c r="H7" s="30">
        <v>43983</v>
      </c>
      <c r="I7" s="30">
        <v>44013</v>
      </c>
      <c r="J7" s="33">
        <v>44046</v>
      </c>
      <c r="K7" s="33">
        <v>44072</v>
      </c>
      <c r="L7" s="30">
        <v>44101</v>
      </c>
      <c r="M7" s="30">
        <v>44136</v>
      </c>
      <c r="N7" s="30">
        <v>44163</v>
      </c>
      <c r="O7" s="30">
        <v>44191</v>
      </c>
      <c r="P7" s="33">
        <v>44194</v>
      </c>
    </row>
    <row r="8" spans="2:21" x14ac:dyDescent="0.25">
      <c r="B8" s="126"/>
      <c r="C8" s="106"/>
      <c r="D8" s="36">
        <v>82.97</v>
      </c>
      <c r="E8" s="31">
        <v>87.9</v>
      </c>
      <c r="F8" s="31">
        <v>76.13</v>
      </c>
      <c r="G8" s="31">
        <v>85.18</v>
      </c>
      <c r="H8" s="31">
        <v>73.459999999999994</v>
      </c>
      <c r="I8" s="31">
        <v>117.42</v>
      </c>
      <c r="J8" s="31">
        <v>198.53</v>
      </c>
      <c r="K8" s="31">
        <v>152.07</v>
      </c>
      <c r="L8" s="31">
        <v>113.4</v>
      </c>
      <c r="M8" s="31">
        <v>68.290000000000006</v>
      </c>
      <c r="N8" s="31">
        <v>78.22</v>
      </c>
      <c r="O8" s="31">
        <v>91.68</v>
      </c>
      <c r="P8" s="31">
        <f>SUM(D8:O8)</f>
        <v>1225.25</v>
      </c>
    </row>
    <row r="9" spans="2:21" x14ac:dyDescent="0.25">
      <c r="B9" s="126"/>
      <c r="C9" s="106" t="s">
        <v>11</v>
      </c>
      <c r="D9" s="30">
        <v>43862</v>
      </c>
      <c r="E9" s="30">
        <v>43914</v>
      </c>
      <c r="F9" s="30">
        <v>43925</v>
      </c>
      <c r="G9" s="30">
        <v>43953</v>
      </c>
      <c r="H9" s="30">
        <v>43983</v>
      </c>
      <c r="I9" s="30">
        <v>44013</v>
      </c>
      <c r="J9" s="33">
        <v>44046</v>
      </c>
      <c r="K9" s="33">
        <v>44068</v>
      </c>
      <c r="L9" s="30">
        <v>44101</v>
      </c>
      <c r="M9" s="30">
        <v>44127</v>
      </c>
      <c r="N9" s="30">
        <v>44163</v>
      </c>
      <c r="O9" s="30">
        <v>44191</v>
      </c>
      <c r="P9" s="33">
        <v>44194</v>
      </c>
    </row>
    <row r="10" spans="2:21" x14ac:dyDescent="0.25">
      <c r="B10" s="126"/>
      <c r="C10" s="106"/>
      <c r="D10" s="31">
        <v>45.21</v>
      </c>
      <c r="E10" s="31">
        <v>45.86</v>
      </c>
      <c r="F10" s="31">
        <v>41.55</v>
      </c>
      <c r="G10" s="31">
        <v>0</v>
      </c>
      <c r="H10" s="31">
        <v>39.64</v>
      </c>
      <c r="I10" s="31">
        <v>35.85</v>
      </c>
      <c r="J10" s="31">
        <v>51.32</v>
      </c>
      <c r="K10" s="31">
        <v>93.07</v>
      </c>
      <c r="L10" s="31">
        <v>61.84</v>
      </c>
      <c r="M10" s="31">
        <v>33.24</v>
      </c>
      <c r="N10" s="31">
        <v>32.44</v>
      </c>
      <c r="O10" s="31">
        <v>41.36</v>
      </c>
      <c r="P10" s="31">
        <f>SUM(D10:O10)</f>
        <v>521.38</v>
      </c>
    </row>
    <row r="11" spans="2:21" x14ac:dyDescent="0.25">
      <c r="B11" s="126"/>
      <c r="C11" s="106" t="s">
        <v>7</v>
      </c>
      <c r="D11" s="30"/>
      <c r="E11" s="30"/>
      <c r="F11" s="30">
        <v>43902</v>
      </c>
      <c r="G11" s="30"/>
      <c r="H11" s="30"/>
      <c r="I11" s="30">
        <v>43983</v>
      </c>
      <c r="J11" s="30"/>
      <c r="K11" s="30"/>
      <c r="L11" s="30">
        <v>44095</v>
      </c>
      <c r="M11" s="30"/>
      <c r="N11" s="30"/>
      <c r="O11" s="30">
        <v>44186</v>
      </c>
      <c r="P11" s="33">
        <v>44194</v>
      </c>
    </row>
    <row r="12" spans="2:21" x14ac:dyDescent="0.25">
      <c r="B12" s="126"/>
      <c r="C12" s="106"/>
      <c r="D12" s="31">
        <v>0</v>
      </c>
      <c r="E12" s="31">
        <v>0</v>
      </c>
      <c r="F12" s="31">
        <v>148.53</v>
      </c>
      <c r="G12" s="31">
        <v>0</v>
      </c>
      <c r="H12" s="31">
        <v>0</v>
      </c>
      <c r="I12" s="31">
        <v>221.73</v>
      </c>
      <c r="J12" s="31">
        <v>0</v>
      </c>
      <c r="K12" s="31">
        <v>0</v>
      </c>
      <c r="L12" s="31">
        <v>272.93</v>
      </c>
      <c r="M12" s="31">
        <v>0</v>
      </c>
      <c r="N12" s="31">
        <v>0</v>
      </c>
      <c r="O12" s="31">
        <v>256.02999999999997</v>
      </c>
      <c r="P12" s="31">
        <f>SUM(D12:O12)</f>
        <v>899.22</v>
      </c>
    </row>
    <row r="13" spans="2:21" x14ac:dyDescent="0.25">
      <c r="B13" s="126"/>
      <c r="C13" s="106" t="s">
        <v>8</v>
      </c>
      <c r="D13" s="30"/>
      <c r="E13" s="30"/>
      <c r="F13" s="30"/>
      <c r="G13" s="30"/>
      <c r="H13" s="30">
        <v>43983</v>
      </c>
      <c r="I13" s="32"/>
      <c r="J13" s="30"/>
      <c r="K13" s="30"/>
      <c r="L13" s="30"/>
      <c r="M13" s="30"/>
      <c r="N13" s="30"/>
      <c r="O13" s="61"/>
      <c r="P13" s="33">
        <v>44194</v>
      </c>
    </row>
    <row r="14" spans="2:21" x14ac:dyDescent="0.25">
      <c r="B14" s="126"/>
      <c r="C14" s="106"/>
      <c r="D14" s="31">
        <v>0</v>
      </c>
      <c r="E14" s="31">
        <v>0</v>
      </c>
      <c r="F14" s="31"/>
      <c r="G14" s="31">
        <v>0</v>
      </c>
      <c r="H14" s="31">
        <v>181.5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62">
        <v>0</v>
      </c>
      <c r="P14" s="31">
        <f>SUM(D14:O14)</f>
        <v>181.5</v>
      </c>
      <c r="U14" s="47"/>
    </row>
    <row r="15" spans="2:21" x14ac:dyDescent="0.25">
      <c r="B15" s="126"/>
      <c r="C15" s="106" t="s">
        <v>3</v>
      </c>
      <c r="D15" s="30">
        <v>43850</v>
      </c>
      <c r="E15" s="30">
        <v>43881</v>
      </c>
      <c r="F15" s="30">
        <v>43925</v>
      </c>
      <c r="G15" s="30">
        <v>43941</v>
      </c>
      <c r="H15" s="30">
        <v>43971</v>
      </c>
      <c r="I15" s="30">
        <v>44002</v>
      </c>
      <c r="J15" s="33">
        <v>44032</v>
      </c>
      <c r="K15" s="33">
        <v>44063</v>
      </c>
      <c r="L15" s="30">
        <v>44101</v>
      </c>
      <c r="M15" s="30">
        <v>44124</v>
      </c>
      <c r="N15" s="30">
        <v>44155</v>
      </c>
      <c r="O15" s="30">
        <v>44185</v>
      </c>
      <c r="P15" s="33">
        <v>44194</v>
      </c>
      <c r="U15" s="47"/>
    </row>
    <row r="16" spans="2:21" x14ac:dyDescent="0.25">
      <c r="B16" s="126"/>
      <c r="C16" s="106"/>
      <c r="D16" s="31">
        <v>35</v>
      </c>
      <c r="E16" s="31">
        <v>35</v>
      </c>
      <c r="F16" s="31">
        <v>35</v>
      </c>
      <c r="G16" s="31">
        <v>45</v>
      </c>
      <c r="H16" s="31">
        <v>48.98</v>
      </c>
      <c r="I16" s="31">
        <v>45</v>
      </c>
      <c r="J16" s="31">
        <v>45</v>
      </c>
      <c r="K16" s="31">
        <v>45</v>
      </c>
      <c r="L16" s="31">
        <v>45</v>
      </c>
      <c r="M16" s="31">
        <v>45</v>
      </c>
      <c r="N16" s="31">
        <v>45</v>
      </c>
      <c r="O16" s="31">
        <v>45</v>
      </c>
      <c r="P16" s="31">
        <f>SUM(D16:O16)</f>
        <v>513.98</v>
      </c>
      <c r="U16" s="47"/>
    </row>
    <row r="17" spans="2:21" x14ac:dyDescent="0.25">
      <c r="B17" s="126"/>
      <c r="C17" s="106" t="s">
        <v>5</v>
      </c>
      <c r="D17" s="30">
        <v>43862</v>
      </c>
      <c r="E17" s="30">
        <v>43891</v>
      </c>
      <c r="F17" s="30">
        <v>43925</v>
      </c>
      <c r="G17" s="30">
        <v>43953</v>
      </c>
      <c r="H17" s="30">
        <v>43983</v>
      </c>
      <c r="I17" s="30">
        <v>44013</v>
      </c>
      <c r="J17" s="33">
        <v>44046</v>
      </c>
      <c r="K17" s="33">
        <v>44072</v>
      </c>
      <c r="L17" s="30">
        <v>44101</v>
      </c>
      <c r="M17" s="30">
        <v>44136</v>
      </c>
      <c r="N17" s="30">
        <v>44163</v>
      </c>
      <c r="O17" s="30">
        <v>44191</v>
      </c>
      <c r="P17" s="33">
        <v>44194</v>
      </c>
      <c r="U17" s="47"/>
    </row>
    <row r="18" spans="2:21" x14ac:dyDescent="0.25">
      <c r="B18" s="126"/>
      <c r="C18" s="106"/>
      <c r="D18" s="31">
        <v>50</v>
      </c>
      <c r="E18" s="31">
        <v>50</v>
      </c>
      <c r="F18" s="31">
        <v>50</v>
      </c>
      <c r="G18" s="31">
        <v>50</v>
      </c>
      <c r="H18" s="31">
        <v>50</v>
      </c>
      <c r="I18" s="31">
        <v>50</v>
      </c>
      <c r="J18" s="31">
        <v>73</v>
      </c>
      <c r="K18" s="31">
        <v>4.17</v>
      </c>
      <c r="L18" s="31">
        <v>25</v>
      </c>
      <c r="M18" s="31">
        <v>25</v>
      </c>
      <c r="N18" s="31">
        <v>25</v>
      </c>
      <c r="O18" s="31">
        <v>25</v>
      </c>
      <c r="P18" s="31">
        <f>SUM(D18:O18)</f>
        <v>477.17</v>
      </c>
      <c r="U18" s="47"/>
    </row>
    <row r="19" spans="2:21" ht="15" customHeight="1" x14ac:dyDescent="0.25">
      <c r="B19" s="127"/>
      <c r="C19" s="42" t="s">
        <v>0</v>
      </c>
      <c r="D19" s="64">
        <f t="shared" ref="D19:P19" si="0">SUM(D4,D6,D8,D10,D12,D14,D16,D18)</f>
        <v>397.2</v>
      </c>
      <c r="E19" s="64">
        <f t="shared" si="0"/>
        <v>417.06</v>
      </c>
      <c r="F19" s="64">
        <f t="shared" si="0"/>
        <v>534.12</v>
      </c>
      <c r="G19" s="64">
        <f t="shared" si="0"/>
        <v>318.08999999999997</v>
      </c>
      <c r="H19" s="64">
        <f t="shared" si="0"/>
        <v>503.22</v>
      </c>
      <c r="I19" s="64">
        <f t="shared" si="0"/>
        <v>515.96</v>
      </c>
      <c r="J19" s="64">
        <f t="shared" si="0"/>
        <v>406.85</v>
      </c>
      <c r="K19" s="64">
        <f t="shared" si="0"/>
        <v>331.29</v>
      </c>
      <c r="L19" s="64">
        <f t="shared" si="0"/>
        <v>556.01</v>
      </c>
      <c r="M19" s="64">
        <f t="shared" si="0"/>
        <v>217.64</v>
      </c>
      <c r="N19" s="64">
        <f t="shared" si="0"/>
        <v>292.41000000000003</v>
      </c>
      <c r="O19" s="64">
        <f t="shared" si="0"/>
        <v>646.21</v>
      </c>
      <c r="P19" s="10">
        <f t="shared" si="0"/>
        <v>5136.0600000000004</v>
      </c>
      <c r="U19" s="47"/>
    </row>
    <row r="20" spans="2:21" x14ac:dyDescent="0.25">
      <c r="B20" s="118" t="s">
        <v>27</v>
      </c>
      <c r="C20" s="107" t="s">
        <v>4</v>
      </c>
      <c r="D20" s="30">
        <v>43831</v>
      </c>
      <c r="E20" s="30">
        <v>43862</v>
      </c>
      <c r="F20" s="30">
        <v>43891</v>
      </c>
      <c r="G20" s="30">
        <v>43922</v>
      </c>
      <c r="H20" s="30">
        <v>43952</v>
      </c>
      <c r="I20" s="30">
        <v>43983</v>
      </c>
      <c r="J20" s="33">
        <v>44013</v>
      </c>
      <c r="K20" s="30">
        <v>44044</v>
      </c>
      <c r="L20" s="30">
        <v>44075</v>
      </c>
      <c r="M20" s="30"/>
      <c r="N20" s="30"/>
      <c r="O20" s="30"/>
      <c r="P20" s="33">
        <v>44194</v>
      </c>
      <c r="U20" s="47"/>
    </row>
    <row r="21" spans="2:21" x14ac:dyDescent="0.25">
      <c r="B21" s="119"/>
      <c r="C21" s="108"/>
      <c r="D21" s="31">
        <v>1893.36</v>
      </c>
      <c r="E21" s="31">
        <v>1893.36</v>
      </c>
      <c r="F21" s="31">
        <f>2093.36+25000</f>
        <v>27093.360000000001</v>
      </c>
      <c r="G21" s="31">
        <v>2093.36</v>
      </c>
      <c r="H21" s="31">
        <f>2093.36-500</f>
        <v>1593.36</v>
      </c>
      <c r="I21" s="31">
        <f>2093.36-500</f>
        <v>1593.36</v>
      </c>
      <c r="J21" s="31">
        <f>2093.36-500</f>
        <v>1593.36</v>
      </c>
      <c r="K21" s="31">
        <f>1611.93+45000</f>
        <v>46611.93</v>
      </c>
      <c r="L21" s="31">
        <v>2145.39</v>
      </c>
      <c r="M21" s="31">
        <v>0</v>
      </c>
      <c r="N21" s="31">
        <v>0</v>
      </c>
      <c r="O21" s="31">
        <v>0</v>
      </c>
      <c r="P21" s="31">
        <f>SUM(D21:O21)</f>
        <v>86510.84</v>
      </c>
      <c r="U21" s="47"/>
    </row>
    <row r="22" spans="2:21" x14ac:dyDescent="0.25">
      <c r="B22" s="119"/>
      <c r="C22" s="107" t="s">
        <v>53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U22" s="46"/>
    </row>
    <row r="23" spans="2:21" ht="15" customHeight="1" x14ac:dyDescent="0.25">
      <c r="B23" s="119"/>
      <c r="C23" s="108"/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f>SUM(D23:O23)</f>
        <v>0</v>
      </c>
      <c r="Q23" s="40"/>
    </row>
    <row r="24" spans="2:21" ht="15" customHeight="1" x14ac:dyDescent="0.25">
      <c r="B24" s="120"/>
      <c r="C24" s="39" t="s">
        <v>0</v>
      </c>
      <c r="D24" s="64">
        <f t="shared" ref="D24:P24" si="1">SUM(D21,D23)</f>
        <v>1893.36</v>
      </c>
      <c r="E24" s="64">
        <f t="shared" si="1"/>
        <v>1893.36</v>
      </c>
      <c r="F24" s="64">
        <f t="shared" si="1"/>
        <v>27093.360000000001</v>
      </c>
      <c r="G24" s="64">
        <f t="shared" si="1"/>
        <v>2093.36</v>
      </c>
      <c r="H24" s="65">
        <f t="shared" si="1"/>
        <v>1593.36</v>
      </c>
      <c r="I24" s="64">
        <f t="shared" si="1"/>
        <v>1593.36</v>
      </c>
      <c r="J24" s="64">
        <f t="shared" si="1"/>
        <v>1593.36</v>
      </c>
      <c r="K24" s="64">
        <f t="shared" si="1"/>
        <v>46611.93</v>
      </c>
      <c r="L24" s="64">
        <f t="shared" si="1"/>
        <v>2145.39</v>
      </c>
      <c r="M24" s="64">
        <f t="shared" si="1"/>
        <v>0</v>
      </c>
      <c r="N24" s="64">
        <f t="shared" si="1"/>
        <v>0</v>
      </c>
      <c r="O24" s="64">
        <f t="shared" si="1"/>
        <v>0</v>
      </c>
      <c r="P24" s="10">
        <f t="shared" si="1"/>
        <v>86510.84</v>
      </c>
      <c r="Q24" s="41"/>
    </row>
    <row r="25" spans="2:21" x14ac:dyDescent="0.25">
      <c r="B25" s="121" t="s">
        <v>24</v>
      </c>
      <c r="C25" s="104" t="s">
        <v>32</v>
      </c>
      <c r="D25" s="30">
        <v>43862</v>
      </c>
      <c r="E25" s="30">
        <v>43891</v>
      </c>
      <c r="F25" s="30">
        <v>43925</v>
      </c>
      <c r="G25" s="30">
        <v>43953</v>
      </c>
      <c r="H25" s="30">
        <v>43983</v>
      </c>
      <c r="I25" s="30">
        <v>44013</v>
      </c>
      <c r="J25" s="66">
        <v>44046</v>
      </c>
      <c r="K25" s="33">
        <v>44072</v>
      </c>
      <c r="L25" s="30">
        <v>44101</v>
      </c>
      <c r="M25" s="30">
        <v>44136</v>
      </c>
      <c r="N25" s="30">
        <v>44163</v>
      </c>
      <c r="O25" s="30">
        <v>44191</v>
      </c>
      <c r="P25" s="33">
        <v>44194</v>
      </c>
      <c r="Q25" s="41"/>
      <c r="S25" s="34"/>
    </row>
    <row r="26" spans="2:21" x14ac:dyDescent="0.25">
      <c r="B26" s="122"/>
      <c r="C26" s="105"/>
      <c r="D26" s="31">
        <v>54.53</v>
      </c>
      <c r="E26" s="31">
        <v>0</v>
      </c>
      <c r="F26" s="31">
        <v>0</v>
      </c>
      <c r="G26" s="31">
        <v>23.09</v>
      </c>
      <c r="H26" s="31">
        <v>0</v>
      </c>
      <c r="I26" s="31">
        <v>363.97</v>
      </c>
      <c r="J26" s="31">
        <v>79.87</v>
      </c>
      <c r="K26" s="31">
        <v>0</v>
      </c>
      <c r="L26" s="44">
        <v>143.58000000000001</v>
      </c>
      <c r="M26" s="31">
        <v>141.91999999999999</v>
      </c>
      <c r="N26" s="31">
        <f>364+170</f>
        <v>534</v>
      </c>
      <c r="O26" s="31">
        <v>245.77</v>
      </c>
      <c r="P26" s="31">
        <f>SUM(D26:O26)</f>
        <v>1586.73</v>
      </c>
      <c r="Q26" s="40"/>
    </row>
    <row r="27" spans="2:21" x14ac:dyDescent="0.25">
      <c r="B27" s="122"/>
      <c r="C27" s="104" t="s">
        <v>33</v>
      </c>
      <c r="D27" s="30">
        <v>43862</v>
      </c>
      <c r="E27" s="30">
        <v>43891</v>
      </c>
      <c r="F27" s="30">
        <v>43925</v>
      </c>
      <c r="G27" s="30">
        <v>43953</v>
      </c>
      <c r="H27" s="30">
        <v>43983</v>
      </c>
      <c r="I27" s="30">
        <v>44013</v>
      </c>
      <c r="J27" s="66">
        <v>44046</v>
      </c>
      <c r="K27" s="33">
        <v>44072</v>
      </c>
      <c r="L27" s="30">
        <v>44101</v>
      </c>
      <c r="M27" s="30">
        <v>44136</v>
      </c>
      <c r="N27" s="30">
        <v>44163</v>
      </c>
      <c r="O27" s="30">
        <v>44191</v>
      </c>
      <c r="P27" s="33">
        <v>44194</v>
      </c>
      <c r="Q27" s="41"/>
      <c r="R27" s="34"/>
    </row>
    <row r="28" spans="2:21" x14ac:dyDescent="0.25">
      <c r="B28" s="122"/>
      <c r="C28" s="105"/>
      <c r="D28" s="31">
        <v>533.33000000000004</v>
      </c>
      <c r="E28" s="31">
        <f>267.27+140.39</f>
        <v>407.66</v>
      </c>
      <c r="F28" s="31">
        <v>226.39</v>
      </c>
      <c r="G28" s="31">
        <v>0</v>
      </c>
      <c r="H28" s="31">
        <v>9.43</v>
      </c>
      <c r="I28" s="31">
        <f>488.97</f>
        <v>488.97</v>
      </c>
      <c r="J28" s="31">
        <v>76.430000000000007</v>
      </c>
      <c r="K28" s="31">
        <v>271.33999999999997</v>
      </c>
      <c r="L28" s="31">
        <v>331.75</v>
      </c>
      <c r="M28" s="31">
        <v>430.59</v>
      </c>
      <c r="N28" s="31">
        <v>0</v>
      </c>
      <c r="O28" s="31">
        <f>213+430.59</f>
        <v>643.59</v>
      </c>
      <c r="P28" s="31">
        <f>SUM(D28:O28)</f>
        <v>3419.48</v>
      </c>
      <c r="Q28" s="40"/>
    </row>
    <row r="29" spans="2:21" x14ac:dyDescent="0.25">
      <c r="B29" s="122"/>
      <c r="C29" s="104" t="s">
        <v>34</v>
      </c>
      <c r="D29" s="30">
        <v>43862</v>
      </c>
      <c r="E29" s="30">
        <v>43891</v>
      </c>
      <c r="F29" s="30">
        <v>43925</v>
      </c>
      <c r="G29" s="30">
        <v>43953</v>
      </c>
      <c r="H29" s="30">
        <v>43983</v>
      </c>
      <c r="I29" s="30">
        <v>44013</v>
      </c>
      <c r="J29" s="66">
        <v>44046</v>
      </c>
      <c r="K29" s="33">
        <v>44072</v>
      </c>
      <c r="L29" s="30">
        <v>44101</v>
      </c>
      <c r="M29" s="30">
        <v>44136</v>
      </c>
      <c r="N29" s="30">
        <v>44163</v>
      </c>
      <c r="O29" s="30">
        <v>44191</v>
      </c>
      <c r="P29" s="33">
        <v>44194</v>
      </c>
      <c r="Q29" s="41"/>
    </row>
    <row r="30" spans="2:21" x14ac:dyDescent="0.25">
      <c r="B30" s="122"/>
      <c r="C30" s="105"/>
      <c r="D30" s="31">
        <v>0</v>
      </c>
      <c r="E30" s="31">
        <v>0</v>
      </c>
      <c r="F30" s="31">
        <v>0</v>
      </c>
      <c r="G30" s="31">
        <v>0</v>
      </c>
      <c r="H30" s="31">
        <v>1.44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40.520000000000003</v>
      </c>
      <c r="P30" s="31">
        <v>0</v>
      </c>
      <c r="Q30" s="40"/>
      <c r="T30" s="34"/>
    </row>
    <row r="31" spans="2:21" ht="15" customHeight="1" x14ac:dyDescent="0.25">
      <c r="B31" s="122"/>
      <c r="C31" s="104" t="s">
        <v>50</v>
      </c>
      <c r="D31" s="30">
        <v>43862</v>
      </c>
      <c r="E31" s="30">
        <v>43891</v>
      </c>
      <c r="F31" s="30">
        <v>43925</v>
      </c>
      <c r="G31" s="30">
        <v>43953</v>
      </c>
      <c r="H31" s="30">
        <v>43983</v>
      </c>
      <c r="I31" s="30">
        <v>44013</v>
      </c>
      <c r="J31" s="66">
        <v>44046</v>
      </c>
      <c r="K31" s="33">
        <v>44072</v>
      </c>
      <c r="L31" s="30">
        <v>44101</v>
      </c>
      <c r="M31" s="30">
        <v>44136</v>
      </c>
      <c r="N31" s="30"/>
      <c r="O31" s="30"/>
      <c r="P31" s="33">
        <v>44194</v>
      </c>
      <c r="Q31" s="41"/>
      <c r="T31" s="34"/>
    </row>
    <row r="32" spans="2:21" x14ac:dyDescent="0.25">
      <c r="B32" s="122"/>
      <c r="C32" s="105"/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f>SUM(D32:O32)</f>
        <v>0</v>
      </c>
      <c r="Q32" s="40"/>
      <c r="T32" s="34"/>
    </row>
    <row r="33" spans="2:20" ht="15" customHeight="1" x14ac:dyDescent="0.25">
      <c r="B33" s="122"/>
      <c r="C33" s="104" t="s">
        <v>56</v>
      </c>
      <c r="D33" s="30">
        <v>43862</v>
      </c>
      <c r="E33" s="30">
        <v>43891</v>
      </c>
      <c r="F33" s="30">
        <v>43925</v>
      </c>
      <c r="G33" s="30">
        <v>43953</v>
      </c>
      <c r="H33" s="30">
        <v>43983</v>
      </c>
      <c r="I33" s="30">
        <v>44013</v>
      </c>
      <c r="J33" s="66">
        <v>44046</v>
      </c>
      <c r="K33" s="33">
        <v>44072</v>
      </c>
      <c r="L33" s="30">
        <v>44101</v>
      </c>
      <c r="M33" s="30">
        <v>44136</v>
      </c>
      <c r="N33" s="30">
        <v>44163</v>
      </c>
      <c r="O33" s="30">
        <v>44191</v>
      </c>
      <c r="P33" s="33">
        <v>44194</v>
      </c>
      <c r="Q33" s="41"/>
      <c r="T33" s="34"/>
    </row>
    <row r="34" spans="2:20" x14ac:dyDescent="0.25">
      <c r="B34" s="122"/>
      <c r="C34" s="105"/>
      <c r="D34" s="44">
        <v>731.8</v>
      </c>
      <c r="E34" s="44">
        <v>55.32</v>
      </c>
      <c r="F34" s="44">
        <v>15.09</v>
      </c>
      <c r="G34" s="44">
        <v>64.06</v>
      </c>
      <c r="H34" s="44">
        <v>0</v>
      </c>
      <c r="I34" s="44">
        <v>0</v>
      </c>
      <c r="J34" s="44">
        <v>95</v>
      </c>
      <c r="K34" s="44">
        <v>0</v>
      </c>
      <c r="L34" s="31">
        <v>640</v>
      </c>
      <c r="M34" s="44">
        <v>423.24</v>
      </c>
      <c r="N34" s="44">
        <v>685.36</v>
      </c>
      <c r="O34" s="44">
        <v>656.8</v>
      </c>
      <c r="P34" s="44">
        <f>SUM(D34:O34)</f>
        <v>3366.67</v>
      </c>
      <c r="Q34" s="40"/>
      <c r="T34" s="34"/>
    </row>
    <row r="35" spans="2:20" x14ac:dyDescent="0.25">
      <c r="B35" s="122"/>
      <c r="C35" s="104" t="s">
        <v>44</v>
      </c>
      <c r="D35" s="30">
        <v>43862</v>
      </c>
      <c r="E35" s="30">
        <v>43891</v>
      </c>
      <c r="F35" s="30">
        <v>43925</v>
      </c>
      <c r="G35" s="30">
        <v>43953</v>
      </c>
      <c r="H35" s="30">
        <v>43983</v>
      </c>
      <c r="I35" s="30">
        <v>44013</v>
      </c>
      <c r="J35" s="66">
        <v>44046</v>
      </c>
      <c r="K35" s="33">
        <v>44072</v>
      </c>
      <c r="L35" s="30">
        <v>44101</v>
      </c>
      <c r="M35" s="30">
        <v>44136</v>
      </c>
      <c r="N35" s="30">
        <v>44163</v>
      </c>
      <c r="O35" s="30">
        <v>44191</v>
      </c>
      <c r="P35" s="33">
        <v>44194</v>
      </c>
      <c r="Q35" s="41"/>
      <c r="T35" s="34"/>
    </row>
    <row r="36" spans="2:20" x14ac:dyDescent="0.25">
      <c r="B36" s="122"/>
      <c r="C36" s="105"/>
      <c r="D36" s="31">
        <f>2270.97-D63-D4-D16-D61-'2019'!O8</f>
        <v>763.95</v>
      </c>
      <c r="E36" s="31">
        <f>1661.54 -E63 - E61- E4- E16 - E57</f>
        <v>163.69999999999999</v>
      </c>
      <c r="F36" s="31">
        <v>0</v>
      </c>
      <c r="G36" s="31">
        <f>468.03-G4-G16-G61-F8</f>
        <v>-238.1</v>
      </c>
      <c r="H36" s="31">
        <f>742.58-H14-H16-H4-G8-H65</f>
        <v>125.12</v>
      </c>
      <c r="I36" s="31">
        <f>496.7-I4-I16-H8-I65</f>
        <v>-31.31</v>
      </c>
      <c r="J36" s="31">
        <f>612.35+1550-J4-J16-I8-J65-I18</f>
        <v>213.42</v>
      </c>
      <c r="K36" s="31">
        <f>427.55-K16-K4-J8</f>
        <v>162.86000000000001</v>
      </c>
      <c r="L36" s="31">
        <f>555.53-L63-L4-L16-K8</f>
        <v>336.5</v>
      </c>
      <c r="M36" s="31">
        <f>566.16-M63-M4-M16-L8</f>
        <v>377.65</v>
      </c>
      <c r="N36" s="31">
        <f>209.37-N63-N16-N4-M8</f>
        <v>22.27</v>
      </c>
      <c r="O36" s="31">
        <f>533.11-O16-O4-N8-O63-O61</f>
        <v>303.45999999999998</v>
      </c>
      <c r="P36" s="44">
        <f>SUM(D36:O36)</f>
        <v>2199.52</v>
      </c>
      <c r="Q36" s="40"/>
      <c r="T36" s="34"/>
    </row>
    <row r="37" spans="2:20" x14ac:dyDescent="0.25">
      <c r="B37" s="122"/>
      <c r="C37" s="104" t="s">
        <v>40</v>
      </c>
      <c r="D37" s="30">
        <v>43862</v>
      </c>
      <c r="E37" s="30">
        <v>43891</v>
      </c>
      <c r="F37" s="30">
        <v>43925</v>
      </c>
      <c r="G37" s="30">
        <v>43953</v>
      </c>
      <c r="H37" s="30">
        <v>43983</v>
      </c>
      <c r="I37" s="30">
        <v>44013</v>
      </c>
      <c r="J37" s="66">
        <v>44046</v>
      </c>
      <c r="K37" s="33">
        <v>44072</v>
      </c>
      <c r="L37" s="30">
        <v>44101</v>
      </c>
      <c r="M37" s="30">
        <v>44136</v>
      </c>
      <c r="N37" s="30">
        <v>44163</v>
      </c>
      <c r="O37" s="30">
        <v>44191</v>
      </c>
      <c r="P37" s="33">
        <v>44194</v>
      </c>
      <c r="Q37" s="41"/>
      <c r="T37" s="34"/>
    </row>
    <row r="38" spans="2:20" x14ac:dyDescent="0.25">
      <c r="B38" s="122"/>
      <c r="C38" s="105"/>
      <c r="D38" s="31">
        <v>0</v>
      </c>
      <c r="E38" s="31">
        <v>0</v>
      </c>
      <c r="F38" s="31">
        <v>0</v>
      </c>
      <c r="G38" s="31">
        <v>0</v>
      </c>
      <c r="H38" s="31">
        <v>92.66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82.39</v>
      </c>
      <c r="O38" s="31">
        <v>104.97</v>
      </c>
      <c r="P38" s="44">
        <f>SUM(D38:O38)</f>
        <v>280.02</v>
      </c>
      <c r="Q38" s="40"/>
      <c r="T38" s="34"/>
    </row>
    <row r="39" spans="2:20" ht="15" customHeight="1" x14ac:dyDescent="0.25">
      <c r="B39" s="122"/>
      <c r="C39" s="104" t="s">
        <v>35</v>
      </c>
      <c r="D39" s="30">
        <v>43862</v>
      </c>
      <c r="E39" s="30">
        <v>43891</v>
      </c>
      <c r="F39" s="30">
        <v>43925</v>
      </c>
      <c r="G39" s="30">
        <v>43953</v>
      </c>
      <c r="H39" s="30">
        <v>43983</v>
      </c>
      <c r="I39" s="30">
        <v>44013</v>
      </c>
      <c r="J39" s="66">
        <v>44046</v>
      </c>
      <c r="K39" s="33">
        <v>44072</v>
      </c>
      <c r="L39" s="30">
        <v>44101</v>
      </c>
      <c r="M39" s="30">
        <v>44136</v>
      </c>
      <c r="N39" s="30">
        <v>44163</v>
      </c>
      <c r="O39" s="30">
        <v>44191</v>
      </c>
      <c r="P39" s="33">
        <v>44194</v>
      </c>
      <c r="Q39" s="41"/>
    </row>
    <row r="40" spans="2:20" x14ac:dyDescent="0.25">
      <c r="B40" s="122"/>
      <c r="C40" s="105"/>
      <c r="D40" s="31">
        <v>0</v>
      </c>
      <c r="E40" s="31">
        <v>0</v>
      </c>
      <c r="F40" s="31">
        <v>0</v>
      </c>
      <c r="G40" s="31">
        <v>563.87</v>
      </c>
      <c r="H40" s="31">
        <v>642</v>
      </c>
      <c r="I40" s="31">
        <v>366.11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f>SUM(D40:O40)</f>
        <v>1571.98</v>
      </c>
      <c r="Q40" s="40"/>
    </row>
    <row r="41" spans="2:20" x14ac:dyDescent="0.25">
      <c r="B41" s="122"/>
      <c r="C41" s="117" t="s">
        <v>36</v>
      </c>
      <c r="D41" s="30">
        <v>43862</v>
      </c>
      <c r="E41" s="30">
        <v>43891</v>
      </c>
      <c r="F41" s="30">
        <v>43925</v>
      </c>
      <c r="G41" s="30">
        <v>43953</v>
      </c>
      <c r="H41" s="30">
        <v>43983</v>
      </c>
      <c r="I41" s="30">
        <v>44013</v>
      </c>
      <c r="J41" s="66">
        <v>44046</v>
      </c>
      <c r="K41" s="33">
        <v>44072</v>
      </c>
      <c r="L41" s="30">
        <v>44101</v>
      </c>
      <c r="M41" s="30">
        <v>44136</v>
      </c>
      <c r="N41" s="30">
        <v>44163</v>
      </c>
      <c r="O41" s="30">
        <v>44191</v>
      </c>
      <c r="P41" s="33">
        <v>44194</v>
      </c>
      <c r="Q41" s="41"/>
    </row>
    <row r="42" spans="2:20" x14ac:dyDescent="0.25">
      <c r="B42" s="122"/>
      <c r="C42" s="117"/>
      <c r="D42" s="31">
        <v>0</v>
      </c>
      <c r="E42" s="31">
        <v>0</v>
      </c>
      <c r="F42" s="31">
        <v>367.56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f>SUM(D42:O42)</f>
        <v>367.56</v>
      </c>
      <c r="Q42" s="40"/>
    </row>
    <row r="43" spans="2:20" ht="15" customHeight="1" x14ac:dyDescent="0.25">
      <c r="B43" s="122"/>
      <c r="C43" s="124" t="s">
        <v>37</v>
      </c>
      <c r="D43" s="30">
        <v>43862</v>
      </c>
      <c r="E43" s="30">
        <v>43891</v>
      </c>
      <c r="F43" s="30">
        <v>43925</v>
      </c>
      <c r="G43" s="30">
        <v>43953</v>
      </c>
      <c r="H43" s="30">
        <v>43983</v>
      </c>
      <c r="I43" s="30">
        <v>44013</v>
      </c>
      <c r="J43" s="66">
        <v>44046</v>
      </c>
      <c r="K43" s="33">
        <v>44072</v>
      </c>
      <c r="L43" s="30">
        <v>44101</v>
      </c>
      <c r="M43" s="30">
        <v>44136</v>
      </c>
      <c r="N43" s="30">
        <v>44163</v>
      </c>
      <c r="O43" s="30">
        <v>44191</v>
      </c>
      <c r="P43" s="33">
        <v>44194</v>
      </c>
    </row>
    <row r="44" spans="2:20" x14ac:dyDescent="0.25">
      <c r="B44" s="122"/>
      <c r="C44" s="105"/>
      <c r="D44" s="31">
        <f>43.66+69.37</f>
        <v>113.03</v>
      </c>
      <c r="E44" s="31">
        <v>43.3</v>
      </c>
      <c r="F44" s="31">
        <v>27.32</v>
      </c>
      <c r="G44" s="31">
        <v>0</v>
      </c>
      <c r="H44" s="31">
        <v>0</v>
      </c>
      <c r="I44" s="31">
        <v>0</v>
      </c>
      <c r="J44" s="31">
        <v>627.16</v>
      </c>
      <c r="K44" s="31">
        <v>587.54999999999995</v>
      </c>
      <c r="L44" s="31">
        <v>79.38</v>
      </c>
      <c r="M44" s="31">
        <v>149</v>
      </c>
      <c r="N44" s="31">
        <v>0.03</v>
      </c>
      <c r="O44" s="31">
        <v>0</v>
      </c>
      <c r="P44" s="31">
        <f>SUM(D44:O44)</f>
        <v>1626.77</v>
      </c>
      <c r="Q44" s="40"/>
    </row>
    <row r="45" spans="2:20" x14ac:dyDescent="0.25">
      <c r="B45" s="122"/>
      <c r="C45" s="104" t="s">
        <v>48</v>
      </c>
      <c r="D45" s="30">
        <v>43862</v>
      </c>
      <c r="E45" s="30">
        <v>43891</v>
      </c>
      <c r="F45" s="30">
        <v>43925</v>
      </c>
      <c r="G45" s="30">
        <v>43953</v>
      </c>
      <c r="H45" s="30">
        <v>43983</v>
      </c>
      <c r="I45" s="30">
        <v>44013</v>
      </c>
      <c r="J45" s="66">
        <v>44046</v>
      </c>
      <c r="K45" s="33">
        <v>44072</v>
      </c>
      <c r="L45" s="30">
        <v>44101</v>
      </c>
      <c r="M45" s="30">
        <v>44136</v>
      </c>
      <c r="N45" s="30">
        <v>44163</v>
      </c>
      <c r="O45" s="30">
        <v>44191</v>
      </c>
      <c r="P45" s="33">
        <v>44194</v>
      </c>
      <c r="Q45" s="34"/>
    </row>
    <row r="46" spans="2:20" x14ac:dyDescent="0.25">
      <c r="B46" s="122"/>
      <c r="C46" s="105"/>
      <c r="D46" s="44">
        <v>0</v>
      </c>
      <c r="E46" s="44">
        <v>0</v>
      </c>
      <c r="F46" s="44">
        <v>12.51</v>
      </c>
      <c r="G46" s="44">
        <v>0</v>
      </c>
      <c r="H46" s="44">
        <v>63.37</v>
      </c>
      <c r="I46" s="44">
        <v>113.21</v>
      </c>
      <c r="J46" s="44">
        <v>0</v>
      </c>
      <c r="K46" s="44">
        <v>0</v>
      </c>
      <c r="L46" s="44">
        <v>4.1900000000000004</v>
      </c>
      <c r="M46" s="44">
        <v>0</v>
      </c>
      <c r="N46" s="44">
        <v>30.74</v>
      </c>
      <c r="O46" s="44">
        <v>0</v>
      </c>
      <c r="P46" s="31">
        <f>SUM(D46:O46)</f>
        <v>224.02</v>
      </c>
      <c r="Q46" s="34"/>
    </row>
    <row r="47" spans="2:20" x14ac:dyDescent="0.25">
      <c r="B47" s="122"/>
      <c r="C47" s="104" t="s">
        <v>39</v>
      </c>
      <c r="D47" s="30">
        <v>43862</v>
      </c>
      <c r="E47" s="30">
        <v>43891</v>
      </c>
      <c r="F47" s="30">
        <v>43925</v>
      </c>
      <c r="G47" s="30">
        <v>43953</v>
      </c>
      <c r="H47" s="30">
        <v>43983</v>
      </c>
      <c r="I47" s="30"/>
      <c r="J47" s="66">
        <v>44046</v>
      </c>
      <c r="K47" s="30"/>
      <c r="L47" s="30"/>
      <c r="M47" s="30">
        <v>44136</v>
      </c>
      <c r="N47" s="30"/>
      <c r="O47" s="30"/>
      <c r="P47" s="33"/>
    </row>
    <row r="48" spans="2:20" x14ac:dyDescent="0.25">
      <c r="B48" s="122"/>
      <c r="C48" s="105"/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/>
      <c r="Q48" s="40"/>
    </row>
    <row r="49" spans="2:17" x14ac:dyDescent="0.25">
      <c r="B49" s="122"/>
      <c r="C49" s="104" t="s">
        <v>49</v>
      </c>
      <c r="D49" s="30">
        <v>43862</v>
      </c>
      <c r="E49" s="30">
        <v>43891</v>
      </c>
      <c r="F49" s="30">
        <v>43925</v>
      </c>
      <c r="G49" s="30">
        <v>43953</v>
      </c>
      <c r="H49" s="30">
        <v>43983</v>
      </c>
      <c r="I49" s="30">
        <v>44013</v>
      </c>
      <c r="J49" s="66">
        <v>44046</v>
      </c>
      <c r="K49" s="33">
        <v>44072</v>
      </c>
      <c r="L49" s="30">
        <v>44101</v>
      </c>
      <c r="M49" s="30">
        <v>44136</v>
      </c>
      <c r="N49" s="30">
        <v>44163</v>
      </c>
      <c r="O49" s="30">
        <v>44191</v>
      </c>
      <c r="P49" s="33">
        <v>44194</v>
      </c>
      <c r="Q49" s="34"/>
    </row>
    <row r="50" spans="2:17" x14ac:dyDescent="0.25">
      <c r="B50" s="122"/>
      <c r="C50" s="105"/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15.89</v>
      </c>
      <c r="L50" s="31">
        <v>0</v>
      </c>
      <c r="M50" s="31">
        <v>32.840000000000003</v>
      </c>
      <c r="N50" s="31">
        <v>0</v>
      </c>
      <c r="O50" s="31">
        <v>29.67</v>
      </c>
      <c r="P50" s="31">
        <f>SUM(D50:O50)</f>
        <v>78.400000000000006</v>
      </c>
      <c r="Q50" s="34"/>
    </row>
    <row r="51" spans="2:17" ht="15" customHeight="1" x14ac:dyDescent="0.25">
      <c r="B51" s="123"/>
      <c r="C51" s="37" t="s">
        <v>0</v>
      </c>
      <c r="D51" s="64">
        <f t="shared" ref="D51:P51" si="2">SUM(D26,D28,D30,D32,D34,D36,D38,D40,D42,D44,D46,D48,D50)</f>
        <v>2196.64</v>
      </c>
      <c r="E51" s="64">
        <f t="shared" si="2"/>
        <v>669.98</v>
      </c>
      <c r="F51" s="64">
        <f t="shared" si="2"/>
        <v>648.87</v>
      </c>
      <c r="G51" s="64">
        <f t="shared" si="2"/>
        <v>412.92</v>
      </c>
      <c r="H51" s="64">
        <f t="shared" si="2"/>
        <v>934.02</v>
      </c>
      <c r="I51" s="64">
        <f t="shared" si="2"/>
        <v>1300.95</v>
      </c>
      <c r="J51" s="64">
        <f t="shared" si="2"/>
        <v>1091.8800000000001</v>
      </c>
      <c r="K51" s="64">
        <f t="shared" si="2"/>
        <v>1037.6400000000001</v>
      </c>
      <c r="L51" s="64">
        <f t="shared" si="2"/>
        <v>1535.4</v>
      </c>
      <c r="M51" s="64">
        <f t="shared" si="2"/>
        <v>1555.24</v>
      </c>
      <c r="N51" s="64">
        <f t="shared" si="2"/>
        <v>1354.79</v>
      </c>
      <c r="O51" s="64">
        <f t="shared" si="2"/>
        <v>2024.78</v>
      </c>
      <c r="P51" s="10">
        <f t="shared" si="2"/>
        <v>14721.15</v>
      </c>
      <c r="Q51" s="34"/>
    </row>
    <row r="52" spans="2:17" ht="15" customHeight="1" x14ac:dyDescent="0.25">
      <c r="B52" s="111" t="s">
        <v>25</v>
      </c>
      <c r="C52" s="103" t="s">
        <v>54</v>
      </c>
      <c r="D52" s="30">
        <v>43845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3">
        <v>44194</v>
      </c>
    </row>
    <row r="53" spans="2:17" x14ac:dyDescent="0.25">
      <c r="B53" s="112"/>
      <c r="C53" s="103"/>
      <c r="D53" s="31">
        <v>415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f>SUM(D53:O53)</f>
        <v>415</v>
      </c>
    </row>
    <row r="54" spans="2:17" x14ac:dyDescent="0.25">
      <c r="B54" s="112"/>
      <c r="C54" s="103" t="s">
        <v>45</v>
      </c>
      <c r="D54" s="30">
        <v>43844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3">
        <v>44194</v>
      </c>
    </row>
    <row r="55" spans="2:17" x14ac:dyDescent="0.25">
      <c r="B55" s="112"/>
      <c r="C55" s="103"/>
      <c r="D55" s="31">
        <v>943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f>SUM(D55:O55)</f>
        <v>943</v>
      </c>
    </row>
    <row r="56" spans="2:17" x14ac:dyDescent="0.25">
      <c r="B56" s="112"/>
      <c r="C56" s="109" t="s">
        <v>55</v>
      </c>
      <c r="D56" s="30"/>
      <c r="E56" s="30">
        <v>43891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3">
        <v>44194</v>
      </c>
    </row>
    <row r="57" spans="2:17" x14ac:dyDescent="0.25">
      <c r="B57" s="112"/>
      <c r="C57" s="110"/>
      <c r="D57" s="31">
        <v>0</v>
      </c>
      <c r="E57" s="31">
        <f>90</f>
        <v>90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f>SUM(D57:O57)</f>
        <v>90</v>
      </c>
    </row>
    <row r="58" spans="2:17" x14ac:dyDescent="0.25">
      <c r="B58" s="112"/>
      <c r="C58" s="109" t="s">
        <v>51</v>
      </c>
      <c r="D58" s="30">
        <v>43845</v>
      </c>
      <c r="E58" s="30"/>
      <c r="F58" s="30"/>
      <c r="G58" s="30"/>
      <c r="H58" s="30"/>
      <c r="I58" s="30">
        <v>44013</v>
      </c>
      <c r="J58" s="30"/>
      <c r="K58" s="30"/>
      <c r="L58" s="30"/>
      <c r="M58" s="30"/>
      <c r="N58" s="30"/>
      <c r="O58" s="30"/>
      <c r="P58" s="33">
        <v>44194</v>
      </c>
    </row>
    <row r="59" spans="2:17" x14ac:dyDescent="0.25">
      <c r="B59" s="112"/>
      <c r="C59" s="110"/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f>SUM(D59:O59)</f>
        <v>0</v>
      </c>
    </row>
    <row r="60" spans="2:17" x14ac:dyDescent="0.25">
      <c r="B60" s="112"/>
      <c r="C60" s="109" t="s">
        <v>47</v>
      </c>
      <c r="D60" s="30">
        <v>43862</v>
      </c>
      <c r="E60" s="30">
        <v>43891</v>
      </c>
      <c r="F60" s="30"/>
      <c r="G60" s="30">
        <v>43945</v>
      </c>
      <c r="H60" s="30">
        <v>43983</v>
      </c>
      <c r="I60" s="30">
        <v>44013</v>
      </c>
      <c r="J60" s="66">
        <v>44046</v>
      </c>
      <c r="K60" s="33"/>
      <c r="L60" s="30"/>
      <c r="M60" s="30"/>
      <c r="N60" s="30"/>
      <c r="O60" s="30"/>
      <c r="P60" s="33">
        <v>44194</v>
      </c>
    </row>
    <row r="61" spans="2:17" x14ac:dyDescent="0.25">
      <c r="B61" s="112"/>
      <c r="C61" s="110"/>
      <c r="D61" s="31">
        <f>91.71+64.7+50</f>
        <v>206.41</v>
      </c>
      <c r="E61" s="31">
        <f>13.9</f>
        <v>13.9</v>
      </c>
      <c r="F61" s="31">
        <v>0</v>
      </c>
      <c r="G61" s="31">
        <v>501.95</v>
      </c>
      <c r="H61" s="31">
        <v>0</v>
      </c>
      <c r="I61" s="31">
        <v>0</v>
      </c>
      <c r="J61" s="31">
        <v>148.63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f>SUM(D61:O61)</f>
        <v>870.89</v>
      </c>
    </row>
    <row r="62" spans="2:17" x14ac:dyDescent="0.25">
      <c r="B62" s="112"/>
      <c r="C62" s="109" t="s">
        <v>30</v>
      </c>
      <c r="D62" s="30">
        <v>43862</v>
      </c>
      <c r="E62" s="30">
        <v>43891</v>
      </c>
      <c r="F62" s="30">
        <v>43889</v>
      </c>
      <c r="G62" s="30">
        <v>43953</v>
      </c>
      <c r="H62" s="30">
        <v>43983</v>
      </c>
      <c r="I62" s="30">
        <v>44013</v>
      </c>
      <c r="J62" s="66">
        <v>44046</v>
      </c>
      <c r="K62" s="33"/>
      <c r="L62" s="30"/>
      <c r="M62" s="30"/>
      <c r="N62" s="30"/>
      <c r="O62" s="30"/>
      <c r="P62" s="33">
        <v>44194</v>
      </c>
    </row>
    <row r="63" spans="2:17" x14ac:dyDescent="0.25">
      <c r="B63" s="112"/>
      <c r="C63" s="110"/>
      <c r="D63" s="31">
        <f>245+45+242+101.63+245+130+65.25</f>
        <v>1073.8800000000001</v>
      </c>
      <c r="E63" s="31">
        <f>240+51.75+240+245+57.38+51.5+51.5+245+57.38</f>
        <v>1239.51</v>
      </c>
      <c r="F63" s="31">
        <f>32.63+240+240+57.38-31+43.88</f>
        <v>582.89</v>
      </c>
      <c r="G63" s="31">
        <v>0</v>
      </c>
      <c r="H63" s="31">
        <f>0</f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f>SUM(D63:O63)</f>
        <v>2896.28</v>
      </c>
    </row>
    <row r="64" spans="2:17" x14ac:dyDescent="0.25">
      <c r="B64" s="112"/>
      <c r="C64" s="109" t="s">
        <v>41</v>
      </c>
      <c r="D64" s="30"/>
      <c r="E64" s="30">
        <v>43899</v>
      </c>
      <c r="F64" s="30"/>
      <c r="G64" s="30"/>
      <c r="H64" s="30">
        <v>43983</v>
      </c>
      <c r="I64" s="30">
        <v>44013</v>
      </c>
      <c r="J64" s="66">
        <v>44046</v>
      </c>
      <c r="K64" s="30"/>
      <c r="L64" s="30"/>
      <c r="M64" s="30"/>
      <c r="N64" s="30"/>
      <c r="O64" s="30">
        <v>44178</v>
      </c>
      <c r="P64" s="33">
        <v>44194</v>
      </c>
    </row>
    <row r="65" spans="2:18" x14ac:dyDescent="0.25">
      <c r="B65" s="112"/>
      <c r="C65" s="110"/>
      <c r="D65" s="31">
        <v>0</v>
      </c>
      <c r="E65" s="31">
        <v>0</v>
      </c>
      <c r="F65" s="31">
        <v>0</v>
      </c>
      <c r="G65" s="31">
        <v>0</v>
      </c>
      <c r="H65" s="31">
        <v>240</v>
      </c>
      <c r="I65" s="31">
        <v>380</v>
      </c>
      <c r="J65" s="31">
        <f>44.92+1550+7.38+19.08-12.48+76.1+28.33</f>
        <v>1713.33</v>
      </c>
      <c r="K65" s="31">
        <v>0</v>
      </c>
      <c r="L65" s="31">
        <v>0</v>
      </c>
      <c r="M65" s="31">
        <v>0</v>
      </c>
      <c r="N65" s="31">
        <v>0</v>
      </c>
      <c r="O65" s="31">
        <v>183.93</v>
      </c>
      <c r="P65" s="31">
        <f>SUM(D65:O65)</f>
        <v>2517.2600000000002</v>
      </c>
      <c r="Q65" s="34"/>
      <c r="R65" s="45"/>
    </row>
    <row r="66" spans="2:18" x14ac:dyDescent="0.25">
      <c r="B66" s="113"/>
      <c r="C66" s="38" t="s">
        <v>0</v>
      </c>
      <c r="D66" s="10">
        <f t="shared" ref="D66:P66" si="3">SUM(D53,D55,D57,D59,D61,D63,D65)</f>
        <v>2638.29</v>
      </c>
      <c r="E66" s="10">
        <f t="shared" si="3"/>
        <v>1343.41</v>
      </c>
      <c r="F66" s="10">
        <f t="shared" si="3"/>
        <v>582.89</v>
      </c>
      <c r="G66" s="10">
        <f t="shared" si="3"/>
        <v>501.95</v>
      </c>
      <c r="H66" s="10">
        <f t="shared" si="3"/>
        <v>240</v>
      </c>
      <c r="I66" s="10">
        <f t="shared" si="3"/>
        <v>380</v>
      </c>
      <c r="J66" s="10">
        <f t="shared" si="3"/>
        <v>1861.96</v>
      </c>
      <c r="K66" s="10">
        <f t="shared" si="3"/>
        <v>0</v>
      </c>
      <c r="L66" s="10">
        <f t="shared" si="3"/>
        <v>0</v>
      </c>
      <c r="M66" s="10">
        <f t="shared" si="3"/>
        <v>0</v>
      </c>
      <c r="N66" s="10">
        <f t="shared" si="3"/>
        <v>0</v>
      </c>
      <c r="O66" s="10">
        <f t="shared" si="3"/>
        <v>183.93</v>
      </c>
      <c r="P66" s="10">
        <f t="shared" si="3"/>
        <v>7732.43</v>
      </c>
    </row>
    <row r="67" spans="2:18" x14ac:dyDescent="0.25">
      <c r="C67" s="11" t="s">
        <v>0</v>
      </c>
      <c r="D67" s="12">
        <f t="shared" ref="D67:P67" si="4">SUM(D19,D24,D51,D66)</f>
        <v>7125.49</v>
      </c>
      <c r="E67" s="12">
        <f t="shared" si="4"/>
        <v>4323.8100000000004</v>
      </c>
      <c r="F67" s="12">
        <f t="shared" si="4"/>
        <v>28859.24</v>
      </c>
      <c r="G67" s="12">
        <f t="shared" si="4"/>
        <v>3326.32</v>
      </c>
      <c r="H67" s="12">
        <f t="shared" si="4"/>
        <v>3270.6</v>
      </c>
      <c r="I67" s="12">
        <f t="shared" si="4"/>
        <v>3790.27</v>
      </c>
      <c r="J67" s="12">
        <f t="shared" si="4"/>
        <v>4954.05</v>
      </c>
      <c r="K67" s="12">
        <f t="shared" si="4"/>
        <v>47980.86</v>
      </c>
      <c r="L67" s="12">
        <f t="shared" si="4"/>
        <v>4236.8</v>
      </c>
      <c r="M67" s="12">
        <f t="shared" si="4"/>
        <v>1772.88</v>
      </c>
      <c r="N67" s="12">
        <f t="shared" si="4"/>
        <v>1647.2</v>
      </c>
      <c r="O67" s="12">
        <f t="shared" si="4"/>
        <v>2854.92</v>
      </c>
      <c r="P67" s="56">
        <f t="shared" si="4"/>
        <v>114100.48</v>
      </c>
    </row>
    <row r="68" spans="2:18" x14ac:dyDescent="0.25">
      <c r="C68" t="s">
        <v>57</v>
      </c>
      <c r="D68" s="34">
        <f t="shared" ref="D68:O68" si="5">D67-D21</f>
        <v>5232.13</v>
      </c>
      <c r="E68" s="34">
        <f t="shared" si="5"/>
        <v>2430.4499999999998</v>
      </c>
      <c r="F68" s="34">
        <f t="shared" si="5"/>
        <v>1765.88</v>
      </c>
      <c r="G68" s="34">
        <f t="shared" si="5"/>
        <v>1232.96</v>
      </c>
      <c r="H68" s="34">
        <f t="shared" si="5"/>
        <v>1677.24</v>
      </c>
      <c r="I68" s="34">
        <f t="shared" si="5"/>
        <v>2196.91</v>
      </c>
      <c r="J68" s="34">
        <f t="shared" si="5"/>
        <v>3360.69</v>
      </c>
      <c r="K68" s="34">
        <f t="shared" si="5"/>
        <v>1368.93</v>
      </c>
      <c r="L68" s="34">
        <f t="shared" si="5"/>
        <v>2091.41</v>
      </c>
      <c r="M68" s="34">
        <f t="shared" si="5"/>
        <v>1772.88</v>
      </c>
      <c r="N68" s="34">
        <f t="shared" si="5"/>
        <v>1647.2</v>
      </c>
      <c r="O68" s="34">
        <f t="shared" si="5"/>
        <v>2854.92</v>
      </c>
    </row>
    <row r="69" spans="2:18" x14ac:dyDescent="0.25">
      <c r="P69" s="34">
        <f>P67-P24</f>
        <v>27589.64</v>
      </c>
    </row>
  </sheetData>
  <mergeCells count="34">
    <mergeCell ref="B3:B19"/>
    <mergeCell ref="C3:C4"/>
    <mergeCell ref="C5:C6"/>
    <mergeCell ref="C7:C8"/>
    <mergeCell ref="C9:C10"/>
    <mergeCell ref="C11:C12"/>
    <mergeCell ref="C13:C14"/>
    <mergeCell ref="C15:C16"/>
    <mergeCell ref="C17:C18"/>
    <mergeCell ref="C47:C48"/>
    <mergeCell ref="B20:B24"/>
    <mergeCell ref="C20:C21"/>
    <mergeCell ref="C22:C23"/>
    <mergeCell ref="B25:B51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9:C50"/>
    <mergeCell ref="B52:B66"/>
    <mergeCell ref="C52:C53"/>
    <mergeCell ref="C54:C55"/>
    <mergeCell ref="C56:C57"/>
    <mergeCell ref="C58:C59"/>
    <mergeCell ref="C60:C61"/>
    <mergeCell ref="C62:C63"/>
    <mergeCell ref="C64:C6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Hu</dc:creator>
  <cp:lastModifiedBy>Yiran Hu</cp:lastModifiedBy>
  <dcterms:created xsi:type="dcterms:W3CDTF">2013-12-30T15:49:28Z</dcterms:created>
  <dcterms:modified xsi:type="dcterms:W3CDTF">2025-07-26T13:12:52Z</dcterms:modified>
</cp:coreProperties>
</file>