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sarrollo\spring\API_SETA_01\src\test\resources\"/>
    </mc:Choice>
  </mc:AlternateContent>
  <bookViews>
    <workbookView xWindow="-120" yWindow="-120" windowWidth="29040" windowHeight="15996" firstSheet="7" activeTab="7"/>
  </bookViews>
  <sheets>
    <sheet name="Perfiles03" sheetId="2" state="hidden" r:id="rId1"/>
    <sheet name="Perfiles04" sheetId="6" state="hidden" r:id="rId2"/>
    <sheet name="Perfiles05" sheetId="9" state="hidden" r:id="rId3"/>
    <sheet name="Perfiles06" sheetId="12" state="hidden" r:id="rId4"/>
    <sheet name="Perfiles07" sheetId="14" state="hidden" r:id="rId5"/>
    <sheet name="Perfiles08" sheetId="18" state="hidden" r:id="rId6"/>
    <sheet name="Perfiles09" sheetId="19" state="hidden" r:id="rId7"/>
    <sheet name="API_SETA" sheetId="22" r:id="rId8"/>
    <sheet name="SETA AVAN" sheetId="11" state="hidden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19" l="1"/>
  <c r="E31" i="19"/>
  <c r="E30" i="19"/>
  <c r="E29" i="19"/>
  <c r="K28" i="19"/>
  <c r="E28" i="19"/>
  <c r="H25" i="19"/>
  <c r="H24" i="19"/>
  <c r="D24" i="19"/>
  <c r="H23" i="19"/>
  <c r="D23" i="19"/>
  <c r="H22" i="19"/>
  <c r="D22" i="19"/>
  <c r="H21" i="19"/>
  <c r="P15" i="19"/>
  <c r="P14" i="19"/>
  <c r="O14" i="19"/>
  <c r="P13" i="19"/>
  <c r="O13" i="19"/>
  <c r="O12" i="19"/>
  <c r="AD6" i="19"/>
  <c r="AB6" i="19"/>
  <c r="Z6" i="19"/>
  <c r="E24" i="19" s="1"/>
  <c r="R6" i="19"/>
  <c r="I6" i="19"/>
  <c r="G6" i="19"/>
  <c r="C6" i="19"/>
  <c r="AB5" i="19"/>
  <c r="Z5" i="19"/>
  <c r="E23" i="19" s="1"/>
  <c r="R5" i="19"/>
  <c r="I5" i="19"/>
  <c r="G5" i="19"/>
  <c r="C5" i="19"/>
  <c r="AD4" i="19"/>
  <c r="Z4" i="19"/>
  <c r="AB4" i="19" s="1"/>
  <c r="R4" i="19"/>
  <c r="I4" i="19"/>
  <c r="I7" i="19" s="1"/>
  <c r="G4" i="19"/>
  <c r="C4" i="19"/>
  <c r="Z3" i="19"/>
  <c r="Z12" i="19" s="1"/>
  <c r="P3" i="19"/>
  <c r="R3" i="19" s="1"/>
  <c r="G3" i="19"/>
  <c r="C3" i="19"/>
  <c r="AD1" i="19"/>
  <c r="AD5" i="19" s="1"/>
  <c r="E21" i="19" l="1"/>
  <c r="D21" i="19"/>
  <c r="P7" i="19"/>
  <c r="P12" i="19"/>
  <c r="P16" i="19" s="1"/>
  <c r="E22" i="19"/>
  <c r="AB3" i="19"/>
  <c r="AD3" i="19"/>
  <c r="E25" i="19" l="1"/>
  <c r="E34" i="19" l="1"/>
  <c r="C4" i="18" l="1"/>
  <c r="C5" i="18"/>
  <c r="C6" i="18"/>
  <c r="C3" i="18"/>
  <c r="G3" i="18"/>
  <c r="H35" i="18" l="1"/>
  <c r="E31" i="18"/>
  <c r="E30" i="18"/>
  <c r="E29" i="18"/>
  <c r="K28" i="18"/>
  <c r="E28" i="18"/>
  <c r="H24" i="18"/>
  <c r="H23" i="18"/>
  <c r="E23" i="18"/>
  <c r="D23" i="18"/>
  <c r="H22" i="18"/>
  <c r="H25" i="18" s="1"/>
  <c r="D22" i="18"/>
  <c r="H21" i="18"/>
  <c r="D21" i="18"/>
  <c r="P15" i="18"/>
  <c r="P14" i="18"/>
  <c r="O14" i="18"/>
  <c r="P13" i="18"/>
  <c r="O13" i="18"/>
  <c r="Z12" i="18"/>
  <c r="E21" i="18" s="1"/>
  <c r="O12" i="18"/>
  <c r="Z6" i="18"/>
  <c r="AB6" i="18" s="1"/>
  <c r="I6" i="18"/>
  <c r="G6" i="18"/>
  <c r="AB5" i="18"/>
  <c r="Z5" i="18"/>
  <c r="R5" i="18"/>
  <c r="I5" i="18"/>
  <c r="G5" i="18"/>
  <c r="AB4" i="18"/>
  <c r="Z4" i="18"/>
  <c r="E22" i="18" s="1"/>
  <c r="R4" i="18"/>
  <c r="I4" i="18"/>
  <c r="I7" i="18" s="1"/>
  <c r="G4" i="18"/>
  <c r="Z3" i="18"/>
  <c r="P3" i="18"/>
  <c r="P7" i="18" s="1"/>
  <c r="AD1" i="18"/>
  <c r="AD5" i="18" s="1"/>
  <c r="R6" i="18" l="1"/>
  <c r="AD6" i="18"/>
  <c r="P12" i="18"/>
  <c r="P16" i="18" s="1"/>
  <c r="R3" i="18"/>
  <c r="D24" i="18"/>
  <c r="E24" i="18"/>
  <c r="AB3" i="18"/>
  <c r="AD3" i="18"/>
  <c r="AD4" i="18"/>
  <c r="E25" i="18" l="1"/>
  <c r="E34" i="18" l="1"/>
  <c r="C21" i="14" l="1"/>
  <c r="G35" i="14" l="1"/>
  <c r="D30" i="14"/>
  <c r="D29" i="14"/>
  <c r="D31" i="14" s="1"/>
  <c r="J28" i="14"/>
  <c r="D28" i="14"/>
  <c r="G25" i="14"/>
  <c r="G24" i="14"/>
  <c r="G23" i="14"/>
  <c r="G22" i="14"/>
  <c r="G21" i="14"/>
  <c r="O15" i="14"/>
  <c r="O14" i="14"/>
  <c r="N14" i="14"/>
  <c r="O13" i="14"/>
  <c r="N13" i="14"/>
  <c r="N12" i="14"/>
  <c r="Y6" i="14"/>
  <c r="D24" i="14" s="1"/>
  <c r="Q6" i="14"/>
  <c r="H6" i="14"/>
  <c r="F6" i="14"/>
  <c r="Y5" i="14"/>
  <c r="D23" i="14" s="1"/>
  <c r="H5" i="14"/>
  <c r="F5" i="14"/>
  <c r="Y4" i="14"/>
  <c r="Q4" i="14" s="1"/>
  <c r="F4" i="14"/>
  <c r="Y3" i="14"/>
  <c r="Y12" i="14" s="1"/>
  <c r="O3" i="14"/>
  <c r="Q3" i="14" s="1"/>
  <c r="F3" i="14"/>
  <c r="AC1" i="14"/>
  <c r="AC6" i="14" s="1"/>
  <c r="D21" i="14" l="1"/>
  <c r="O7" i="14"/>
  <c r="AA3" i="14"/>
  <c r="AA4" i="14"/>
  <c r="AA5" i="14"/>
  <c r="AC3" i="14"/>
  <c r="AC4" i="14"/>
  <c r="AC5" i="14"/>
  <c r="AA6" i="14"/>
  <c r="O12" i="14"/>
  <c r="O16" i="14" s="1"/>
  <c r="C22" i="14"/>
  <c r="C24" i="14"/>
  <c r="D22" i="14"/>
  <c r="Q5" i="14"/>
  <c r="C23" i="14"/>
  <c r="D25" i="14" l="1"/>
  <c r="G35" i="12"/>
  <c r="D30" i="12"/>
  <c r="D29" i="12"/>
  <c r="J28" i="12"/>
  <c r="D28" i="12"/>
  <c r="D31" i="12" s="1"/>
  <c r="G24" i="12"/>
  <c r="D24" i="12"/>
  <c r="G23" i="12"/>
  <c r="G25" i="12" s="1"/>
  <c r="G22" i="12"/>
  <c r="G21" i="12"/>
  <c r="O15" i="12"/>
  <c r="O14" i="12"/>
  <c r="N14" i="12"/>
  <c r="O13" i="12"/>
  <c r="N13" i="12"/>
  <c r="O12" i="12"/>
  <c r="O16" i="12" s="1"/>
  <c r="N12" i="12"/>
  <c r="Y6" i="12"/>
  <c r="C24" i="12" s="1"/>
  <c r="Q6" i="12"/>
  <c r="F6" i="12"/>
  <c r="AC5" i="12"/>
  <c r="Y5" i="12"/>
  <c r="C23" i="12" s="1"/>
  <c r="Q5" i="12"/>
  <c r="F5" i="12"/>
  <c r="Y4" i="12"/>
  <c r="C22" i="12" s="1"/>
  <c r="F4" i="12"/>
  <c r="AC3" i="12"/>
  <c r="Y3" i="12"/>
  <c r="Y12" i="12" s="1"/>
  <c r="O3" i="12"/>
  <c r="F3" i="12"/>
  <c r="AC1" i="12"/>
  <c r="AC6" i="12" s="1"/>
  <c r="D34" i="14" l="1"/>
  <c r="D21" i="12"/>
  <c r="C21" i="12"/>
  <c r="AC4" i="12"/>
  <c r="Q3" i="12"/>
  <c r="AA4" i="12"/>
  <c r="D22" i="12"/>
  <c r="D25" i="12" s="1"/>
  <c r="D34" i="12" s="1"/>
  <c r="AA5" i="12"/>
  <c r="D23" i="12"/>
  <c r="Q4" i="12"/>
  <c r="AA6" i="12"/>
  <c r="AA3" i="12"/>
  <c r="O7" i="12"/>
  <c r="D30" i="9" l="1"/>
  <c r="D29" i="9"/>
  <c r="D28" i="9"/>
  <c r="D31" i="9" s="1"/>
  <c r="G24" i="9" l="1"/>
  <c r="G23" i="9"/>
  <c r="G22" i="9"/>
  <c r="G25" i="9" s="1"/>
  <c r="G21" i="9"/>
  <c r="J28" i="9"/>
  <c r="G35" i="9"/>
  <c r="O15" i="9"/>
  <c r="O14" i="9"/>
  <c r="N14" i="9"/>
  <c r="O13" i="9"/>
  <c r="N13" i="9"/>
  <c r="N12" i="9"/>
  <c r="Y6" i="9"/>
  <c r="F6" i="9"/>
  <c r="F5" i="9"/>
  <c r="F4" i="9"/>
  <c r="O3" i="9"/>
  <c r="F3" i="9"/>
  <c r="AC1" i="9"/>
  <c r="AC6" i="9" s="1"/>
  <c r="Y5" i="9"/>
  <c r="C23" i="9" s="1"/>
  <c r="Q6" i="9" l="1"/>
  <c r="C24" i="9"/>
  <c r="D24" i="9"/>
  <c r="Q5" i="9"/>
  <c r="D23" i="9"/>
  <c r="AA5" i="9"/>
  <c r="AC3" i="9"/>
  <c r="AC4" i="9"/>
  <c r="AC5" i="9"/>
  <c r="AA6" i="9"/>
  <c r="O12" i="9"/>
  <c r="O16" i="9" s="1"/>
  <c r="O7" i="9"/>
  <c r="Y3" i="9"/>
  <c r="C21" i="9" s="1"/>
  <c r="Y4" i="9"/>
  <c r="D22" i="9" l="1"/>
  <c r="C22" i="9"/>
  <c r="D21" i="9"/>
  <c r="AA3" i="9"/>
  <c r="Q3" i="9"/>
  <c r="Q4" i="9"/>
  <c r="AA4" i="9"/>
  <c r="D25" i="9" l="1"/>
  <c r="D34" i="9" l="1"/>
  <c r="G27" i="6" l="1"/>
  <c r="J28" i="6"/>
  <c r="AC6" i="6"/>
  <c r="AC1" i="6"/>
  <c r="AC4" i="6" s="1"/>
  <c r="Y1" i="6"/>
  <c r="Y6" i="6" s="1"/>
  <c r="Q6" i="6" s="1"/>
  <c r="O15" i="6"/>
  <c r="N14" i="6"/>
  <c r="N13" i="6"/>
  <c r="N12" i="6"/>
  <c r="F6" i="6"/>
  <c r="O14" i="6"/>
  <c r="F5" i="6"/>
  <c r="O13" i="6"/>
  <c r="F4" i="6"/>
  <c r="O3" i="6"/>
  <c r="F3" i="6"/>
  <c r="AA6" i="6" l="1"/>
  <c r="Y5" i="6"/>
  <c r="AC3" i="6"/>
  <c r="D24" i="6"/>
  <c r="AC5" i="6"/>
  <c r="Y4" i="6"/>
  <c r="H6" i="12"/>
  <c r="H5" i="12"/>
  <c r="Y3" i="6"/>
  <c r="O7" i="6"/>
  <c r="O12" i="6"/>
  <c r="O16" i="6" s="1"/>
  <c r="AA4" i="6" l="1"/>
  <c r="D22" i="6"/>
  <c r="Q4" i="6"/>
  <c r="AA3" i="6"/>
  <c r="D21" i="6"/>
  <c r="Q5" i="6"/>
  <c r="AA5" i="6"/>
  <c r="D23" i="6"/>
  <c r="Q3" i="6"/>
  <c r="H6" i="6"/>
  <c r="H6" i="9"/>
  <c r="H5" i="6"/>
  <c r="H5" i="9"/>
  <c r="D25" i="6" l="1"/>
  <c r="F4" i="2" l="1"/>
  <c r="F5" i="2"/>
  <c r="F6" i="2"/>
  <c r="F3" i="2"/>
  <c r="O15" i="2" l="1"/>
  <c r="O5" i="2"/>
  <c r="O14" i="2" s="1"/>
  <c r="O4" i="2"/>
  <c r="O13" i="2" s="1"/>
  <c r="O3" i="2"/>
  <c r="O12" i="2" s="1"/>
  <c r="N14" i="2"/>
  <c r="N13" i="2"/>
  <c r="N12" i="2"/>
  <c r="O7" i="2" l="1"/>
  <c r="O16" i="2"/>
  <c r="B4" i="19" l="1"/>
  <c r="B5" i="19"/>
  <c r="B6" i="19"/>
  <c r="B3" i="19"/>
  <c r="B6" i="18"/>
  <c r="B5" i="18"/>
  <c r="B4" i="18"/>
  <c r="B3" i="18"/>
  <c r="B5" i="14"/>
  <c r="E14" i="14" s="1"/>
  <c r="B6" i="14"/>
  <c r="E15" i="14" s="1"/>
  <c r="B3" i="14"/>
  <c r="B4" i="14"/>
  <c r="E13" i="14" s="1"/>
  <c r="B3" i="12"/>
  <c r="B5" i="12"/>
  <c r="B6" i="12"/>
  <c r="B4" i="12"/>
  <c r="B4" i="9"/>
  <c r="B3" i="2"/>
  <c r="B5" i="9"/>
  <c r="B3" i="9"/>
  <c r="B6" i="9"/>
  <c r="B5" i="6"/>
  <c r="B6" i="6"/>
  <c r="B4" i="6"/>
  <c r="B3" i="6"/>
  <c r="B5" i="2"/>
  <c r="B4" i="2"/>
  <c r="B6" i="2"/>
  <c r="C14" i="14" l="1"/>
  <c r="D12" i="19"/>
  <c r="F12" i="19"/>
  <c r="C12" i="19"/>
  <c r="H3" i="19"/>
  <c r="B7" i="19"/>
  <c r="D15" i="19"/>
  <c r="H6" i="19"/>
  <c r="F15" i="19"/>
  <c r="C15" i="19"/>
  <c r="H5" i="19"/>
  <c r="F14" i="19"/>
  <c r="D14" i="19"/>
  <c r="C14" i="19"/>
  <c r="F13" i="19"/>
  <c r="D13" i="19"/>
  <c r="H4" i="19"/>
  <c r="C13" i="19"/>
  <c r="G5" i="14"/>
  <c r="D14" i="14" s="1"/>
  <c r="E12" i="14"/>
  <c r="E16" i="14" s="1"/>
  <c r="B7" i="14"/>
  <c r="C12" i="18"/>
  <c r="F12" i="18"/>
  <c r="H3" i="18"/>
  <c r="D12" i="18"/>
  <c r="B7" i="18"/>
  <c r="C13" i="18"/>
  <c r="F13" i="18"/>
  <c r="H4" i="18"/>
  <c r="D13" i="18"/>
  <c r="C14" i="18"/>
  <c r="H5" i="18"/>
  <c r="D14" i="18"/>
  <c r="F14" i="18"/>
  <c r="C15" i="18"/>
  <c r="D15" i="18"/>
  <c r="F15" i="18"/>
  <c r="H6" i="18"/>
  <c r="G4" i="14"/>
  <c r="D13" i="14" s="1"/>
  <c r="E22" i="14" s="1"/>
  <c r="C13" i="14"/>
  <c r="G3" i="14"/>
  <c r="D12" i="14" s="1"/>
  <c r="C12" i="14"/>
  <c r="C15" i="14"/>
  <c r="G6" i="14"/>
  <c r="C13" i="6"/>
  <c r="G4" i="6"/>
  <c r="D13" i="6" s="1"/>
  <c r="E22" i="6" s="1"/>
  <c r="G4" i="12"/>
  <c r="D13" i="12" s="1"/>
  <c r="E22" i="12" s="1"/>
  <c r="C13" i="12"/>
  <c r="C13" i="9"/>
  <c r="G4" i="9"/>
  <c r="G6" i="6"/>
  <c r="C15" i="6"/>
  <c r="C15" i="12"/>
  <c r="G6" i="12"/>
  <c r="B7" i="6"/>
  <c r="G3" i="6"/>
  <c r="C12" i="6"/>
  <c r="C14" i="6"/>
  <c r="G5" i="6"/>
  <c r="G5" i="12"/>
  <c r="C14" i="12"/>
  <c r="C15" i="9"/>
  <c r="G6" i="9"/>
  <c r="B7" i="12"/>
  <c r="C12" i="12"/>
  <c r="G3" i="12"/>
  <c r="G3" i="9"/>
  <c r="C12" i="9"/>
  <c r="B7" i="9"/>
  <c r="G5" i="9"/>
  <c r="C14" i="9"/>
  <c r="C16" i="19" l="1"/>
  <c r="E15" i="19"/>
  <c r="K6" i="19"/>
  <c r="J6" i="19"/>
  <c r="K3" i="19"/>
  <c r="V3" i="19"/>
  <c r="W3" i="19" s="1"/>
  <c r="E12" i="19"/>
  <c r="H7" i="19"/>
  <c r="F16" i="19"/>
  <c r="D16" i="19"/>
  <c r="P17" i="19" s="1"/>
  <c r="K5" i="19"/>
  <c r="K14" i="19" s="1"/>
  <c r="E14" i="19"/>
  <c r="J5" i="19"/>
  <c r="J4" i="19"/>
  <c r="E13" i="19"/>
  <c r="I5" i="14"/>
  <c r="J5" i="14"/>
  <c r="J14" i="14" s="1"/>
  <c r="D16" i="18"/>
  <c r="P17" i="18" s="1"/>
  <c r="F16" i="18"/>
  <c r="H7" i="18"/>
  <c r="K5" i="18"/>
  <c r="K14" i="18" s="1"/>
  <c r="J5" i="18"/>
  <c r="E14" i="18"/>
  <c r="F23" i="18" s="1"/>
  <c r="E12" i="18"/>
  <c r="V3" i="18"/>
  <c r="W3" i="18" s="1"/>
  <c r="K3" i="18"/>
  <c r="K6" i="18"/>
  <c r="J6" i="18"/>
  <c r="E15" i="18"/>
  <c r="F24" i="18" s="1"/>
  <c r="C16" i="18"/>
  <c r="J4" i="18"/>
  <c r="E13" i="18"/>
  <c r="F22" i="18" s="1"/>
  <c r="C16" i="14"/>
  <c r="I6" i="14"/>
  <c r="D15" i="14"/>
  <c r="E24" i="14" s="1"/>
  <c r="J6" i="14"/>
  <c r="J3" i="14"/>
  <c r="U3" i="14"/>
  <c r="V3" i="14" s="1"/>
  <c r="E21" i="14"/>
  <c r="G7" i="14"/>
  <c r="E23" i="14"/>
  <c r="C16" i="12"/>
  <c r="O17" i="12" s="1"/>
  <c r="D14" i="6"/>
  <c r="E23" i="6" s="1"/>
  <c r="J5" i="6"/>
  <c r="J14" i="6" s="1"/>
  <c r="I5" i="6"/>
  <c r="G7" i="9"/>
  <c r="D13" i="9"/>
  <c r="E22" i="9" s="1"/>
  <c r="J6" i="9"/>
  <c r="D15" i="9"/>
  <c r="E24" i="9" s="1"/>
  <c r="I6" i="9"/>
  <c r="D12" i="6"/>
  <c r="G7" i="6"/>
  <c r="J3" i="6"/>
  <c r="U3" i="6"/>
  <c r="V3" i="6" s="1"/>
  <c r="G7" i="12"/>
  <c r="D12" i="12"/>
  <c r="J3" i="12"/>
  <c r="U3" i="12"/>
  <c r="V3" i="12" s="1"/>
  <c r="C16" i="6"/>
  <c r="J5" i="9"/>
  <c r="J14" i="9" s="1"/>
  <c r="D14" i="9"/>
  <c r="E23" i="9" s="1"/>
  <c r="I5" i="9"/>
  <c r="D15" i="6"/>
  <c r="E24" i="6" s="1"/>
  <c r="J6" i="6"/>
  <c r="I6" i="6"/>
  <c r="C16" i="9"/>
  <c r="O17" i="9" s="1"/>
  <c r="J6" i="12"/>
  <c r="D15" i="12"/>
  <c r="E24" i="12" s="1"/>
  <c r="I6" i="12"/>
  <c r="D12" i="9"/>
  <c r="J3" i="9"/>
  <c r="U3" i="9"/>
  <c r="V3" i="9" s="1"/>
  <c r="D14" i="12"/>
  <c r="E23" i="12" s="1"/>
  <c r="J5" i="12"/>
  <c r="J14" i="12" s="1"/>
  <c r="I5" i="12"/>
  <c r="L15" i="2"/>
  <c r="Y6" i="2"/>
  <c r="Y5" i="2"/>
  <c r="Y4" i="2"/>
  <c r="F23" i="19" l="1"/>
  <c r="F24" i="19"/>
  <c r="F22" i="19"/>
  <c r="F21" i="19"/>
  <c r="E16" i="19"/>
  <c r="V6" i="19"/>
  <c r="V4" i="19"/>
  <c r="V5" i="19"/>
  <c r="K12" i="19"/>
  <c r="L5" i="19"/>
  <c r="L14" i="19" s="1"/>
  <c r="L3" i="19"/>
  <c r="L6" i="19"/>
  <c r="K15" i="19"/>
  <c r="V6" i="18"/>
  <c r="V5" i="18"/>
  <c r="V4" i="18"/>
  <c r="F21" i="18"/>
  <c r="E16" i="18"/>
  <c r="L3" i="18"/>
  <c r="K12" i="18"/>
  <c r="L5" i="18"/>
  <c r="L14" i="18" s="1"/>
  <c r="L6" i="18"/>
  <c r="K15" i="18"/>
  <c r="O17" i="14"/>
  <c r="U6" i="14"/>
  <c r="U5" i="14"/>
  <c r="U4" i="14"/>
  <c r="K3" i="14"/>
  <c r="J12" i="14"/>
  <c r="K5" i="14"/>
  <c r="K14" i="14" s="1"/>
  <c r="K6" i="14"/>
  <c r="J15" i="14"/>
  <c r="D16" i="14"/>
  <c r="E25" i="14" s="1"/>
  <c r="O17" i="6"/>
  <c r="K3" i="9"/>
  <c r="J12" i="9"/>
  <c r="K5" i="9"/>
  <c r="K14" i="9" s="1"/>
  <c r="D16" i="12"/>
  <c r="E21" i="12"/>
  <c r="J12" i="12"/>
  <c r="K5" i="12"/>
  <c r="K14" i="12" s="1"/>
  <c r="K3" i="12"/>
  <c r="D16" i="9"/>
  <c r="E21" i="9"/>
  <c r="J15" i="9"/>
  <c r="K6" i="9"/>
  <c r="K6" i="12"/>
  <c r="J15" i="12"/>
  <c r="U4" i="6"/>
  <c r="U5" i="6"/>
  <c r="K5" i="6" s="1"/>
  <c r="K14" i="6" s="1"/>
  <c r="U6" i="6"/>
  <c r="K3" i="6"/>
  <c r="J12" i="6"/>
  <c r="U4" i="9"/>
  <c r="U6" i="9"/>
  <c r="U5" i="9"/>
  <c r="J15" i="6"/>
  <c r="K6" i="6"/>
  <c r="U4" i="12"/>
  <c r="U6" i="12"/>
  <c r="U5" i="12"/>
  <c r="D16" i="6"/>
  <c r="E21" i="6"/>
  <c r="J6" i="2"/>
  <c r="J15" i="2" s="1"/>
  <c r="K4" i="19" l="1"/>
  <c r="V7" i="19"/>
  <c r="H9" i="19" s="1"/>
  <c r="E17" i="19"/>
  <c r="E26" i="19"/>
  <c r="F25" i="19"/>
  <c r="M3" i="19"/>
  <c r="L12" i="19"/>
  <c r="L15" i="19"/>
  <c r="M6" i="19"/>
  <c r="E26" i="18"/>
  <c r="E17" i="18"/>
  <c r="F25" i="18"/>
  <c r="K4" i="18"/>
  <c r="V7" i="18"/>
  <c r="H9" i="18" s="1"/>
  <c r="M6" i="18"/>
  <c r="L15" i="18"/>
  <c r="M3" i="18"/>
  <c r="L12" i="18"/>
  <c r="D17" i="14"/>
  <c r="D26" i="14"/>
  <c r="L6" i="14"/>
  <c r="K15" i="14"/>
  <c r="K12" i="14"/>
  <c r="L3" i="14"/>
  <c r="U7" i="14"/>
  <c r="G9" i="14" s="1"/>
  <c r="J4" i="14"/>
  <c r="U7" i="12"/>
  <c r="G9" i="12" s="1"/>
  <c r="J4" i="12"/>
  <c r="L3" i="6"/>
  <c r="K12" i="6"/>
  <c r="K15" i="6"/>
  <c r="L6" i="6"/>
  <c r="E25" i="9"/>
  <c r="D17" i="9"/>
  <c r="D26" i="9"/>
  <c r="L6" i="9"/>
  <c r="K15" i="9"/>
  <c r="E25" i="12"/>
  <c r="D17" i="12"/>
  <c r="D26" i="12"/>
  <c r="U7" i="6"/>
  <c r="G9" i="6" s="1"/>
  <c r="J4" i="6"/>
  <c r="L3" i="12"/>
  <c r="K12" i="12"/>
  <c r="K12" i="9"/>
  <c r="L3" i="9"/>
  <c r="E25" i="6"/>
  <c r="D26" i="6"/>
  <c r="U7" i="9"/>
  <c r="G9" i="9" s="1"/>
  <c r="J4" i="9"/>
  <c r="K15" i="12"/>
  <c r="L6" i="12"/>
  <c r="D17" i="6"/>
  <c r="H6" i="2"/>
  <c r="R6" i="2" s="1"/>
  <c r="H4" i="2"/>
  <c r="K6" i="2"/>
  <c r="K15" i="2" s="1"/>
  <c r="M12" i="19" l="1"/>
  <c r="N3" i="19"/>
  <c r="K13" i="19"/>
  <c r="K16" i="19" s="1"/>
  <c r="K17" i="19" s="1"/>
  <c r="L4" i="19"/>
  <c r="K7" i="19"/>
  <c r="N6" i="19"/>
  <c r="N15" i="19" s="1"/>
  <c r="M15" i="19"/>
  <c r="S6" i="19"/>
  <c r="N3" i="18"/>
  <c r="M12" i="18"/>
  <c r="M15" i="18"/>
  <c r="N6" i="18"/>
  <c r="N15" i="18" s="1"/>
  <c r="S6" i="18"/>
  <c r="L4" i="18"/>
  <c r="K13" i="18"/>
  <c r="K16" i="18" s="1"/>
  <c r="K17" i="18" s="1"/>
  <c r="K7" i="18"/>
  <c r="J13" i="14"/>
  <c r="J16" i="14" s="1"/>
  <c r="J17" i="14" s="1"/>
  <c r="K4" i="14"/>
  <c r="J7" i="14"/>
  <c r="L12" i="14"/>
  <c r="M3" i="14"/>
  <c r="M6" i="14"/>
  <c r="M15" i="14" s="1"/>
  <c r="L15" i="14"/>
  <c r="R6" i="14"/>
  <c r="M6" i="6"/>
  <c r="M15" i="6" s="1"/>
  <c r="L15" i="6"/>
  <c r="K4" i="9"/>
  <c r="J13" i="9"/>
  <c r="J16" i="9" s="1"/>
  <c r="J17" i="9" s="1"/>
  <c r="J7" i="9"/>
  <c r="L12" i="6"/>
  <c r="M3" i="6"/>
  <c r="J13" i="12"/>
  <c r="J16" i="12" s="1"/>
  <c r="J17" i="12" s="1"/>
  <c r="K4" i="12"/>
  <c r="J7" i="12"/>
  <c r="M6" i="12"/>
  <c r="M15" i="12" s="1"/>
  <c r="L15" i="12"/>
  <c r="R6" i="12"/>
  <c r="L12" i="12"/>
  <c r="M3" i="12"/>
  <c r="K4" i="6"/>
  <c r="J13" i="6"/>
  <c r="J16" i="6" s="1"/>
  <c r="J17" i="6" s="1"/>
  <c r="J7" i="6"/>
  <c r="M3" i="9"/>
  <c r="L12" i="9"/>
  <c r="M6" i="9"/>
  <c r="M15" i="9" s="1"/>
  <c r="L15" i="9"/>
  <c r="R6" i="9"/>
  <c r="R6" i="6"/>
  <c r="H5" i="2"/>
  <c r="H7" i="2" s="1"/>
  <c r="V9" i="19" l="1"/>
  <c r="W9" i="19" s="1"/>
  <c r="L13" i="19"/>
  <c r="L16" i="19" s="1"/>
  <c r="L17" i="19" s="1"/>
  <c r="L7" i="19"/>
  <c r="Q3" i="19"/>
  <c r="N12" i="19"/>
  <c r="V9" i="18"/>
  <c r="W9" i="18" s="1"/>
  <c r="L13" i="18"/>
  <c r="L16" i="18" s="1"/>
  <c r="L17" i="18" s="1"/>
  <c r="M4" i="18"/>
  <c r="L7" i="18"/>
  <c r="Q3" i="18"/>
  <c r="N12" i="18"/>
  <c r="K13" i="14"/>
  <c r="K16" i="14" s="1"/>
  <c r="K17" i="14" s="1"/>
  <c r="U9" i="14"/>
  <c r="V9" i="14" s="1"/>
  <c r="K7" i="14"/>
  <c r="P3" i="14"/>
  <c r="M12" i="14"/>
  <c r="K13" i="6"/>
  <c r="K16" i="6" s="1"/>
  <c r="K17" i="6" s="1"/>
  <c r="U9" i="6"/>
  <c r="V9" i="6" s="1"/>
  <c r="K7" i="6"/>
  <c r="U9" i="9"/>
  <c r="V9" i="9" s="1"/>
  <c r="K13" i="9"/>
  <c r="K16" i="9" s="1"/>
  <c r="K17" i="9" s="1"/>
  <c r="L5" i="9"/>
  <c r="L4" i="9"/>
  <c r="K7" i="9"/>
  <c r="K13" i="12"/>
  <c r="K16" i="12" s="1"/>
  <c r="K17" i="12" s="1"/>
  <c r="U9" i="12"/>
  <c r="V9" i="12" s="1"/>
  <c r="K7" i="12"/>
  <c r="P3" i="6"/>
  <c r="M12" i="6"/>
  <c r="M12" i="9"/>
  <c r="P3" i="9"/>
  <c r="P3" i="12"/>
  <c r="M12" i="12"/>
  <c r="C15" i="2"/>
  <c r="C13" i="2"/>
  <c r="C12" i="2"/>
  <c r="G3" i="2"/>
  <c r="J3" i="2" s="1"/>
  <c r="G5" i="2"/>
  <c r="D14" i="2" s="1"/>
  <c r="C14" i="2"/>
  <c r="V11" i="19" l="1"/>
  <c r="V10" i="19"/>
  <c r="M5" i="19" s="1"/>
  <c r="M4" i="19"/>
  <c r="M13" i="18"/>
  <c r="S4" i="18"/>
  <c r="N4" i="18"/>
  <c r="V10" i="18"/>
  <c r="M5" i="18" s="1"/>
  <c r="V11" i="18"/>
  <c r="L4" i="6"/>
  <c r="L13" i="6" s="1"/>
  <c r="L4" i="14"/>
  <c r="L13" i="14" s="1"/>
  <c r="U11" i="14"/>
  <c r="U10" i="14"/>
  <c r="L5" i="14" s="1"/>
  <c r="L4" i="12"/>
  <c r="L13" i="12" s="1"/>
  <c r="U10" i="12"/>
  <c r="L5" i="12" s="1"/>
  <c r="U11" i="12"/>
  <c r="U10" i="6"/>
  <c r="L5" i="6" s="1"/>
  <c r="U11" i="6"/>
  <c r="U11" i="9"/>
  <c r="U10" i="9"/>
  <c r="M4" i="9"/>
  <c r="L13" i="9"/>
  <c r="L7" i="9"/>
  <c r="U14" i="9"/>
  <c r="V14" i="9" s="1"/>
  <c r="U15" i="9" s="1"/>
  <c r="L14" i="9"/>
  <c r="M5" i="9"/>
  <c r="R5" i="9"/>
  <c r="J5" i="2"/>
  <c r="J14" i="2" s="1"/>
  <c r="J12" i="2"/>
  <c r="K3" i="2"/>
  <c r="G6" i="2"/>
  <c r="D15" i="2" s="1"/>
  <c r="B7" i="2"/>
  <c r="U3" i="2"/>
  <c r="V3" i="2" s="1"/>
  <c r="G4" i="2"/>
  <c r="D12" i="2"/>
  <c r="C16" i="2"/>
  <c r="O17" i="2" s="1"/>
  <c r="L7" i="12" l="1"/>
  <c r="N4" i="19"/>
  <c r="S4" i="19"/>
  <c r="M13" i="19"/>
  <c r="M7" i="19"/>
  <c r="M14" i="19"/>
  <c r="S5" i="19"/>
  <c r="V14" i="19"/>
  <c r="W14" i="19" s="1"/>
  <c r="V15" i="19" s="1"/>
  <c r="N5" i="19"/>
  <c r="L7" i="6"/>
  <c r="M4" i="6"/>
  <c r="M13" i="6" s="1"/>
  <c r="N5" i="18"/>
  <c r="N7" i="18" s="1"/>
  <c r="V14" i="18"/>
  <c r="W14" i="18" s="1"/>
  <c r="V15" i="18" s="1"/>
  <c r="M14" i="18"/>
  <c r="M16" i="18" s="1"/>
  <c r="M17" i="18" s="1"/>
  <c r="S5" i="18"/>
  <c r="M7" i="18"/>
  <c r="Q4" i="18"/>
  <c r="N13" i="18"/>
  <c r="M4" i="14"/>
  <c r="P4" i="14" s="1"/>
  <c r="L14" i="14"/>
  <c r="L16" i="14" s="1"/>
  <c r="L17" i="14" s="1"/>
  <c r="M5" i="14"/>
  <c r="R5" i="14"/>
  <c r="U14" i="14"/>
  <c r="V14" i="14" s="1"/>
  <c r="U15" i="14" s="1"/>
  <c r="L7" i="14"/>
  <c r="M4" i="12"/>
  <c r="P4" i="12" s="1"/>
  <c r="M14" i="9"/>
  <c r="P5" i="9"/>
  <c r="U14" i="6"/>
  <c r="V14" i="6" s="1"/>
  <c r="U15" i="6" s="1"/>
  <c r="L14" i="6"/>
  <c r="L16" i="6" s="1"/>
  <c r="L17" i="6" s="1"/>
  <c r="M5" i="6"/>
  <c r="R5" i="6"/>
  <c r="L16" i="9"/>
  <c r="L17" i="9" s="1"/>
  <c r="M13" i="9"/>
  <c r="P4" i="9"/>
  <c r="M7" i="9"/>
  <c r="M5" i="12"/>
  <c r="U14" i="12"/>
  <c r="V14" i="12" s="1"/>
  <c r="U15" i="12" s="1"/>
  <c r="L14" i="12"/>
  <c r="L16" i="12" s="1"/>
  <c r="L17" i="12" s="1"/>
  <c r="R5" i="12"/>
  <c r="L3" i="2"/>
  <c r="K12" i="2"/>
  <c r="G7" i="2"/>
  <c r="J4" i="2"/>
  <c r="J13" i="2" s="1"/>
  <c r="J16" i="2" s="1"/>
  <c r="J17" i="2" s="1"/>
  <c r="U6" i="2"/>
  <c r="U5" i="2"/>
  <c r="K5" i="2" s="1"/>
  <c r="U4" i="2"/>
  <c r="D13" i="2"/>
  <c r="D16" i="2" s="1"/>
  <c r="D17" i="2" s="1"/>
  <c r="M16" i="19" l="1"/>
  <c r="M17" i="19" s="1"/>
  <c r="Q4" i="19"/>
  <c r="N13" i="19"/>
  <c r="N7" i="19"/>
  <c r="N14" i="19"/>
  <c r="Q5" i="19"/>
  <c r="P4" i="6"/>
  <c r="Q5" i="18"/>
  <c r="Q6" i="18" s="1"/>
  <c r="O6" i="18" s="1"/>
  <c r="N14" i="18"/>
  <c r="N16" i="18" s="1"/>
  <c r="N17" i="18" s="1"/>
  <c r="M13" i="14"/>
  <c r="M16" i="9"/>
  <c r="M17" i="9" s="1"/>
  <c r="M13" i="12"/>
  <c r="P5" i="14"/>
  <c r="P6" i="14" s="1"/>
  <c r="N6" i="14" s="1"/>
  <c r="M14" i="14"/>
  <c r="M7" i="14"/>
  <c r="P5" i="6"/>
  <c r="M14" i="6"/>
  <c r="M16" i="6" s="1"/>
  <c r="M17" i="6" s="1"/>
  <c r="P5" i="12"/>
  <c r="P6" i="12" s="1"/>
  <c r="N6" i="12" s="1"/>
  <c r="M14" i="12"/>
  <c r="M7" i="6"/>
  <c r="P6" i="9"/>
  <c r="N6" i="9" s="1"/>
  <c r="M7" i="12"/>
  <c r="L12" i="2"/>
  <c r="M3" i="2"/>
  <c r="K14" i="2"/>
  <c r="J7" i="2"/>
  <c r="K4" i="2"/>
  <c r="U7" i="2"/>
  <c r="G9" i="2" s="1"/>
  <c r="Q6" i="19" l="1"/>
  <c r="O6" i="19" s="1"/>
  <c r="O15" i="19" s="1"/>
  <c r="O16" i="19" s="1"/>
  <c r="O17" i="19" s="1"/>
  <c r="M16" i="14"/>
  <c r="M17" i="14" s="1"/>
  <c r="N16" i="19"/>
  <c r="N17" i="19" s="1"/>
  <c r="P6" i="6"/>
  <c r="N6" i="6" s="1"/>
  <c r="N7" i="6" s="1"/>
  <c r="O7" i="18"/>
  <c r="O15" i="18"/>
  <c r="O16" i="18" s="1"/>
  <c r="O17" i="18" s="1"/>
  <c r="M16" i="12"/>
  <c r="M17" i="12" s="1"/>
  <c r="N15" i="14"/>
  <c r="N16" i="14" s="1"/>
  <c r="N17" i="14" s="1"/>
  <c r="N7" i="14"/>
  <c r="N15" i="12"/>
  <c r="N16" i="12" s="1"/>
  <c r="N17" i="12" s="1"/>
  <c r="N7" i="12"/>
  <c r="N15" i="9"/>
  <c r="N16" i="9" s="1"/>
  <c r="N17" i="9" s="1"/>
  <c r="N7" i="9"/>
  <c r="M12" i="2"/>
  <c r="P3" i="2"/>
  <c r="U9" i="2"/>
  <c r="V9" i="2" s="1"/>
  <c r="U11" i="2" s="1"/>
  <c r="K13" i="2"/>
  <c r="K16" i="2" s="1"/>
  <c r="K17" i="2" s="1"/>
  <c r="K7" i="2"/>
  <c r="O7" i="19" l="1"/>
  <c r="N15" i="6"/>
  <c r="N16" i="6" s="1"/>
  <c r="N17" i="6" s="1"/>
  <c r="L4" i="2"/>
  <c r="M4" i="2" s="1"/>
  <c r="U10" i="2"/>
  <c r="L5" i="2" s="1"/>
  <c r="M13" i="2" l="1"/>
  <c r="P4" i="2"/>
  <c r="M5" i="2"/>
  <c r="U14" i="2"/>
  <c r="V14" i="2" s="1"/>
  <c r="U15" i="2" s="1"/>
  <c r="M6" i="2" s="1"/>
  <c r="L14" i="2"/>
  <c r="R5" i="2"/>
  <c r="L13" i="2"/>
  <c r="R4" i="2"/>
  <c r="L7" i="2"/>
  <c r="M14" i="2" l="1"/>
  <c r="P5" i="2"/>
  <c r="P6" i="2" s="1"/>
  <c r="M7" i="2"/>
  <c r="M15" i="2"/>
  <c r="L16" i="2"/>
  <c r="L17" i="2" s="1"/>
  <c r="M16" i="2" l="1"/>
  <c r="M17" i="2" s="1"/>
  <c r="N6" i="2"/>
  <c r="N7" i="2" l="1"/>
  <c r="N15" i="2"/>
  <c r="N16" i="2" s="1"/>
  <c r="N17" i="2" s="1"/>
  <c r="H4" i="14" l="1"/>
  <c r="I4" i="14" l="1"/>
  <c r="H7" i="14"/>
  <c r="R4" i="14"/>
  <c r="H4" i="6"/>
  <c r="I4" i="6" s="1"/>
  <c r="H4" i="12"/>
  <c r="H4" i="9"/>
  <c r="I4" i="9" s="1"/>
  <c r="H7" i="6" l="1"/>
  <c r="R4" i="6"/>
  <c r="I4" i="12"/>
  <c r="H7" i="12"/>
  <c r="R4" i="12"/>
  <c r="R4" i="9"/>
  <c r="H7" i="9"/>
</calcChain>
</file>

<file path=xl/sharedStrings.xml><?xml version="1.0" encoding="utf-8"?>
<sst xmlns="http://schemas.openxmlformats.org/spreadsheetml/2006/main" count="705" uniqueCount="188">
  <si>
    <t>Total</t>
  </si>
  <si>
    <t>JA</t>
  </si>
  <si>
    <t>AN</t>
  </si>
  <si>
    <t>AP</t>
  </si>
  <si>
    <t>PR</t>
  </si>
  <si>
    <t>Horas Cliente</t>
  </si>
  <si>
    <t>Horas AN JMPL</t>
  </si>
  <si>
    <t>Horas AP JMPL</t>
  </si>
  <si>
    <t>Horas PR JMPL</t>
  </si>
  <si>
    <t>Instalación de Herramientas de desarrollo en CECEU</t>
  </si>
  <si>
    <t>Creación e instalación del entorno de desarrollo MÓDULOS COMUNES</t>
  </si>
  <si>
    <t>Creación y configuración entorno desarrollo PRESENTA</t>
  </si>
  <si>
    <t>Creación y configuración entorno desarrollo RSCL</t>
  </si>
  <si>
    <t>Creación y configuración entorno desarrollo PAIDI</t>
  </si>
  <si>
    <t>Total horas a imputar</t>
  </si>
  <si>
    <t>Max JA</t>
  </si>
  <si>
    <t>Máximo horas</t>
  </si>
  <si>
    <t>Disponibles</t>
  </si>
  <si>
    <t>INT</t>
  </si>
  <si>
    <t>Venta INT</t>
  </si>
  <si>
    <t>Venta CLI</t>
  </si>
  <si>
    <t>Max AN</t>
  </si>
  <si>
    <t>Max AP</t>
  </si>
  <si>
    <t>Max PR</t>
  </si>
  <si>
    <t>Horas PR SOB AN</t>
  </si>
  <si>
    <t>Horas AP SOB AN</t>
  </si>
  <si>
    <t>Conversión de PR a AP</t>
  </si>
  <si>
    <t>Paso de SOB JA a AP</t>
  </si>
  <si>
    <t>Venta</t>
  </si>
  <si>
    <t>Mínimo a facturar</t>
  </si>
  <si>
    <t>Disponibles tras factura</t>
  </si>
  <si>
    <t>CLI (P)</t>
  </si>
  <si>
    <t>CLI (B)</t>
  </si>
  <si>
    <t>Paso de SOB AN a PR</t>
  </si>
  <si>
    <t>Paso de SOB AP a PR</t>
  </si>
  <si>
    <t>Horas PR SOB AP</t>
  </si>
  <si>
    <t>Arreglo final</t>
  </si>
  <si>
    <t>Max</t>
  </si>
  <si>
    <t>Paso de SOB JA a AN</t>
  </si>
  <si>
    <t>Estado</t>
  </si>
  <si>
    <t>425-REQ-001-19.04: Requisitos Sprint inicial evolución oficina virtual</t>
  </si>
  <si>
    <t>425-ITE-001-19.04: Iteración Sprint Inicial de la evolución a Oficina Virtual</t>
  </si>
  <si>
    <t>Actualización de entornos de desarrollo a la versión Firmantes</t>
  </si>
  <si>
    <t>[436-NDS-001-19.03]: Evolución de las plataformas de tramitación de CECEU</t>
  </si>
  <si>
    <t>[APLICACIONES][PRESENTA FASE2 AS]Adaptación a HTML, Java7 y FASE2 AS de las líneas de Justificación de incentivos y Agentes del Conocimiento</t>
  </si>
  <si>
    <t>1081-REQ-001-19.04: Requisitos Sprint inicial línea SMARTCITI</t>
  </si>
  <si>
    <t>1081-ITE-001-19.04: Iteración Sprint Inicial de la línea SMARTCITI</t>
  </si>
  <si>
    <t>[425-NDS-001-19.03]: Evolución de la Oficina Virtual de CECEU</t>
  </si>
  <si>
    <t>Mínimo con eficiencia</t>
  </si>
  <si>
    <t>Equipo permanente</t>
  </si>
  <si>
    <t>425-REQ-002-19.04: Requisitos Sprint 2 evolución oficina virtual</t>
  </si>
  <si>
    <t>Análisis de código, creación y configuración entorno desarrollo Aplicativo ORION</t>
  </si>
  <si>
    <t>Análisis de código, creación y configuración entorno desarrollo Aplicativo SANCIONA</t>
  </si>
  <si>
    <t>Análisis de código, creación y configuración entorno desarrollo Aplicativo INCENTIVA</t>
  </si>
  <si>
    <t>Análisis y estudio del impacto del código en lenguaje GRAILS de las aplicaciones basadas en plataforma ORION</t>
  </si>
  <si>
    <t>425-REQ-003-19.05: Requisitos Sprint 3 evolución oficina virtual</t>
  </si>
  <si>
    <t>425-ITE-002-19.05: Iteración Sprint 02 de la evolución a Oficina Virtual</t>
  </si>
  <si>
    <t>[APLICACIONES][CARPETA CIUDADANA] Actualización consultas</t>
  </si>
  <si>
    <t>[APLICACIONES][RSCL] Cambio nombre Consejería</t>
  </si>
  <si>
    <t>[ANALISIS][PRESENTA-HORIZONAL] Adaptación de los PRESENTA-AS para el uso de configuraciones personalizadas de la herramienta NOTIFICA por cada procedimiento.</t>
  </si>
  <si>
    <t>[APLICACIONES][FASE2 AS] Creación de nueva línea Premio al Comercio</t>
  </si>
  <si>
    <t>[1492-NDS-001-19.05]: Nueva línea ACOMPAÑAMIENTO PARA LA TRANSFORMACIÓN DIGITAL EN EL MARCO DEL PROGRAMA EMPRESA DIGITAL</t>
  </si>
  <si>
    <t>Equipo NO permanente</t>
  </si>
  <si>
    <t>[APLICACIONES][RSCL] Mejora del Log</t>
  </si>
  <si>
    <t>#</t>
  </si>
  <si>
    <t>Tipo</t>
  </si>
  <si>
    <t>Asunto</t>
  </si>
  <si>
    <t>Horas estimadas AFS</t>
  </si>
  <si>
    <t>Horas estimadas AP</t>
  </si>
  <si>
    <t>Horas estimadas PR</t>
  </si>
  <si>
    <t>Prioridad</t>
  </si>
  <si>
    <t>EVA: Evolutivo Ágil</t>
  </si>
  <si>
    <t>Resuelta</t>
  </si>
  <si>
    <t>[APLICACIONES][RSCL] Volcado svn antiguo al nuevo</t>
  </si>
  <si>
    <t>Alta</t>
  </si>
  <si>
    <t>EVO: Evolutivo</t>
  </si>
  <si>
    <t>Nueva</t>
  </si>
  <si>
    <t>[APLICACIONES][RSCL] Cambiar ordenación Hoja Registral</t>
  </si>
  <si>
    <t>Media</t>
  </si>
  <si>
    <t>Bloqueada</t>
  </si>
  <si>
    <t>[APLICACIONES][RSCL] Informe calificación y resolución sin datos de subsanación</t>
  </si>
  <si>
    <t>[APLICACIONES][RSCL] Cambio nombre Consejería a versión Firmantes</t>
  </si>
  <si>
    <t>[APLICACIONES][RSCL] Corrección histórico de cooperativas al cambiar razón social</t>
  </si>
  <si>
    <t>Estimada</t>
  </si>
  <si>
    <t>[APLICACIONES][RSCL]  Corrección de la precarga</t>
  </si>
  <si>
    <t>[APLICACIONES][RSCL]  Análisis fraccionar ficheros de las notificaciones</t>
  </si>
  <si>
    <t>[APLICACIONES][RSCL]  Vuelta atrás generación oficio de notificación</t>
  </si>
  <si>
    <t>[APLICACIONES][RSCL] No se genera el Libro Registral de una Cooperativa</t>
  </si>
  <si>
    <t>Baja</t>
  </si>
  <si>
    <t>[APLICACIONES][RSCL] Corrección error  en la firma de las precargas</t>
  </si>
  <si>
    <t>[APLICACIONES] [RSCL] La Fecha de Resolución no se captura correctamente por el Sistema en los Asientos de Inscripción</t>
  </si>
  <si>
    <t>ALT: Alta de aplicaciones</t>
  </si>
  <si>
    <t>[APLICACIONES][FASE2 AS] Creación de modelado a partir del genérico.</t>
  </si>
  <si>
    <t>Crítica</t>
  </si>
  <si>
    <t>[APLICACIONES][PRESENTA HORIZONTAL AS] Integración del código del parche al trunk de las aplicaciones.</t>
  </si>
  <si>
    <t>En curso</t>
  </si>
  <si>
    <t>REQ: Requisitos</t>
  </si>
  <si>
    <t>425-REQ-004-19.06: Requisitos Sprint 4 evolución oficina virtual</t>
  </si>
  <si>
    <t>1081-REQ-003-21-06: Requisitos Sprint 03 línea SMARTCITI</t>
  </si>
  <si>
    <t>ITE: Iteración</t>
  </si>
  <si>
    <t>425-ITE-003-19.06: Iteración Sprint 03 de la evolución a Oficina Virtual</t>
  </si>
  <si>
    <t>1081-ITE-002-21.06: Iteración Sprint 02 de la línea SMARTCITI</t>
  </si>
  <si>
    <t>ANB</t>
  </si>
  <si>
    <t>APB</t>
  </si>
  <si>
    <t>PRB</t>
  </si>
  <si>
    <t>[APLICACIONES][HORIZONTAL] Despliegue en producción de la versión Firmantes (todos los aplicativos)</t>
  </si>
  <si>
    <t>STEC: Soporte Técnico</t>
  </si>
  <si>
    <t>GES: Gestión del Servicio</t>
  </si>
  <si>
    <t>Horas Equipo Lote 3 - SETA. Junio 2019</t>
  </si>
  <si>
    <t>ENT: Entrega</t>
  </si>
  <si>
    <t>Asignado a responsable</t>
  </si>
  <si>
    <t>[1081-NDS-001-19.04] Entrega Sprint Inicial línea SMARTCITI</t>
  </si>
  <si>
    <t>AGE: Agenda</t>
  </si>
  <si>
    <t>Reunión Planificada</t>
  </si>
  <si>
    <t>[APLICACIONES][PRESENTA HORIZONTAL AS] Revisión de mensaje de LOG en Agenda.</t>
  </si>
  <si>
    <t>Reunión Seguimiento - Lote 3</t>
  </si>
  <si>
    <t>Reunión flujo Modernización PYMES Comercias y Artesanas</t>
  </si>
  <si>
    <t>Reunión previa flujo Modernización PYMES Comercias y Artesanas (interna)</t>
  </si>
  <si>
    <t>[425-ITE-002-19.05] Entrega Sprint 2 evolución oficina virtual</t>
  </si>
  <si>
    <t>Horas Equipo Lote 3 - SETA. Mayo 2019</t>
  </si>
  <si>
    <t>Horas Equipo Lote 3 - SETA. Abril 2019</t>
  </si>
  <si>
    <t>Horas Equipo Lote 3 - SETA. Marzo 2019</t>
  </si>
  <si>
    <t>Horas Equipo Lote 3 - SETA. Febrero 2019</t>
  </si>
  <si>
    <t xml:space="preserve"> Horas Equipo Lote 3 - SETA. Enero 2019</t>
  </si>
  <si>
    <t>Demo Smartciti SP2: Historia de usuario #2170 en entorno de pruebas y formación</t>
  </si>
  <si>
    <t>Reunión con Servicios Modernización PYMES</t>
  </si>
  <si>
    <t>Reunión Operativa - Lote 3 - 27/06/2019</t>
  </si>
  <si>
    <t>Reunión Operativa - Lote 3 - 21/06/2019</t>
  </si>
  <si>
    <t>Kick-Off PHAROS</t>
  </si>
  <si>
    <t>Reunión interna Modernización PYMES</t>
  </si>
  <si>
    <t>Sesión Premios Comercio</t>
  </si>
  <si>
    <t>Oficina Virtual Demo Sprint 02 + Sprint Planning Sprint 03</t>
  </si>
  <si>
    <t>[425-NDS-001-19.03]: Entrega del SPRINT 2 1708</t>
  </si>
  <si>
    <t>[APLICACIONES][PRESENTA FASE2 AS] Revisión del motivo del mensaje de no envío de notificación.</t>
  </si>
  <si>
    <t>[APLICACIONES][PRESENTA HORIZONTAL] Mensaje en informe de notificaciones "Rechazada por el sistema"</t>
  </si>
  <si>
    <t>Gestión del Servicio - Jefe de Área (Junio 2019)</t>
  </si>
  <si>
    <t>NDS: Plan de proyecto</t>
  </si>
  <si>
    <t>[1687-NDS-001-19.05]: Evolución del aplicativo PHAROS</t>
  </si>
  <si>
    <t>Comité de Dirección - Lote 3</t>
  </si>
  <si>
    <t>Reunión phAros</t>
  </si>
  <si>
    <t>Reunión Operativa - Lote 3</t>
  </si>
  <si>
    <t xml:space="preserve">[AGENDA CORE] Los filtros del interesado de las Agenda de PRESENTA-AS no funcionan con todos los SISTEMAS </t>
  </si>
  <si>
    <t>SMARTCITI - Sprint Planning Sprint 02</t>
  </si>
  <si>
    <t>SMARTCITI DEMO Sprint 01</t>
  </si>
  <si>
    <t>Oficina Virtual Sprint Planning Sprint 02</t>
  </si>
  <si>
    <t>Reunión Requisitos Orden Empresa Digital</t>
  </si>
  <si>
    <t>Reunión Operativa y Presentación Cl@ve</t>
  </si>
  <si>
    <t>1081-REQ-002-19.05 Requisitos Sprint 2 línea SMARTCITI</t>
  </si>
  <si>
    <t xml:space="preserve">[1081-NDS-001-19.04] Creación de línea SMARTCITI </t>
  </si>
  <si>
    <t>[471-NDS-001-19.03]: Actualización del módulo de integración con GIRO de los tramitadores</t>
  </si>
  <si>
    <t>[434-NDS-001-19.03]: Revisión de la custodia de Alfresco para conformar Expediente Electrónico.</t>
  </si>
  <si>
    <t>Tarea padre</t>
  </si>
  <si>
    <t>Categoría</t>
  </si>
  <si>
    <t>Horas dedicadas AFS</t>
  </si>
  <si>
    <t>Horas dedicadas AP</t>
  </si>
  <si>
    <t>Horas dedicadas PR</t>
  </si>
  <si>
    <t>Cancelada</t>
  </si>
  <si>
    <t>[APLICACIONES][OFICINA VIRTUAL] Aceptación de certificados de ANCERT</t>
  </si>
  <si>
    <t>Cerrada</t>
  </si>
  <si>
    <t>Gestión del Servicio - Jefe de Área (Mayo 2019)</t>
  </si>
  <si>
    <t>Gestión del Servicio - Jefe de Área (Abril 2019)</t>
  </si>
  <si>
    <t>Gestión del Servicio - Jefe de Área (Marzo 2019)</t>
  </si>
  <si>
    <t xml:space="preserve">Gestión del Servicio - Jefe de Área (Febrero 2019)							</t>
  </si>
  <si>
    <t>Gestión del Servicio - Jefe de Área (Enero 2019)</t>
  </si>
  <si>
    <t>DES-PRESENTA-SUB</t>
  </si>
  <si>
    <t>DES-PRESENTA-HORIZONTAL</t>
  </si>
  <si>
    <t>DES-OFICINA VIRTUAL</t>
  </si>
  <si>
    <t>DES-SANCIONA</t>
  </si>
  <si>
    <t>DES-RSCL</t>
  </si>
  <si>
    <t>OTRA</t>
  </si>
  <si>
    <t>DES-PRESENTA-FASE2</t>
  </si>
  <si>
    <t>DES-PHAROS</t>
  </si>
  <si>
    <t>DES-MODULOS COMUNES</t>
  </si>
  <si>
    <t>DES-INCENTIVA</t>
  </si>
  <si>
    <t>DES-ORION</t>
  </si>
  <si>
    <t>DES-HERRAMIENTAS</t>
  </si>
  <si>
    <t>DES-GIRO</t>
  </si>
  <si>
    <t>DES-CUSTODIA</t>
  </si>
  <si>
    <t>DES-PAIDI</t>
  </si>
  <si>
    <t>Mes</t>
  </si>
  <si>
    <t>Venta rasa</t>
  </si>
  <si>
    <t>INT (PL)</t>
  </si>
  <si>
    <t>Venta INT (PL)</t>
  </si>
  <si>
    <t>INT (19%)</t>
  </si>
  <si>
    <t>Eficiencia PL</t>
  </si>
  <si>
    <t>Venta INT (19)</t>
  </si>
  <si>
    <t>ID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</si>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</sst>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4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4" fontId="2" fillId="0" borderId="0" xfId="1" applyFont="1"/>
    <xf numFmtId="10" fontId="0" fillId="0" borderId="0" xfId="2" applyNumberFormat="1" applyFont="1"/>
    <xf numFmtId="0" fontId="0" fillId="0" borderId="0" xfId="0" applyAlignment="1">
      <alignment horizontal="center"/>
    </xf>
    <xf numFmtId="9" fontId="0" fillId="0" borderId="0" xfId="2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4" fontId="2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B52D23"/>
      <color rgb="FFC659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7"/>
  <sheetViews>
    <sheetView workbookViewId="0">
      <selection activeCell="E4" sqref="E4"/>
    </sheetView>
  </sheetViews>
  <sheetFormatPr baseColWidth="10" defaultRowHeight="14.4" x14ac:dyDescent="0.3"/>
  <cols>
    <col min="2" max="2" width="10.6640625" customWidth="1"/>
    <col min="3" max="4" width="12" bestFit="1" customWidth="1"/>
    <col min="5" max="5" width="12" customWidth="1"/>
    <col min="6" max="6" width="19.6640625" bestFit="1" customWidth="1"/>
    <col min="7" max="7" width="12.88671875" bestFit="1" customWidth="1"/>
    <col min="10" max="10" width="20.88671875" bestFit="1" customWidth="1"/>
    <col min="11" max="11" width="18.6640625" bestFit="1" customWidth="1"/>
    <col min="12" max="12" width="19.44140625" bestFit="1" customWidth="1"/>
    <col min="13" max="13" width="19" bestFit="1" customWidth="1"/>
    <col min="14" max="16" width="19" customWidth="1"/>
    <col min="17" max="17" width="12" bestFit="1" customWidth="1"/>
    <col min="18" max="18" width="12.5546875" bestFit="1" customWidth="1"/>
    <col min="20" max="20" width="14" bestFit="1" customWidth="1"/>
    <col min="21" max="21" width="12" bestFit="1" customWidth="1"/>
    <col min="22" max="22" width="11" bestFit="1" customWidth="1"/>
  </cols>
  <sheetData>
    <row r="2" spans="1:25" x14ac:dyDescent="0.3">
      <c r="C2" s="3" t="s">
        <v>18</v>
      </c>
      <c r="D2" s="3" t="s">
        <v>31</v>
      </c>
      <c r="E2" s="4" t="s">
        <v>32</v>
      </c>
      <c r="G2" t="s">
        <v>5</v>
      </c>
      <c r="H2" t="s">
        <v>17</v>
      </c>
      <c r="J2" t="s">
        <v>26</v>
      </c>
      <c r="K2" t="s">
        <v>27</v>
      </c>
      <c r="L2" t="s">
        <v>33</v>
      </c>
      <c r="M2" t="s">
        <v>34</v>
      </c>
      <c r="N2" s="13" t="s">
        <v>36</v>
      </c>
      <c r="O2" s="13"/>
      <c r="P2" s="13"/>
      <c r="R2" t="s">
        <v>30</v>
      </c>
    </row>
    <row r="3" spans="1:25" x14ac:dyDescent="0.3">
      <c r="A3" t="s">
        <v>1</v>
      </c>
      <c r="B3" s="5" t="e">
        <f>SUMIF(#REF!,Perfiles03!$A3,#REF!)</f>
        <v>#REF!</v>
      </c>
      <c r="C3" s="1">
        <v>34.49</v>
      </c>
      <c r="D3" s="1">
        <v>28</v>
      </c>
      <c r="E3" s="1"/>
      <c r="F3" s="15">
        <f>(C3-D3)/C3</f>
        <v>0.18817048419831839</v>
      </c>
      <c r="G3" t="e">
        <f>B3*(C3/D3)</f>
        <v>#REF!</v>
      </c>
      <c r="J3" s="6" t="e">
        <f>G3</f>
        <v>#REF!</v>
      </c>
      <c r="K3" s="6" t="e">
        <f>IF(J3&gt;Y3,Y3,J3)</f>
        <v>#REF!</v>
      </c>
      <c r="L3" s="6" t="e">
        <f>K3</f>
        <v>#REF!</v>
      </c>
      <c r="M3" s="6" t="e">
        <f>L3</f>
        <v>#REF!</v>
      </c>
      <c r="N3" s="6">
        <v>168</v>
      </c>
      <c r="O3" s="6">
        <f>N3</f>
        <v>168</v>
      </c>
      <c r="P3" s="6" t="e">
        <f>(M3-N3)*(D3/$D$6)</f>
        <v>#REF!</v>
      </c>
      <c r="U3" s="6" t="e">
        <f>G3-Y3</f>
        <v>#REF!</v>
      </c>
      <c r="V3" s="2" t="e">
        <f>U3*D3</f>
        <v>#REF!</v>
      </c>
      <c r="X3" s="7" t="s">
        <v>15</v>
      </c>
      <c r="Y3">
        <v>168</v>
      </c>
    </row>
    <row r="4" spans="1:25" x14ac:dyDescent="0.3">
      <c r="A4" t="s">
        <v>2</v>
      </c>
      <c r="B4" s="5" t="e">
        <f>SUMIF(#REF!,Perfiles03!$A4,#REF!)</f>
        <v>#REF!</v>
      </c>
      <c r="C4" s="1">
        <v>30.18</v>
      </c>
      <c r="D4" s="1">
        <v>22</v>
      </c>
      <c r="E4" s="1">
        <v>18.510000000000002</v>
      </c>
      <c r="F4" s="15">
        <f>(C4-D4)/C4</f>
        <v>0.27104042412193508</v>
      </c>
      <c r="G4" t="e">
        <f>B4*(C4/D4)</f>
        <v>#REF!</v>
      </c>
      <c r="H4" t="e">
        <f>#REF!</f>
        <v>#REF!</v>
      </c>
      <c r="J4" s="6" t="e">
        <f>G4</f>
        <v>#REF!</v>
      </c>
      <c r="K4" s="6" t="e">
        <f>J4</f>
        <v>#REF!</v>
      </c>
      <c r="L4" s="6" t="e">
        <f>IF(K4&gt;Y4,K4-U9,K4)</f>
        <v>#REF!</v>
      </c>
      <c r="M4" s="6" t="e">
        <f>L4</f>
        <v>#REF!</v>
      </c>
      <c r="N4" s="6">
        <v>492</v>
      </c>
      <c r="O4" s="6">
        <f>N4</f>
        <v>492</v>
      </c>
      <c r="P4" s="6" t="e">
        <f>(M4-N4)*(D4/$D$6)</f>
        <v>#REF!</v>
      </c>
      <c r="R4" s="6" t="e">
        <f>H4-L4</f>
        <v>#REF!</v>
      </c>
      <c r="T4" t="s">
        <v>6</v>
      </c>
      <c r="U4" s="6" t="e">
        <f>$V$3/D4</f>
        <v>#REF!</v>
      </c>
      <c r="X4" s="7" t="s">
        <v>21</v>
      </c>
      <c r="Y4">
        <f>3*168</f>
        <v>504</v>
      </c>
    </row>
    <row r="5" spans="1:25" x14ac:dyDescent="0.3">
      <c r="A5" t="s">
        <v>3</v>
      </c>
      <c r="B5" s="5" t="e">
        <f>SUMIF(#REF!,Perfiles03!$A5,#REF!)</f>
        <v>#REF!</v>
      </c>
      <c r="C5" s="1">
        <v>24.78</v>
      </c>
      <c r="D5" s="1">
        <v>22</v>
      </c>
      <c r="E5" s="1">
        <v>18.100000000000001</v>
      </c>
      <c r="F5" s="15">
        <f>(C5-D5)/C5</f>
        <v>0.11218724778046817</v>
      </c>
      <c r="G5" t="e">
        <f>B5*(C5/D5)</f>
        <v>#REF!</v>
      </c>
      <c r="H5" t="e">
        <f>#REF!</f>
        <v>#REF!</v>
      </c>
      <c r="J5" s="6" t="e">
        <f>(C15/D5)+G5</f>
        <v>#REF!</v>
      </c>
      <c r="K5" s="6" t="e">
        <f>IF(J3&gt;Y3,J5+U5,J5)</f>
        <v>#REF!</v>
      </c>
      <c r="L5" s="6" t="e">
        <f>IF(K4&gt;Y4,K5+U10,K5)</f>
        <v>#REF!</v>
      </c>
      <c r="M5" s="6" t="e">
        <f>IF(L5&gt;Y5,Y5,L5)</f>
        <v>#REF!</v>
      </c>
      <c r="N5" s="6">
        <v>501.5</v>
      </c>
      <c r="O5" s="6">
        <f>N5</f>
        <v>501.5</v>
      </c>
      <c r="P5" s="6" t="e">
        <f>(M5-N5)*(D5/$D$6)</f>
        <v>#REF!</v>
      </c>
      <c r="R5" s="6" t="e">
        <f>H5-L5</f>
        <v>#REF!</v>
      </c>
      <c r="T5" t="s">
        <v>7</v>
      </c>
      <c r="U5" s="6" t="e">
        <f>$V$3/D5</f>
        <v>#REF!</v>
      </c>
      <c r="X5" s="7" t="s">
        <v>22</v>
      </c>
      <c r="Y5">
        <f>3*168</f>
        <v>504</v>
      </c>
    </row>
    <row r="6" spans="1:25" x14ac:dyDescent="0.3">
      <c r="A6" t="s">
        <v>4</v>
      </c>
      <c r="B6" s="5" t="e">
        <f>SUMIF(#REF!,Perfiles03!$A6,#REF!)</f>
        <v>#REF!</v>
      </c>
      <c r="C6" s="1">
        <v>16.71</v>
      </c>
      <c r="D6" s="1">
        <v>15.6</v>
      </c>
      <c r="E6" s="1">
        <v>12.76</v>
      </c>
      <c r="F6" s="15">
        <f>(C6-D6)/C6</f>
        <v>6.6427289048474031E-2</v>
      </c>
      <c r="G6" t="e">
        <f>B6*(C6/D6)</f>
        <v>#REF!</v>
      </c>
      <c r="H6" t="e">
        <f>#REF!</f>
        <v>#REF!</v>
      </c>
      <c r="J6" s="6">
        <f>0</f>
        <v>0</v>
      </c>
      <c r="K6" s="6">
        <f>J6</f>
        <v>0</v>
      </c>
      <c r="L6" s="6">
        <v>0</v>
      </c>
      <c r="M6" s="6" t="e">
        <f>L6+U15</f>
        <v>#REF!</v>
      </c>
      <c r="N6" s="6" t="e">
        <f>M6+P6</f>
        <v>#REF!</v>
      </c>
      <c r="O6" s="6">
        <v>83</v>
      </c>
      <c r="P6" s="6" t="e">
        <f>SUM(P3:P5)</f>
        <v>#REF!</v>
      </c>
      <c r="R6" s="6" t="e">
        <f>H6-L6</f>
        <v>#REF!</v>
      </c>
      <c r="T6" t="s">
        <v>8</v>
      </c>
      <c r="U6" s="6" t="e">
        <f>$V$3/D6</f>
        <v>#REF!</v>
      </c>
      <c r="X6" s="7" t="s">
        <v>23</v>
      </c>
      <c r="Y6">
        <f>7*168</f>
        <v>1176</v>
      </c>
    </row>
    <row r="7" spans="1:25" x14ac:dyDescent="0.3">
      <c r="B7" s="5" t="e">
        <f>SUM(B3:B6)</f>
        <v>#REF!</v>
      </c>
      <c r="G7" t="e">
        <f>SUM(G3:G6)</f>
        <v>#REF!</v>
      </c>
      <c r="H7" t="e">
        <f>SUM(H3:H6)</f>
        <v>#REF!</v>
      </c>
      <c r="J7" s="6" t="e">
        <f t="shared" ref="J7:O7" si="0">SUM(J3:J6)</f>
        <v>#REF!</v>
      </c>
      <c r="K7" s="6" t="e">
        <f t="shared" si="0"/>
        <v>#REF!</v>
      </c>
      <c r="L7" s="6" t="e">
        <f t="shared" si="0"/>
        <v>#REF!</v>
      </c>
      <c r="M7" s="6" t="e">
        <f t="shared" si="0"/>
        <v>#REF!</v>
      </c>
      <c r="N7" s="6" t="e">
        <f t="shared" si="0"/>
        <v>#REF!</v>
      </c>
      <c r="O7" s="6">
        <f t="shared" si="0"/>
        <v>1244.5</v>
      </c>
      <c r="P7" s="6"/>
      <c r="T7" t="s">
        <v>16</v>
      </c>
      <c r="U7" s="6" t="e">
        <f>MAX(U4:U6)</f>
        <v>#REF!</v>
      </c>
    </row>
    <row r="9" spans="1:25" x14ac:dyDescent="0.3">
      <c r="F9" t="s">
        <v>14</v>
      </c>
      <c r="G9" t="e">
        <f>G4+G5+G6++U7</f>
        <v>#REF!</v>
      </c>
      <c r="U9" t="e">
        <f>K4-Y4</f>
        <v>#REF!</v>
      </c>
      <c r="V9" s="2" t="e">
        <f>U9*D4</f>
        <v>#REF!</v>
      </c>
    </row>
    <row r="10" spans="1:25" x14ac:dyDescent="0.3">
      <c r="T10" t="s">
        <v>25</v>
      </c>
      <c r="U10" t="e">
        <f>V9/D5</f>
        <v>#REF!</v>
      </c>
    </row>
    <row r="11" spans="1:25" x14ac:dyDescent="0.3">
      <c r="C11" s="9" t="s">
        <v>19</v>
      </c>
      <c r="D11" s="3" t="s">
        <v>20</v>
      </c>
      <c r="E11" s="4"/>
      <c r="J11" s="3" t="s">
        <v>28</v>
      </c>
      <c r="K11" s="3" t="s">
        <v>28</v>
      </c>
      <c r="L11" s="3" t="s">
        <v>28</v>
      </c>
      <c r="M11" s="12" t="s">
        <v>28</v>
      </c>
      <c r="N11" s="12" t="s">
        <v>28</v>
      </c>
      <c r="O11" s="12" t="s">
        <v>28</v>
      </c>
      <c r="T11" t="s">
        <v>24</v>
      </c>
      <c r="U11" t="e">
        <f>V9/D6</f>
        <v>#REF!</v>
      </c>
    </row>
    <row r="12" spans="1:25" x14ac:dyDescent="0.3">
      <c r="C12" s="2" t="e">
        <f>B3*C3</f>
        <v>#REF!</v>
      </c>
      <c r="D12" s="2" t="e">
        <f>G3*D3</f>
        <v>#REF!</v>
      </c>
      <c r="E12" s="2"/>
      <c r="J12" s="1" t="e">
        <f t="shared" ref="J12:O12" si="1">J3*$D3</f>
        <v>#REF!</v>
      </c>
      <c r="K12" s="1" t="e">
        <f t="shared" si="1"/>
        <v>#REF!</v>
      </c>
      <c r="L12" s="1" t="e">
        <f t="shared" si="1"/>
        <v>#REF!</v>
      </c>
      <c r="M12" s="1" t="e">
        <f t="shared" si="1"/>
        <v>#REF!</v>
      </c>
      <c r="N12" s="1">
        <f t="shared" si="1"/>
        <v>4704</v>
      </c>
      <c r="O12" s="1">
        <f t="shared" si="1"/>
        <v>4704</v>
      </c>
      <c r="P12" s="1"/>
      <c r="R12" s="2"/>
    </row>
    <row r="13" spans="1:25" x14ac:dyDescent="0.3">
      <c r="C13" s="2" t="e">
        <f>B4*C4</f>
        <v>#REF!</v>
      </c>
      <c r="D13" s="2" t="e">
        <f>G4*D4</f>
        <v>#REF!</v>
      </c>
      <c r="E13" s="2"/>
      <c r="J13" s="1" t="e">
        <f t="shared" ref="J13:K15" si="2">J4*$D4</f>
        <v>#REF!</v>
      </c>
      <c r="K13" s="1" t="e">
        <f t="shared" si="2"/>
        <v>#REF!</v>
      </c>
      <c r="L13" s="1" t="e">
        <f t="shared" ref="L13:O15" si="3">L4*$D4</f>
        <v>#REF!</v>
      </c>
      <c r="M13" s="1" t="e">
        <f t="shared" si="3"/>
        <v>#REF!</v>
      </c>
      <c r="N13" s="1">
        <f t="shared" si="3"/>
        <v>10824</v>
      </c>
      <c r="O13" s="1">
        <f t="shared" si="3"/>
        <v>10824</v>
      </c>
      <c r="P13" s="1"/>
      <c r="R13" s="2"/>
    </row>
    <row r="14" spans="1:25" x14ac:dyDescent="0.3">
      <c r="C14" s="2" t="e">
        <f>B5*C5</f>
        <v>#REF!</v>
      </c>
      <c r="D14" s="2" t="e">
        <f>G5*D5</f>
        <v>#REF!</v>
      </c>
      <c r="E14" s="2"/>
      <c r="J14" s="1" t="e">
        <f t="shared" si="2"/>
        <v>#REF!</v>
      </c>
      <c r="K14" s="1" t="e">
        <f t="shared" si="2"/>
        <v>#REF!</v>
      </c>
      <c r="L14" s="1" t="e">
        <f t="shared" si="3"/>
        <v>#REF!</v>
      </c>
      <c r="M14" s="1" t="e">
        <f t="shared" si="3"/>
        <v>#REF!</v>
      </c>
      <c r="N14" s="1">
        <f t="shared" si="3"/>
        <v>11033</v>
      </c>
      <c r="O14" s="1">
        <f t="shared" si="3"/>
        <v>11033</v>
      </c>
      <c r="P14" s="1"/>
      <c r="R14" s="2"/>
      <c r="U14" s="6" t="e">
        <f>L5-Y5</f>
        <v>#REF!</v>
      </c>
      <c r="V14" s="2" t="e">
        <f>U14*D5</f>
        <v>#REF!</v>
      </c>
    </row>
    <row r="15" spans="1:25" x14ac:dyDescent="0.3">
      <c r="C15" s="2" t="e">
        <f>B6*C6</f>
        <v>#REF!</v>
      </c>
      <c r="D15" s="2" t="e">
        <f>G6*D6</f>
        <v>#REF!</v>
      </c>
      <c r="E15" s="2"/>
      <c r="J15" s="1">
        <f t="shared" si="2"/>
        <v>0</v>
      </c>
      <c r="K15" s="1">
        <f t="shared" si="2"/>
        <v>0</v>
      </c>
      <c r="L15" s="1">
        <f t="shared" si="3"/>
        <v>0</v>
      </c>
      <c r="M15" s="1" t="e">
        <f t="shared" si="3"/>
        <v>#REF!</v>
      </c>
      <c r="N15" s="1" t="e">
        <f t="shared" si="3"/>
        <v>#REF!</v>
      </c>
      <c r="O15" s="1">
        <f t="shared" si="3"/>
        <v>1294.8</v>
      </c>
      <c r="P15" s="1"/>
      <c r="R15" s="1"/>
      <c r="T15" t="s">
        <v>35</v>
      </c>
      <c r="U15" t="e">
        <f>V14/D6</f>
        <v>#REF!</v>
      </c>
    </row>
    <row r="16" spans="1:25" x14ac:dyDescent="0.3">
      <c r="A16" s="10"/>
      <c r="B16" s="11" t="s">
        <v>29</v>
      </c>
      <c r="C16" s="8" t="e">
        <f>SUM(C12:C15)</f>
        <v>#REF!</v>
      </c>
      <c r="D16" s="2" t="e">
        <f>SUM(D12:D15)</f>
        <v>#REF!</v>
      </c>
      <c r="E16" s="2"/>
      <c r="J16" s="1" t="e">
        <f t="shared" ref="J16:O16" si="4">SUM(J12:J15)</f>
        <v>#REF!</v>
      </c>
      <c r="K16" s="1" t="e">
        <f t="shared" si="4"/>
        <v>#REF!</v>
      </c>
      <c r="L16" s="1" t="e">
        <f t="shared" si="4"/>
        <v>#REF!</v>
      </c>
      <c r="M16" s="1" t="e">
        <f t="shared" si="4"/>
        <v>#REF!</v>
      </c>
      <c r="N16" s="1" t="e">
        <f t="shared" si="4"/>
        <v>#REF!</v>
      </c>
      <c r="O16" s="14">
        <f t="shared" si="4"/>
        <v>27855.8</v>
      </c>
      <c r="P16" s="1"/>
    </row>
    <row r="17" spans="4:16" x14ac:dyDescent="0.3">
      <c r="D17" s="2" t="e">
        <f>D16-$C$16</f>
        <v>#REF!</v>
      </c>
      <c r="E17" s="2"/>
      <c r="J17" s="2" t="e">
        <f t="shared" ref="J17:O17" si="5">J16-$C$16</f>
        <v>#REF!</v>
      </c>
      <c r="K17" s="2" t="e">
        <f t="shared" si="5"/>
        <v>#REF!</v>
      </c>
      <c r="L17" s="2" t="e">
        <f t="shared" si="5"/>
        <v>#REF!</v>
      </c>
      <c r="M17" s="2" t="e">
        <f t="shared" si="5"/>
        <v>#REF!</v>
      </c>
      <c r="N17" s="2" t="e">
        <f t="shared" si="5"/>
        <v>#REF!</v>
      </c>
      <c r="O17" s="2" t="e">
        <f t="shared" si="5"/>
        <v>#REF!</v>
      </c>
      <c r="P17" s="2"/>
    </row>
  </sheetData>
  <conditionalFormatting sqref="D17:E17 J17:N17 P17">
    <cfRule type="cellIs" dxfId="41" priority="6" operator="equal">
      <formula>0</formula>
    </cfRule>
  </conditionalFormatting>
  <conditionalFormatting sqref="D17:E17 J17:N17 P17">
    <cfRule type="cellIs" dxfId="40" priority="5" operator="greaterThan">
      <formula>0</formula>
    </cfRule>
  </conditionalFormatting>
  <conditionalFormatting sqref="D17:E17 J17:N17 P17">
    <cfRule type="cellIs" dxfId="39" priority="4" operator="lessThan">
      <formula>0</formula>
    </cfRule>
  </conditionalFormatting>
  <conditionalFormatting sqref="O17">
    <cfRule type="cellIs" dxfId="38" priority="3" operator="equal">
      <formula>0</formula>
    </cfRule>
  </conditionalFormatting>
  <conditionalFormatting sqref="O17">
    <cfRule type="cellIs" dxfId="37" priority="2" operator="greaterThan">
      <formula>0</formula>
    </cfRule>
  </conditionalFormatting>
  <conditionalFormatting sqref="O17">
    <cfRule type="cellIs" dxfId="36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B3" sqref="B3"/>
    </sheetView>
  </sheetViews>
  <sheetFormatPr baseColWidth="10" defaultRowHeight="14.4" x14ac:dyDescent="0.3"/>
  <cols>
    <col min="2" max="2" width="10.6640625" customWidth="1"/>
    <col min="3" max="4" width="12" bestFit="1" customWidth="1"/>
    <col min="5" max="5" width="12" customWidth="1"/>
    <col min="6" max="6" width="19.6640625" bestFit="1" customWidth="1"/>
    <col min="7" max="7" width="12.88671875" bestFit="1" customWidth="1"/>
    <col min="10" max="10" width="20.88671875" bestFit="1" customWidth="1"/>
    <col min="11" max="11" width="18.6640625" bestFit="1" customWidth="1"/>
    <col min="12" max="12" width="19.44140625" bestFit="1" customWidth="1"/>
    <col min="13" max="13" width="19" bestFit="1" customWidth="1"/>
    <col min="14" max="16" width="19" customWidth="1"/>
    <col min="17" max="17" width="12" bestFit="1" customWidth="1"/>
    <col min="18" max="18" width="22" bestFit="1" customWidth="1"/>
    <col min="20" max="20" width="14" bestFit="1" customWidth="1"/>
    <col min="21" max="21" width="13.33203125" bestFit="1" customWidth="1"/>
    <col min="22" max="22" width="11" bestFit="1" customWidth="1"/>
    <col min="27" max="27" width="6.5546875" bestFit="1" customWidth="1"/>
  </cols>
  <sheetData>
    <row r="1" spans="1:30" x14ac:dyDescent="0.3">
      <c r="X1" t="s">
        <v>37</v>
      </c>
      <c r="Y1">
        <f>20*8</f>
        <v>160</v>
      </c>
      <c r="AC1">
        <f>(20-6)*8</f>
        <v>112</v>
      </c>
    </row>
    <row r="2" spans="1:30" x14ac:dyDescent="0.3">
      <c r="C2" s="16" t="s">
        <v>18</v>
      </c>
      <c r="D2" s="16" t="s">
        <v>31</v>
      </c>
      <c r="E2" s="16" t="s">
        <v>32</v>
      </c>
      <c r="G2" t="s">
        <v>5</v>
      </c>
      <c r="H2" t="s">
        <v>17</v>
      </c>
      <c r="J2" t="s">
        <v>38</v>
      </c>
      <c r="N2" s="13" t="s">
        <v>36</v>
      </c>
      <c r="O2" s="13"/>
      <c r="P2" s="13"/>
      <c r="R2" t="s">
        <v>30</v>
      </c>
    </row>
    <row r="3" spans="1:30" x14ac:dyDescent="0.3">
      <c r="A3" t="s">
        <v>1</v>
      </c>
      <c r="B3" s="5" t="e">
        <f>SUMIF(#REF!,Perfiles04!$A3,#REF!)</f>
        <v>#REF!</v>
      </c>
      <c r="C3" s="1">
        <v>34.49</v>
      </c>
      <c r="D3" s="1">
        <v>28</v>
      </c>
      <c r="E3" s="1"/>
      <c r="F3" s="15">
        <f>(C3-D3)/C3</f>
        <v>0.18817048419831839</v>
      </c>
      <c r="G3" t="e">
        <f>B3*(C3/D3)</f>
        <v>#REF!</v>
      </c>
      <c r="J3" s="6" t="e">
        <f>IF(G3&gt;Y3,Y3,G3)</f>
        <v>#REF!</v>
      </c>
      <c r="K3" s="6" t="e">
        <f>IF(J3&gt;Y3,Y3,J3)</f>
        <v>#REF!</v>
      </c>
      <c r="L3" s="6" t="e">
        <f>K3</f>
        <v>#REF!</v>
      </c>
      <c r="M3" s="6" t="e">
        <f>L3</f>
        <v>#REF!</v>
      </c>
      <c r="N3" s="6">
        <v>160</v>
      </c>
      <c r="O3" s="6">
        <f>N3</f>
        <v>160</v>
      </c>
      <c r="P3" s="6" t="e">
        <f>(M3-N3)*(D3/$D$6)</f>
        <v>#REF!</v>
      </c>
      <c r="Q3" s="17">
        <f>O3/Y3</f>
        <v>1</v>
      </c>
      <c r="U3" s="6" t="e">
        <f>G3-Y3</f>
        <v>#REF!</v>
      </c>
      <c r="V3" s="2" t="e">
        <f>U3*D3</f>
        <v>#REF!</v>
      </c>
      <c r="X3" s="7" t="s">
        <v>15</v>
      </c>
      <c r="Y3">
        <f>Z3*$Y$1</f>
        <v>160</v>
      </c>
      <c r="Z3">
        <v>1</v>
      </c>
      <c r="AA3" s="5">
        <f>Y3-O3</f>
        <v>0</v>
      </c>
      <c r="AC3">
        <f>AD3*$AC$1</f>
        <v>112</v>
      </c>
      <c r="AD3">
        <v>1</v>
      </c>
    </row>
    <row r="4" spans="1:30" x14ac:dyDescent="0.3">
      <c r="A4" t="s">
        <v>2</v>
      </c>
      <c r="B4" s="5" t="e">
        <f>SUMIF(#REF!,Perfiles04!$A4,#REF!)</f>
        <v>#REF!</v>
      </c>
      <c r="C4" s="1">
        <v>30.18</v>
      </c>
      <c r="D4" s="1">
        <v>22</v>
      </c>
      <c r="E4" s="1">
        <v>18.510000000000002</v>
      </c>
      <c r="F4" s="15">
        <f>(C4-D4)/C4</f>
        <v>0.27104042412193508</v>
      </c>
      <c r="G4" t="e">
        <f>B4*(C4/D4)</f>
        <v>#REF!</v>
      </c>
      <c r="H4" s="5" t="e">
        <f>#REF!</f>
        <v>#REF!</v>
      </c>
      <c r="I4" s="5" t="e">
        <f>H4-G4</f>
        <v>#REF!</v>
      </c>
      <c r="J4" s="6" t="e">
        <f>IF(G3&gt;Y3,G4+U4,G4)</f>
        <v>#REF!</v>
      </c>
      <c r="K4" s="6" t="e">
        <f>J4</f>
        <v>#REF!</v>
      </c>
      <c r="L4" s="6" t="e">
        <f>IF(K4&gt;Y4,K4-U9,K4)</f>
        <v>#REF!</v>
      </c>
      <c r="M4" s="6" t="e">
        <f>L4</f>
        <v>#REF!</v>
      </c>
      <c r="N4" s="6">
        <v>458</v>
      </c>
      <c r="O4" s="6">
        <v>453</v>
      </c>
      <c r="P4" s="6" t="e">
        <f>(M4-N4)*(D4/$D$6)</f>
        <v>#REF!</v>
      </c>
      <c r="Q4" s="17">
        <f>O4/Y4</f>
        <v>0.94374999999999998</v>
      </c>
      <c r="R4" s="6" t="e">
        <f>H4-L4</f>
        <v>#REF!</v>
      </c>
      <c r="T4" t="s">
        <v>6</v>
      </c>
      <c r="U4" s="6" t="e">
        <f>$V$3/D4</f>
        <v>#REF!</v>
      </c>
      <c r="X4" s="7" t="s">
        <v>21</v>
      </c>
      <c r="Y4">
        <f>Z4*$Y$1</f>
        <v>480</v>
      </c>
      <c r="Z4">
        <v>3</v>
      </c>
      <c r="AA4" s="5">
        <f>Y4-O4</f>
        <v>27</v>
      </c>
      <c r="AC4">
        <f>AD4*$AC$1</f>
        <v>336</v>
      </c>
      <c r="AD4">
        <v>3</v>
      </c>
    </row>
    <row r="5" spans="1:30" x14ac:dyDescent="0.3">
      <c r="A5" t="s">
        <v>3</v>
      </c>
      <c r="B5" s="5" t="e">
        <f>SUMIF(#REF!,Perfiles04!$A5,#REF!)</f>
        <v>#REF!</v>
      </c>
      <c r="C5" s="1">
        <v>24.78</v>
      </c>
      <c r="D5" s="1">
        <v>22</v>
      </c>
      <c r="E5" s="1">
        <v>18.100000000000001</v>
      </c>
      <c r="F5" s="15">
        <f>(C5-D5)/C5</f>
        <v>0.11218724778046817</v>
      </c>
      <c r="G5" t="e">
        <f>B5*(C5/D5)</f>
        <v>#REF!</v>
      </c>
      <c r="H5" s="5" t="e">
        <f>#REF!</f>
        <v>#REF!</v>
      </c>
      <c r="I5" s="5" t="e">
        <f>H5-G5</f>
        <v>#REF!</v>
      </c>
      <c r="J5" s="6" t="e">
        <f>G5</f>
        <v>#REF!</v>
      </c>
      <c r="K5" s="6" t="e">
        <f>IF(J3&gt;Y3,J5+U5,J5)</f>
        <v>#REF!</v>
      </c>
      <c r="L5" s="6" t="e">
        <f>IF(K4&gt;Y4,K5+U10,K5)</f>
        <v>#REF!</v>
      </c>
      <c r="M5" s="6" t="e">
        <f>IF(L5&gt;Y5,Y5,L5)</f>
        <v>#REF!</v>
      </c>
      <c r="N5" s="6">
        <v>364</v>
      </c>
      <c r="O5" s="6">
        <v>457</v>
      </c>
      <c r="P5" s="6" t="e">
        <f>(M5-N5)*(D5/$D$6)</f>
        <v>#REF!</v>
      </c>
      <c r="Q5" s="17">
        <f>O5/Y5</f>
        <v>0.95208333333333328</v>
      </c>
      <c r="R5" s="6" t="e">
        <f>H5-L5</f>
        <v>#REF!</v>
      </c>
      <c r="T5" t="s">
        <v>7</v>
      </c>
      <c r="U5" s="6" t="e">
        <f>$V$3/D5</f>
        <v>#REF!</v>
      </c>
      <c r="X5" s="7" t="s">
        <v>22</v>
      </c>
      <c r="Y5">
        <f>Z5*$Y$1</f>
        <v>480</v>
      </c>
      <c r="Z5">
        <v>3</v>
      </c>
      <c r="AA5" s="5">
        <f>Y5-O5</f>
        <v>23</v>
      </c>
      <c r="AC5">
        <f>AD5*$AC$1</f>
        <v>336</v>
      </c>
      <c r="AD5">
        <v>3</v>
      </c>
    </row>
    <row r="6" spans="1:30" x14ac:dyDescent="0.3">
      <c r="A6" t="s">
        <v>4</v>
      </c>
      <c r="B6" s="5" t="e">
        <f>SUMIF(#REF!,Perfiles04!$A6,#REF!)</f>
        <v>#REF!</v>
      </c>
      <c r="C6" s="1">
        <v>16.71</v>
      </c>
      <c r="D6" s="1">
        <v>15.6</v>
      </c>
      <c r="E6" s="1">
        <v>12.76</v>
      </c>
      <c r="F6" s="15">
        <f>(C6-D6)/C6</f>
        <v>6.6427289048474031E-2</v>
      </c>
      <c r="G6" t="e">
        <f>B6*(C6/D6)</f>
        <v>#REF!</v>
      </c>
      <c r="H6" s="5" t="e">
        <f>#REF!</f>
        <v>#REF!</v>
      </c>
      <c r="I6" s="5" t="e">
        <f>H6-G6</f>
        <v>#REF!</v>
      </c>
      <c r="J6" s="6" t="e">
        <f>G6</f>
        <v>#REF!</v>
      </c>
      <c r="K6" s="6" t="e">
        <f>J6</f>
        <v>#REF!</v>
      </c>
      <c r="L6" s="6" t="e">
        <f>K6</f>
        <v>#REF!</v>
      </c>
      <c r="M6" s="6" t="e">
        <f>L6</f>
        <v>#REF!</v>
      </c>
      <c r="N6" s="6" t="e">
        <f>M6+P6</f>
        <v>#REF!</v>
      </c>
      <c r="O6" s="6">
        <v>689</v>
      </c>
      <c r="P6" s="6" t="e">
        <f>SUM(P3:P5)</f>
        <v>#REF!</v>
      </c>
      <c r="Q6" s="17">
        <f>O6/Y6</f>
        <v>0.61517857142857146</v>
      </c>
      <c r="R6" s="6" t="e">
        <f>H6-L6</f>
        <v>#REF!</v>
      </c>
      <c r="T6" t="s">
        <v>8</v>
      </c>
      <c r="U6" s="6" t="e">
        <f>$V$3/D6</f>
        <v>#REF!</v>
      </c>
      <c r="X6" s="7" t="s">
        <v>23</v>
      </c>
      <c r="Y6">
        <f>Z6*$Y$1</f>
        <v>1120</v>
      </c>
      <c r="Z6">
        <v>7</v>
      </c>
      <c r="AA6" s="5">
        <f>Y6-O6</f>
        <v>431</v>
      </c>
      <c r="AC6">
        <f>AD6*$AC$1</f>
        <v>784</v>
      </c>
      <c r="AD6">
        <v>7</v>
      </c>
    </row>
    <row r="7" spans="1:30" x14ac:dyDescent="0.3">
      <c r="B7" s="5" t="e">
        <f>SUM(B3:B6)</f>
        <v>#REF!</v>
      </c>
      <c r="G7" t="e">
        <f>SUM(G3:G6)</f>
        <v>#REF!</v>
      </c>
      <c r="H7" t="e">
        <f>SUM(H3:H6)</f>
        <v>#REF!</v>
      </c>
      <c r="J7" s="6" t="e">
        <f t="shared" ref="J7:O7" si="0">SUM(J3:J6)</f>
        <v>#REF!</v>
      </c>
      <c r="K7" s="6" t="e">
        <f t="shared" si="0"/>
        <v>#REF!</v>
      </c>
      <c r="L7" s="6" t="e">
        <f t="shared" si="0"/>
        <v>#REF!</v>
      </c>
      <c r="M7" s="6" t="e">
        <f t="shared" si="0"/>
        <v>#REF!</v>
      </c>
      <c r="N7" s="6" t="e">
        <f t="shared" si="0"/>
        <v>#REF!</v>
      </c>
      <c r="O7" s="6">
        <f t="shared" si="0"/>
        <v>1759</v>
      </c>
      <c r="P7" s="6"/>
      <c r="T7" t="s">
        <v>16</v>
      </c>
      <c r="U7" s="6" t="e">
        <f>MAX(U4:U6)</f>
        <v>#REF!</v>
      </c>
    </row>
    <row r="9" spans="1:30" x14ac:dyDescent="0.3">
      <c r="F9" t="s">
        <v>14</v>
      </c>
      <c r="G9" t="e">
        <f>G4+G5+G6++U7</f>
        <v>#REF!</v>
      </c>
      <c r="U9" t="e">
        <f>K4-Y4</f>
        <v>#REF!</v>
      </c>
      <c r="V9" s="2" t="e">
        <f>U9*D4</f>
        <v>#REF!</v>
      </c>
    </row>
    <row r="10" spans="1:30" x14ac:dyDescent="0.3">
      <c r="T10" t="s">
        <v>25</v>
      </c>
      <c r="U10" t="e">
        <f>V9/D5</f>
        <v>#REF!</v>
      </c>
    </row>
    <row r="11" spans="1:30" x14ac:dyDescent="0.3">
      <c r="C11" s="9" t="s">
        <v>19</v>
      </c>
      <c r="D11" s="16" t="s">
        <v>20</v>
      </c>
      <c r="E11" s="16"/>
      <c r="J11" s="16" t="s">
        <v>28</v>
      </c>
      <c r="K11" s="16" t="s">
        <v>28</v>
      </c>
      <c r="L11" s="16" t="s">
        <v>28</v>
      </c>
      <c r="M11" s="16" t="s">
        <v>28</v>
      </c>
      <c r="N11" s="16" t="s">
        <v>28</v>
      </c>
      <c r="O11" s="16" t="s">
        <v>28</v>
      </c>
      <c r="T11" t="s">
        <v>24</v>
      </c>
      <c r="U11" t="e">
        <f>V9/D6</f>
        <v>#REF!</v>
      </c>
    </row>
    <row r="12" spans="1:30" x14ac:dyDescent="0.3">
      <c r="C12" s="2" t="e">
        <f>B3*C3</f>
        <v>#REF!</v>
      </c>
      <c r="D12" s="2" t="e">
        <f>G3*D3</f>
        <v>#REF!</v>
      </c>
      <c r="E12" s="2"/>
      <c r="J12" s="1" t="e">
        <f t="shared" ref="J12:O15" si="1">J3*$D3</f>
        <v>#REF!</v>
      </c>
      <c r="K12" s="1" t="e">
        <f t="shared" si="1"/>
        <v>#REF!</v>
      </c>
      <c r="L12" s="1" t="e">
        <f t="shared" si="1"/>
        <v>#REF!</v>
      </c>
      <c r="M12" s="1" t="e">
        <f t="shared" si="1"/>
        <v>#REF!</v>
      </c>
      <c r="N12" s="1">
        <f t="shared" si="1"/>
        <v>4480</v>
      </c>
      <c r="O12" s="1">
        <f t="shared" si="1"/>
        <v>4480</v>
      </c>
      <c r="P12" s="1"/>
      <c r="R12" s="2"/>
    </row>
    <row r="13" spans="1:30" x14ac:dyDescent="0.3">
      <c r="C13" s="2" t="e">
        <f>B4*C4</f>
        <v>#REF!</v>
      </c>
      <c r="D13" s="2" t="e">
        <f>G4*D4</f>
        <v>#REF!</v>
      </c>
      <c r="E13" s="2"/>
      <c r="J13" s="1" t="e">
        <f t="shared" si="1"/>
        <v>#REF!</v>
      </c>
      <c r="K13" s="1" t="e">
        <f t="shared" si="1"/>
        <v>#REF!</v>
      </c>
      <c r="L13" s="1" t="e">
        <f t="shared" si="1"/>
        <v>#REF!</v>
      </c>
      <c r="M13" s="1" t="e">
        <f t="shared" si="1"/>
        <v>#REF!</v>
      </c>
      <c r="N13" s="1">
        <f t="shared" si="1"/>
        <v>10076</v>
      </c>
      <c r="O13" s="1">
        <f t="shared" si="1"/>
        <v>9966</v>
      </c>
      <c r="P13" s="1"/>
      <c r="R13" s="2"/>
    </row>
    <row r="14" spans="1:30" x14ac:dyDescent="0.3">
      <c r="C14" s="2" t="e">
        <f>B5*C5</f>
        <v>#REF!</v>
      </c>
      <c r="D14" s="2" t="e">
        <f>G5*D5</f>
        <v>#REF!</v>
      </c>
      <c r="E14" s="2"/>
      <c r="J14" s="1" t="e">
        <f t="shared" si="1"/>
        <v>#REF!</v>
      </c>
      <c r="K14" s="1" t="e">
        <f t="shared" si="1"/>
        <v>#REF!</v>
      </c>
      <c r="L14" s="1" t="e">
        <f t="shared" si="1"/>
        <v>#REF!</v>
      </c>
      <c r="M14" s="1" t="e">
        <f t="shared" si="1"/>
        <v>#REF!</v>
      </c>
      <c r="N14" s="1">
        <f t="shared" si="1"/>
        <v>8008</v>
      </c>
      <c r="O14" s="1">
        <f t="shared" si="1"/>
        <v>10054</v>
      </c>
      <c r="P14" s="1"/>
      <c r="R14" s="2"/>
      <c r="U14" s="6" t="e">
        <f>L5-Y5</f>
        <v>#REF!</v>
      </c>
      <c r="V14" s="2" t="e">
        <f>U14*D5</f>
        <v>#REF!</v>
      </c>
    </row>
    <row r="15" spans="1:30" x14ac:dyDescent="0.3">
      <c r="C15" s="2" t="e">
        <f>B6*C6</f>
        <v>#REF!</v>
      </c>
      <c r="D15" s="2" t="e">
        <f>G6*D6</f>
        <v>#REF!</v>
      </c>
      <c r="E15" s="2"/>
      <c r="J15" s="1" t="e">
        <f t="shared" si="1"/>
        <v>#REF!</v>
      </c>
      <c r="K15" s="1" t="e">
        <f t="shared" si="1"/>
        <v>#REF!</v>
      </c>
      <c r="L15" s="1" t="e">
        <f t="shared" si="1"/>
        <v>#REF!</v>
      </c>
      <c r="M15" s="1" t="e">
        <f t="shared" si="1"/>
        <v>#REF!</v>
      </c>
      <c r="N15" s="1" t="e">
        <f t="shared" si="1"/>
        <v>#REF!</v>
      </c>
      <c r="O15" s="1">
        <f t="shared" si="1"/>
        <v>10748.4</v>
      </c>
      <c r="P15" s="1"/>
      <c r="R15" s="1"/>
      <c r="T15" t="s">
        <v>35</v>
      </c>
      <c r="U15" t="e">
        <f>V14/D6</f>
        <v>#REF!</v>
      </c>
    </row>
    <row r="16" spans="1:30" x14ac:dyDescent="0.3">
      <c r="A16" s="18"/>
      <c r="B16" s="19" t="s">
        <v>48</v>
      </c>
      <c r="C16" s="8" t="e">
        <f>SUM(C12:C15)</f>
        <v>#REF!</v>
      </c>
      <c r="D16" s="2" t="e">
        <f>SUM(D12:D15)</f>
        <v>#REF!</v>
      </c>
      <c r="E16" s="2"/>
      <c r="J16" s="1" t="e">
        <f t="shared" ref="J16:O16" si="2">SUM(J12:J15)</f>
        <v>#REF!</v>
      </c>
      <c r="K16" s="1" t="e">
        <f t="shared" si="2"/>
        <v>#REF!</v>
      </c>
      <c r="L16" s="1" t="e">
        <f t="shared" si="2"/>
        <v>#REF!</v>
      </c>
      <c r="M16" s="1" t="e">
        <f t="shared" si="2"/>
        <v>#REF!</v>
      </c>
      <c r="N16" s="1" t="e">
        <f t="shared" si="2"/>
        <v>#REF!</v>
      </c>
      <c r="O16" s="14">
        <f t="shared" si="2"/>
        <v>35248.400000000001</v>
      </c>
      <c r="P16" s="1"/>
    </row>
    <row r="17" spans="1:16" x14ac:dyDescent="0.3">
      <c r="D17" s="2" t="e">
        <f>D16-$C$16</f>
        <v>#REF!</v>
      </c>
      <c r="E17" s="2"/>
      <c r="J17" s="2" t="e">
        <f t="shared" ref="J17:O17" si="3">J16-$C$16</f>
        <v>#REF!</v>
      </c>
      <c r="K17" s="2" t="e">
        <f t="shared" si="3"/>
        <v>#REF!</v>
      </c>
      <c r="L17" s="2" t="e">
        <f t="shared" si="3"/>
        <v>#REF!</v>
      </c>
      <c r="M17" s="2" t="e">
        <f t="shared" si="3"/>
        <v>#REF!</v>
      </c>
      <c r="N17" s="2" t="e">
        <f t="shared" si="3"/>
        <v>#REF!</v>
      </c>
      <c r="O17" s="2" t="e">
        <f t="shared" si="3"/>
        <v>#REF!</v>
      </c>
      <c r="P17" s="2"/>
    </row>
    <row r="21" spans="1:16" x14ac:dyDescent="0.3">
      <c r="D21" s="2">
        <f>Y3*D3</f>
        <v>4480</v>
      </c>
      <c r="E21" s="2" t="e">
        <f>D21-D12</f>
        <v>#REF!</v>
      </c>
    </row>
    <row r="22" spans="1:16" x14ac:dyDescent="0.3">
      <c r="D22" s="2">
        <f>Y4*D4</f>
        <v>10560</v>
      </c>
      <c r="E22" s="2" t="e">
        <f>D22-D13</f>
        <v>#REF!</v>
      </c>
    </row>
    <row r="23" spans="1:16" x14ac:dyDescent="0.3">
      <c r="D23" s="2">
        <f>Y5*D5</f>
        <v>10560</v>
      </c>
      <c r="E23" s="2" t="e">
        <f>D23-D14</f>
        <v>#REF!</v>
      </c>
    </row>
    <row r="24" spans="1:16" x14ac:dyDescent="0.3">
      <c r="D24" s="2">
        <f>Y6*D6</f>
        <v>17472</v>
      </c>
      <c r="E24" s="2" t="e">
        <f>D24-D15</f>
        <v>#REF!</v>
      </c>
    </row>
    <row r="25" spans="1:16" x14ac:dyDescent="0.3">
      <c r="A25" s="18"/>
      <c r="B25" s="19" t="s">
        <v>49</v>
      </c>
      <c r="D25" s="8">
        <f>SUM(D21:D24)</f>
        <v>43072</v>
      </c>
      <c r="E25" s="15" t="e">
        <f>D16/D25</f>
        <v>#REF!</v>
      </c>
      <c r="G25">
        <v>14</v>
      </c>
    </row>
    <row r="26" spans="1:16" x14ac:dyDescent="0.3">
      <c r="D26" s="2" t="e">
        <f>D25-D16</f>
        <v>#REF!</v>
      </c>
      <c r="G26">
        <v>20</v>
      </c>
      <c r="J26" s="1">
        <v>208355.36</v>
      </c>
    </row>
    <row r="27" spans="1:16" x14ac:dyDescent="0.3">
      <c r="G27" s="15">
        <f>G25/G26</f>
        <v>0.7</v>
      </c>
      <c r="J27" s="1">
        <v>16760.73</v>
      </c>
    </row>
    <row r="28" spans="1:16" x14ac:dyDescent="0.3">
      <c r="J28" s="1">
        <f>J26-J27</f>
        <v>191594.62999999998</v>
      </c>
    </row>
  </sheetData>
  <conditionalFormatting sqref="D17:E17 J17:N17 P17">
    <cfRule type="cellIs" dxfId="35" priority="6" operator="equal">
      <formula>0</formula>
    </cfRule>
  </conditionalFormatting>
  <conditionalFormatting sqref="D17:E17 J17:N17 P17">
    <cfRule type="cellIs" dxfId="34" priority="5" operator="greaterThan">
      <formula>0</formula>
    </cfRule>
  </conditionalFormatting>
  <conditionalFormatting sqref="D17:E17 J17:N17 P17">
    <cfRule type="cellIs" dxfId="33" priority="4" operator="lessThan">
      <formula>0</formula>
    </cfRule>
  </conditionalFormatting>
  <conditionalFormatting sqref="O17">
    <cfRule type="cellIs" dxfId="32" priority="3" operator="equal">
      <formula>0</formula>
    </cfRule>
  </conditionalFormatting>
  <conditionalFormatting sqref="O17">
    <cfRule type="cellIs" dxfId="31" priority="2" operator="greaterThan">
      <formula>0</formula>
    </cfRule>
  </conditionalFormatting>
  <conditionalFormatting sqref="O17">
    <cfRule type="cellIs" dxfId="3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J6" sqref="J6"/>
    </sheetView>
  </sheetViews>
  <sheetFormatPr baseColWidth="10" defaultRowHeight="14.4" x14ac:dyDescent="0.3"/>
  <cols>
    <col min="2" max="2" width="10.6640625" customWidth="1"/>
    <col min="3" max="4" width="12" bestFit="1" customWidth="1"/>
    <col min="5" max="5" width="12" customWidth="1"/>
    <col min="6" max="6" width="19.6640625" bestFit="1" customWidth="1"/>
    <col min="7" max="7" width="12.88671875" bestFit="1" customWidth="1"/>
    <col min="10" max="10" width="20.88671875" bestFit="1" customWidth="1"/>
    <col min="11" max="11" width="18.6640625" bestFit="1" customWidth="1"/>
    <col min="12" max="12" width="19.44140625" bestFit="1" customWidth="1"/>
    <col min="13" max="13" width="19" bestFit="1" customWidth="1"/>
    <col min="14" max="16" width="19" customWidth="1"/>
    <col min="17" max="17" width="12" bestFit="1" customWidth="1"/>
    <col min="18" max="18" width="22" bestFit="1" customWidth="1"/>
    <col min="20" max="20" width="14" bestFit="1" customWidth="1"/>
    <col min="21" max="21" width="13.33203125" bestFit="1" customWidth="1"/>
    <col min="22" max="22" width="11" bestFit="1" customWidth="1"/>
    <col min="27" max="27" width="6.5546875" bestFit="1" customWidth="1"/>
  </cols>
  <sheetData>
    <row r="1" spans="1:30" x14ac:dyDescent="0.3">
      <c r="X1" t="s">
        <v>37</v>
      </c>
      <c r="Y1">
        <v>168</v>
      </c>
      <c r="AC1">
        <f>(20-6)*8</f>
        <v>112</v>
      </c>
    </row>
    <row r="2" spans="1:30" x14ac:dyDescent="0.3">
      <c r="C2" s="20" t="s">
        <v>18</v>
      </c>
      <c r="D2" s="20" t="s">
        <v>31</v>
      </c>
      <c r="E2" s="20" t="s">
        <v>32</v>
      </c>
      <c r="G2" t="s">
        <v>5</v>
      </c>
      <c r="H2" t="s">
        <v>17</v>
      </c>
      <c r="J2" t="s">
        <v>38</v>
      </c>
      <c r="N2" s="13" t="s">
        <v>36</v>
      </c>
      <c r="O2" s="13"/>
      <c r="P2" s="13"/>
      <c r="R2" t="s">
        <v>30</v>
      </c>
    </row>
    <row r="3" spans="1:30" x14ac:dyDescent="0.3">
      <c r="A3" t="s">
        <v>1</v>
      </c>
      <c r="B3" s="5" t="e">
        <f>SUMIF(#REF!,Perfiles05!$A3,#REF!)</f>
        <v>#REF!</v>
      </c>
      <c r="C3" s="1">
        <v>34.49</v>
      </c>
      <c r="D3" s="1">
        <v>28</v>
      </c>
      <c r="E3" s="1"/>
      <c r="F3" s="15">
        <f>(C3-D3)/C3</f>
        <v>0.18817048419831839</v>
      </c>
      <c r="G3" t="e">
        <f>B3*(C3/D3)</f>
        <v>#REF!</v>
      </c>
      <c r="J3" s="6" t="e">
        <f>IF(G3&gt;Y3,Y3,G3)</f>
        <v>#REF!</v>
      </c>
      <c r="K3" s="6" t="e">
        <f>IF(J3&gt;Y3,Y3,J3)</f>
        <v>#REF!</v>
      </c>
      <c r="L3" s="6" t="e">
        <f>K3</f>
        <v>#REF!</v>
      </c>
      <c r="M3" s="6" t="e">
        <f>L3</f>
        <v>#REF!</v>
      </c>
      <c r="N3" s="6">
        <v>160</v>
      </c>
      <c r="O3" s="6">
        <f>N3</f>
        <v>160</v>
      </c>
      <c r="P3" s="6" t="e">
        <f>(M3-N3)*(D3/$D$6)</f>
        <v>#REF!</v>
      </c>
      <c r="Q3" s="17">
        <f>O3/Y3</f>
        <v>0.95238095238095233</v>
      </c>
      <c r="U3" s="6" t="e">
        <f>G3-Y3</f>
        <v>#REF!</v>
      </c>
      <c r="V3" s="2" t="e">
        <f>U3*D3</f>
        <v>#REF!</v>
      </c>
      <c r="X3" s="7" t="s">
        <v>15</v>
      </c>
      <c r="Y3">
        <f>Z3*$Y$1</f>
        <v>168</v>
      </c>
      <c r="Z3">
        <v>1</v>
      </c>
      <c r="AA3" s="5">
        <f>Y3-O3</f>
        <v>8</v>
      </c>
      <c r="AC3">
        <f>AD3*$AC$1</f>
        <v>112</v>
      </c>
      <c r="AD3">
        <v>1</v>
      </c>
    </row>
    <row r="4" spans="1:30" x14ac:dyDescent="0.3">
      <c r="A4" t="s">
        <v>2</v>
      </c>
      <c r="B4" s="5" t="e">
        <f>SUMIF(#REF!,Perfiles05!$A4,#REF!)</f>
        <v>#REF!</v>
      </c>
      <c r="C4" s="1">
        <v>30.18</v>
      </c>
      <c r="D4" s="1">
        <v>22</v>
      </c>
      <c r="E4" s="1">
        <v>18.510000000000002</v>
      </c>
      <c r="F4" s="15">
        <f>(C4-D4)/C4</f>
        <v>0.27104042412193508</v>
      </c>
      <c r="G4" t="e">
        <f>B4*(C4/D4)</f>
        <v>#REF!</v>
      </c>
      <c r="H4" s="5" t="e">
        <f>#REF!</f>
        <v>#REF!</v>
      </c>
      <c r="I4" s="5" t="e">
        <f>H4-G4</f>
        <v>#REF!</v>
      </c>
      <c r="J4" s="6" t="e">
        <f>IF(G3&gt;Y3,G4+U4,G4)</f>
        <v>#REF!</v>
      </c>
      <c r="K4" s="6" t="e">
        <f>J4</f>
        <v>#REF!</v>
      </c>
      <c r="L4" s="6" t="e">
        <f>IF(K4&gt;Y4,K4-U9,K4)</f>
        <v>#REF!</v>
      </c>
      <c r="M4" s="6" t="e">
        <f>L4</f>
        <v>#REF!</v>
      </c>
      <c r="N4" s="6">
        <v>458</v>
      </c>
      <c r="O4" s="6">
        <v>453</v>
      </c>
      <c r="P4" s="6" t="e">
        <f>(M4-N4)*(D4/$D$6)</f>
        <v>#REF!</v>
      </c>
      <c r="Q4" s="17">
        <f>O4/Y4</f>
        <v>0.89880952380952384</v>
      </c>
      <c r="R4" s="6" t="e">
        <f>H4-L4</f>
        <v>#REF!</v>
      </c>
      <c r="T4" t="s">
        <v>6</v>
      </c>
      <c r="U4" s="6" t="e">
        <f>$V$3/D4</f>
        <v>#REF!</v>
      </c>
      <c r="X4" s="7" t="s">
        <v>21</v>
      </c>
      <c r="Y4">
        <f>Z4*$Y$1</f>
        <v>504</v>
      </c>
      <c r="Z4">
        <v>3</v>
      </c>
      <c r="AA4" s="5">
        <f>Y4-O4</f>
        <v>51</v>
      </c>
      <c r="AC4">
        <f>AD4*$AC$1</f>
        <v>336</v>
      </c>
      <c r="AD4">
        <v>3</v>
      </c>
    </row>
    <row r="5" spans="1:30" x14ac:dyDescent="0.3">
      <c r="A5" t="s">
        <v>3</v>
      </c>
      <c r="B5" s="5" t="e">
        <f>SUMIF(#REF!,Perfiles05!$A5,#REF!)</f>
        <v>#REF!</v>
      </c>
      <c r="C5" s="1">
        <v>24.78</v>
      </c>
      <c r="D5" s="1">
        <v>22</v>
      </c>
      <c r="E5" s="1">
        <v>18.100000000000001</v>
      </c>
      <c r="F5" s="15">
        <f>(C5-D5)/C5</f>
        <v>0.11218724778046817</v>
      </c>
      <c r="G5" t="e">
        <f>B5*(C5/D5)</f>
        <v>#REF!</v>
      </c>
      <c r="H5" s="5" t="e">
        <f>#REF!</f>
        <v>#REF!</v>
      </c>
      <c r="I5" s="5" t="e">
        <f>H5-G5</f>
        <v>#REF!</v>
      </c>
      <c r="J5" s="6" t="e">
        <f>G5</f>
        <v>#REF!</v>
      </c>
      <c r="K5" s="6" t="e">
        <f>IF(J3&gt;Y3,J5+U5,J5)</f>
        <v>#REF!</v>
      </c>
      <c r="L5" s="6" t="e">
        <f>IF(K4&gt;Y4,K5+U10,K5)</f>
        <v>#REF!</v>
      </c>
      <c r="M5" s="6" t="e">
        <f>IF(L5&gt;Y5,Y5,L5)</f>
        <v>#REF!</v>
      </c>
      <c r="N5" s="6">
        <v>364</v>
      </c>
      <c r="O5" s="6">
        <v>457</v>
      </c>
      <c r="P5" s="6" t="e">
        <f>(M5-N5)*(D5/$D$6)</f>
        <v>#REF!</v>
      </c>
      <c r="Q5" s="17">
        <f>O5/Y5</f>
        <v>0.90674603174603174</v>
      </c>
      <c r="R5" s="6" t="e">
        <f>H5-L5</f>
        <v>#REF!</v>
      </c>
      <c r="T5" t="s">
        <v>7</v>
      </c>
      <c r="U5" s="6" t="e">
        <f>$V$3/D5</f>
        <v>#REF!</v>
      </c>
      <c r="X5" s="7" t="s">
        <v>22</v>
      </c>
      <c r="Y5">
        <f>Z5*$Y$1</f>
        <v>504</v>
      </c>
      <c r="Z5">
        <v>3</v>
      </c>
      <c r="AA5" s="5">
        <f>Y5-O5</f>
        <v>47</v>
      </c>
      <c r="AC5">
        <f>AD5*$AC$1</f>
        <v>336</v>
      </c>
      <c r="AD5">
        <v>3</v>
      </c>
    </row>
    <row r="6" spans="1:30" x14ac:dyDescent="0.3">
      <c r="A6" t="s">
        <v>4</v>
      </c>
      <c r="B6" s="5" t="e">
        <f>SUMIF(#REF!,Perfiles05!$A6,#REF!)</f>
        <v>#REF!</v>
      </c>
      <c r="C6" s="1">
        <v>16.71</v>
      </c>
      <c r="D6" s="1">
        <v>15.6</v>
      </c>
      <c r="E6" s="1">
        <v>12.76</v>
      </c>
      <c r="F6" s="15">
        <f>(C6-D6)/C6</f>
        <v>6.6427289048474031E-2</v>
      </c>
      <c r="G6" t="e">
        <f>B6*(C6/D6)</f>
        <v>#REF!</v>
      </c>
      <c r="H6" s="5" t="e">
        <f>#REF!</f>
        <v>#REF!</v>
      </c>
      <c r="I6" s="5" t="e">
        <f>H6-G6</f>
        <v>#REF!</v>
      </c>
      <c r="J6" s="6" t="e">
        <f>G6</f>
        <v>#REF!</v>
      </c>
      <c r="K6" s="6" t="e">
        <f>J6</f>
        <v>#REF!</v>
      </c>
      <c r="L6" s="6" t="e">
        <f>K6</f>
        <v>#REF!</v>
      </c>
      <c r="M6" s="6" t="e">
        <f>L6</f>
        <v>#REF!</v>
      </c>
      <c r="N6" s="6" t="e">
        <f>M6+P6</f>
        <v>#REF!</v>
      </c>
      <c r="O6" s="6">
        <v>689</v>
      </c>
      <c r="P6" s="6" t="e">
        <f>SUM(P3:P5)</f>
        <v>#REF!</v>
      </c>
      <c r="Q6" s="17">
        <f>O6/Y6</f>
        <v>0.58588435374149661</v>
      </c>
      <c r="R6" s="6" t="e">
        <f>H6-L6</f>
        <v>#REF!</v>
      </c>
      <c r="T6" t="s">
        <v>8</v>
      </c>
      <c r="U6" s="6" t="e">
        <f>$V$3/D6</f>
        <v>#REF!</v>
      </c>
      <c r="X6" s="7" t="s">
        <v>23</v>
      </c>
      <c r="Y6">
        <f>Z6*$Y$1</f>
        <v>1176</v>
      </c>
      <c r="Z6">
        <v>7</v>
      </c>
      <c r="AA6" s="5">
        <f>Y6-O6</f>
        <v>487</v>
      </c>
      <c r="AC6">
        <f>AD6*$AC$1</f>
        <v>784</v>
      </c>
      <c r="AD6">
        <v>7</v>
      </c>
    </row>
    <row r="7" spans="1:30" x14ac:dyDescent="0.3">
      <c r="B7" s="5" t="e">
        <f>SUM(B3:B6)</f>
        <v>#REF!</v>
      </c>
      <c r="G7" t="e">
        <f>SUM(G3:G6)</f>
        <v>#REF!</v>
      </c>
      <c r="H7" t="e">
        <f>SUM(H3:H6)</f>
        <v>#REF!</v>
      </c>
      <c r="J7" s="6" t="e">
        <f t="shared" ref="J7:O7" si="0">SUM(J3:J6)</f>
        <v>#REF!</v>
      </c>
      <c r="K7" s="6" t="e">
        <f t="shared" si="0"/>
        <v>#REF!</v>
      </c>
      <c r="L7" s="6" t="e">
        <f t="shared" si="0"/>
        <v>#REF!</v>
      </c>
      <c r="M7" s="6" t="e">
        <f t="shared" si="0"/>
        <v>#REF!</v>
      </c>
      <c r="N7" s="6" t="e">
        <f t="shared" si="0"/>
        <v>#REF!</v>
      </c>
      <c r="O7" s="6">
        <f t="shared" si="0"/>
        <v>1759</v>
      </c>
      <c r="P7" s="6"/>
      <c r="T7" t="s">
        <v>16</v>
      </c>
      <c r="U7" s="6" t="e">
        <f>MAX(U4:U6)</f>
        <v>#REF!</v>
      </c>
    </row>
    <row r="9" spans="1:30" x14ac:dyDescent="0.3">
      <c r="F9" t="s">
        <v>14</v>
      </c>
      <c r="G9" t="e">
        <f>G4+G5+G6++U7</f>
        <v>#REF!</v>
      </c>
      <c r="U9" t="e">
        <f>K4-Y4</f>
        <v>#REF!</v>
      </c>
      <c r="V9" s="2" t="e">
        <f>U9*D4</f>
        <v>#REF!</v>
      </c>
    </row>
    <row r="10" spans="1:30" x14ac:dyDescent="0.3">
      <c r="T10" t="s">
        <v>25</v>
      </c>
      <c r="U10" t="e">
        <f>V9/D5</f>
        <v>#REF!</v>
      </c>
    </row>
    <row r="11" spans="1:30" x14ac:dyDescent="0.3">
      <c r="C11" s="9" t="s">
        <v>19</v>
      </c>
      <c r="D11" s="20" t="s">
        <v>20</v>
      </c>
      <c r="E11" s="20"/>
      <c r="J11" s="20" t="s">
        <v>28</v>
      </c>
      <c r="K11" s="20" t="s">
        <v>28</v>
      </c>
      <c r="L11" s="20" t="s">
        <v>28</v>
      </c>
      <c r="M11" s="20" t="s">
        <v>28</v>
      </c>
      <c r="N11" s="20" t="s">
        <v>28</v>
      </c>
      <c r="O11" s="20" t="s">
        <v>28</v>
      </c>
      <c r="T11" t="s">
        <v>24</v>
      </c>
      <c r="U11" t="e">
        <f>V9/D6</f>
        <v>#REF!</v>
      </c>
    </row>
    <row r="12" spans="1:30" x14ac:dyDescent="0.3">
      <c r="C12" s="2" t="e">
        <f>B3*C3</f>
        <v>#REF!</v>
      </c>
      <c r="D12" s="2" t="e">
        <f>G3*D3</f>
        <v>#REF!</v>
      </c>
      <c r="E12" s="2"/>
      <c r="J12" s="1" t="e">
        <f t="shared" ref="J12:O15" si="1">J3*$D3</f>
        <v>#REF!</v>
      </c>
      <c r="K12" s="1" t="e">
        <f t="shared" si="1"/>
        <v>#REF!</v>
      </c>
      <c r="L12" s="1" t="e">
        <f t="shared" si="1"/>
        <v>#REF!</v>
      </c>
      <c r="M12" s="1" t="e">
        <f t="shared" si="1"/>
        <v>#REF!</v>
      </c>
      <c r="N12" s="1">
        <f t="shared" si="1"/>
        <v>4480</v>
      </c>
      <c r="O12" s="1">
        <f t="shared" si="1"/>
        <v>4480</v>
      </c>
      <c r="P12" s="1"/>
      <c r="R12" s="2"/>
    </row>
    <row r="13" spans="1:30" x14ac:dyDescent="0.3">
      <c r="C13" s="2" t="e">
        <f>B4*C4</f>
        <v>#REF!</v>
      </c>
      <c r="D13" s="2" t="e">
        <f>G4*D4</f>
        <v>#REF!</v>
      </c>
      <c r="E13" s="2"/>
      <c r="J13" s="1" t="e">
        <f t="shared" si="1"/>
        <v>#REF!</v>
      </c>
      <c r="K13" s="1" t="e">
        <f t="shared" si="1"/>
        <v>#REF!</v>
      </c>
      <c r="L13" s="1" t="e">
        <f t="shared" si="1"/>
        <v>#REF!</v>
      </c>
      <c r="M13" s="1" t="e">
        <f t="shared" si="1"/>
        <v>#REF!</v>
      </c>
      <c r="N13" s="1">
        <f t="shared" si="1"/>
        <v>10076</v>
      </c>
      <c r="O13" s="1">
        <f t="shared" si="1"/>
        <v>9966</v>
      </c>
      <c r="P13" s="1"/>
      <c r="R13" s="2"/>
    </row>
    <row r="14" spans="1:30" x14ac:dyDescent="0.3">
      <c r="C14" s="2" t="e">
        <f>B5*C5</f>
        <v>#REF!</v>
      </c>
      <c r="D14" s="2" t="e">
        <f>G5*D5</f>
        <v>#REF!</v>
      </c>
      <c r="E14" s="2"/>
      <c r="J14" s="1" t="e">
        <f t="shared" si="1"/>
        <v>#REF!</v>
      </c>
      <c r="K14" s="1" t="e">
        <f t="shared" si="1"/>
        <v>#REF!</v>
      </c>
      <c r="L14" s="1" t="e">
        <f t="shared" si="1"/>
        <v>#REF!</v>
      </c>
      <c r="M14" s="1" t="e">
        <f t="shared" si="1"/>
        <v>#REF!</v>
      </c>
      <c r="N14" s="1">
        <f t="shared" si="1"/>
        <v>8008</v>
      </c>
      <c r="O14" s="1">
        <f t="shared" si="1"/>
        <v>10054</v>
      </c>
      <c r="P14" s="1"/>
      <c r="R14" s="2"/>
      <c r="U14" s="6" t="e">
        <f>L5-Y5</f>
        <v>#REF!</v>
      </c>
      <c r="V14" s="2" t="e">
        <f>U14*D5</f>
        <v>#REF!</v>
      </c>
    </row>
    <row r="15" spans="1:30" x14ac:dyDescent="0.3">
      <c r="C15" s="2" t="e">
        <f>B6*C6</f>
        <v>#REF!</v>
      </c>
      <c r="D15" s="2" t="e">
        <f>G6*D6</f>
        <v>#REF!</v>
      </c>
      <c r="E15" s="2"/>
      <c r="J15" s="1" t="e">
        <f t="shared" si="1"/>
        <v>#REF!</v>
      </c>
      <c r="K15" s="1" t="e">
        <f t="shared" si="1"/>
        <v>#REF!</v>
      </c>
      <c r="L15" s="1" t="e">
        <f t="shared" si="1"/>
        <v>#REF!</v>
      </c>
      <c r="M15" s="1" t="e">
        <f t="shared" si="1"/>
        <v>#REF!</v>
      </c>
      <c r="N15" s="1" t="e">
        <f t="shared" si="1"/>
        <v>#REF!</v>
      </c>
      <c r="O15" s="1">
        <f t="shared" si="1"/>
        <v>10748.4</v>
      </c>
      <c r="P15" s="1"/>
      <c r="R15" s="1"/>
      <c r="T15" t="s">
        <v>35</v>
      </c>
      <c r="U15" t="e">
        <f>V14/D6</f>
        <v>#REF!</v>
      </c>
    </row>
    <row r="16" spans="1:30" x14ac:dyDescent="0.3">
      <c r="A16" s="18"/>
      <c r="B16" s="19" t="s">
        <v>48</v>
      </c>
      <c r="C16" s="8" t="e">
        <f>SUM(C12:C15)</f>
        <v>#REF!</v>
      </c>
      <c r="D16" s="2" t="e">
        <f>SUM(D12:D15)</f>
        <v>#REF!</v>
      </c>
      <c r="E16" s="2"/>
      <c r="J16" s="1" t="e">
        <f t="shared" ref="J16:O16" si="2">SUM(J12:J15)</f>
        <v>#REF!</v>
      </c>
      <c r="K16" s="1" t="e">
        <f t="shared" si="2"/>
        <v>#REF!</v>
      </c>
      <c r="L16" s="1" t="e">
        <f t="shared" si="2"/>
        <v>#REF!</v>
      </c>
      <c r="M16" s="1" t="e">
        <f t="shared" si="2"/>
        <v>#REF!</v>
      </c>
      <c r="N16" s="1" t="e">
        <f t="shared" si="2"/>
        <v>#REF!</v>
      </c>
      <c r="O16" s="14">
        <f t="shared" si="2"/>
        <v>35248.400000000001</v>
      </c>
      <c r="P16" s="1"/>
    </row>
    <row r="17" spans="1:16" x14ac:dyDescent="0.3">
      <c r="D17" s="2" t="e">
        <f>D16-$C$16</f>
        <v>#REF!</v>
      </c>
      <c r="E17" s="2"/>
      <c r="J17" s="2" t="e">
        <f t="shared" ref="J17:O17" si="3">J16-$C$16</f>
        <v>#REF!</v>
      </c>
      <c r="K17" s="2" t="e">
        <f t="shared" si="3"/>
        <v>#REF!</v>
      </c>
      <c r="L17" s="2" t="e">
        <f t="shared" si="3"/>
        <v>#REF!</v>
      </c>
      <c r="M17" s="2" t="e">
        <f t="shared" si="3"/>
        <v>#REF!</v>
      </c>
      <c r="N17" s="2" t="e">
        <f t="shared" si="3"/>
        <v>#REF!</v>
      </c>
      <c r="O17" s="2" t="e">
        <f t="shared" si="3"/>
        <v>#REF!</v>
      </c>
      <c r="P17" s="2"/>
    </row>
    <row r="21" spans="1:16" x14ac:dyDescent="0.3">
      <c r="C21">
        <f>Y3</f>
        <v>168</v>
      </c>
      <c r="D21" s="2">
        <f>Y3*D3</f>
        <v>4704</v>
      </c>
      <c r="E21" s="2" t="e">
        <f>D21-D12</f>
        <v>#REF!</v>
      </c>
      <c r="F21">
        <v>168</v>
      </c>
      <c r="G21" s="2">
        <f>F21*D3</f>
        <v>4704</v>
      </c>
    </row>
    <row r="22" spans="1:16" x14ac:dyDescent="0.3">
      <c r="C22">
        <f>Y4</f>
        <v>504</v>
      </c>
      <c r="D22" s="2">
        <f>Y4*D4</f>
        <v>11088</v>
      </c>
      <c r="E22" s="2" t="e">
        <f>D22-D13</f>
        <v>#REF!</v>
      </c>
      <c r="F22">
        <v>528</v>
      </c>
      <c r="G22" s="2">
        <f>F22*D4</f>
        <v>11616</v>
      </c>
    </row>
    <row r="23" spans="1:16" x14ac:dyDescent="0.3">
      <c r="C23">
        <f>Y5</f>
        <v>504</v>
      </c>
      <c r="D23" s="2">
        <f>Y5*D5</f>
        <v>11088</v>
      </c>
      <c r="E23" s="2" t="e">
        <f>D23-D14</f>
        <v>#REF!</v>
      </c>
      <c r="F23">
        <v>504</v>
      </c>
      <c r="G23" s="2">
        <f>F23*D5</f>
        <v>11088</v>
      </c>
    </row>
    <row r="24" spans="1:16" x14ac:dyDescent="0.3">
      <c r="C24">
        <f>Y6</f>
        <v>1176</v>
      </c>
      <c r="D24" s="2">
        <f>Y6*D6</f>
        <v>18345.599999999999</v>
      </c>
      <c r="E24" s="2" t="e">
        <f>D24-D15</f>
        <v>#REF!</v>
      </c>
      <c r="F24">
        <v>1142</v>
      </c>
      <c r="G24" s="2">
        <f>F24*D6</f>
        <v>17815.2</v>
      </c>
    </row>
    <row r="25" spans="1:16" x14ac:dyDescent="0.3">
      <c r="A25" s="18"/>
      <c r="B25" s="19" t="s">
        <v>49</v>
      </c>
      <c r="D25" s="8">
        <f>SUM(D21:D24)</f>
        <v>45225.599999999999</v>
      </c>
      <c r="E25" s="15" t="e">
        <f>D16/D25</f>
        <v>#REF!</v>
      </c>
      <c r="G25" s="8">
        <f>SUM(G21:G24)</f>
        <v>45223.199999999997</v>
      </c>
    </row>
    <row r="26" spans="1:16" x14ac:dyDescent="0.3">
      <c r="D26" s="2" t="e">
        <f>D25-D16</f>
        <v>#REF!</v>
      </c>
      <c r="J26" s="1">
        <v>208355.36</v>
      </c>
    </row>
    <row r="27" spans="1:16" x14ac:dyDescent="0.3">
      <c r="J27" s="1">
        <v>16760.73</v>
      </c>
    </row>
    <row r="28" spans="1:16" x14ac:dyDescent="0.3">
      <c r="C28">
        <v>24</v>
      </c>
      <c r="D28" s="2">
        <f>C28*E28</f>
        <v>444.24</v>
      </c>
      <c r="E28" s="1">
        <v>18.510000000000002</v>
      </c>
      <c r="J28" s="1">
        <f>J26-J27</f>
        <v>191594.62999999998</v>
      </c>
    </row>
    <row r="29" spans="1:16" x14ac:dyDescent="0.3">
      <c r="C29">
        <v>0</v>
      </c>
      <c r="D29" s="2">
        <f>C29*E29</f>
        <v>0</v>
      </c>
      <c r="E29" s="1">
        <v>18.100000000000001</v>
      </c>
    </row>
    <row r="30" spans="1:16" x14ac:dyDescent="0.3">
      <c r="C30">
        <v>0</v>
      </c>
      <c r="D30" s="2">
        <f>C30*E30</f>
        <v>0</v>
      </c>
      <c r="E30" s="1">
        <v>12.76</v>
      </c>
    </row>
    <row r="31" spans="1:16" x14ac:dyDescent="0.3">
      <c r="A31" s="18"/>
      <c r="B31" s="19" t="s">
        <v>62</v>
      </c>
      <c r="D31" s="8">
        <f>SUM(D28:D30)</f>
        <v>444.24</v>
      </c>
    </row>
    <row r="33" spans="1:7" x14ac:dyDescent="0.3">
      <c r="G33">
        <v>14</v>
      </c>
    </row>
    <row r="34" spans="1:7" x14ac:dyDescent="0.3">
      <c r="A34" s="18" t="s">
        <v>0</v>
      </c>
      <c r="D34" s="8">
        <f>D31+D25</f>
        <v>45669.84</v>
      </c>
      <c r="G34">
        <v>20</v>
      </c>
    </row>
    <row r="35" spans="1:7" x14ac:dyDescent="0.3">
      <c r="G35" s="15">
        <f>G33/G34</f>
        <v>0.7</v>
      </c>
    </row>
  </sheetData>
  <conditionalFormatting sqref="D17:E17 J17:N17 P17">
    <cfRule type="cellIs" dxfId="29" priority="6" operator="equal">
      <formula>0</formula>
    </cfRule>
  </conditionalFormatting>
  <conditionalFormatting sqref="D17:E17 J17:N17 P17">
    <cfRule type="cellIs" dxfId="28" priority="5" operator="greaterThan">
      <formula>0</formula>
    </cfRule>
  </conditionalFormatting>
  <conditionalFormatting sqref="D17:E17 J17:N17 P17">
    <cfRule type="cellIs" dxfId="27" priority="4" operator="lessThan">
      <formula>0</formula>
    </cfRule>
  </conditionalFormatting>
  <conditionalFormatting sqref="O17">
    <cfRule type="cellIs" dxfId="26" priority="3" operator="equal">
      <formula>0</formula>
    </cfRule>
  </conditionalFormatting>
  <conditionalFormatting sqref="O17">
    <cfRule type="cellIs" dxfId="25" priority="2" operator="greaterThan">
      <formula>0</formula>
    </cfRule>
  </conditionalFormatting>
  <conditionalFormatting sqref="O17">
    <cfRule type="cellIs" dxfId="24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C21" sqref="C21:C24"/>
    </sheetView>
  </sheetViews>
  <sheetFormatPr baseColWidth="10" defaultRowHeight="14.4" x14ac:dyDescent="0.3"/>
  <cols>
    <col min="2" max="2" width="10.6640625" customWidth="1"/>
    <col min="3" max="4" width="12" bestFit="1" customWidth="1"/>
    <col min="5" max="5" width="12" customWidth="1"/>
    <col min="6" max="6" width="19.6640625" bestFit="1" customWidth="1"/>
    <col min="7" max="7" width="12.88671875" bestFit="1" customWidth="1"/>
    <col min="10" max="10" width="20.88671875" bestFit="1" customWidth="1"/>
    <col min="11" max="11" width="18.6640625" bestFit="1" customWidth="1"/>
    <col min="12" max="12" width="19.44140625" bestFit="1" customWidth="1"/>
    <col min="13" max="13" width="19" bestFit="1" customWidth="1"/>
    <col min="14" max="16" width="19" customWidth="1"/>
    <col min="17" max="17" width="12" bestFit="1" customWidth="1"/>
    <col min="18" max="18" width="22" bestFit="1" customWidth="1"/>
    <col min="20" max="20" width="14" bestFit="1" customWidth="1"/>
    <col min="21" max="21" width="13.33203125" bestFit="1" customWidth="1"/>
    <col min="22" max="22" width="11" bestFit="1" customWidth="1"/>
    <col min="27" max="27" width="6.5546875" bestFit="1" customWidth="1"/>
  </cols>
  <sheetData>
    <row r="1" spans="1:30" x14ac:dyDescent="0.3">
      <c r="X1" t="s">
        <v>37</v>
      </c>
      <c r="Y1">
        <v>152</v>
      </c>
      <c r="AC1">
        <f>(20-6)*8</f>
        <v>112</v>
      </c>
    </row>
    <row r="2" spans="1:30" x14ac:dyDescent="0.3">
      <c r="C2" s="21" t="s">
        <v>18</v>
      </c>
      <c r="D2" s="21" t="s">
        <v>31</v>
      </c>
      <c r="E2" s="21" t="s">
        <v>32</v>
      </c>
      <c r="G2" t="s">
        <v>5</v>
      </c>
      <c r="H2" t="s">
        <v>17</v>
      </c>
      <c r="J2" t="s">
        <v>38</v>
      </c>
      <c r="N2" s="13" t="s">
        <v>36</v>
      </c>
      <c r="O2" s="13"/>
      <c r="P2" s="13"/>
      <c r="R2" t="s">
        <v>30</v>
      </c>
    </row>
    <row r="3" spans="1:30" x14ac:dyDescent="0.3">
      <c r="A3" t="s">
        <v>1</v>
      </c>
      <c r="B3" s="5" t="e">
        <f>SUMIF(#REF!,Perfiles06!$A3,#REF!)</f>
        <v>#REF!</v>
      </c>
      <c r="C3" s="1">
        <v>34.49</v>
      </c>
      <c r="D3" s="1">
        <v>28</v>
      </c>
      <c r="E3" s="1"/>
      <c r="F3" s="15">
        <f>(C3-D3)/C3</f>
        <v>0.18817048419831839</v>
      </c>
      <c r="G3" t="e">
        <f>B3*(C3/D3)</f>
        <v>#REF!</v>
      </c>
      <c r="J3" s="6" t="e">
        <f>IF(G3&gt;Y3,Y3,G3)</f>
        <v>#REF!</v>
      </c>
      <c r="K3" s="6" t="e">
        <f>IF(J3&gt;Y3,Y3,J3)</f>
        <v>#REF!</v>
      </c>
      <c r="L3" s="6" t="e">
        <f>K3</f>
        <v>#REF!</v>
      </c>
      <c r="M3" s="6" t="e">
        <f>L3</f>
        <v>#REF!</v>
      </c>
      <c r="N3" s="6">
        <v>160</v>
      </c>
      <c r="O3" s="6">
        <f>N3</f>
        <v>160</v>
      </c>
      <c r="P3" s="6" t="e">
        <f>(M3-N3)*(D3/$D$6)</f>
        <v>#REF!</v>
      </c>
      <c r="Q3" s="17">
        <f>O3/Y3</f>
        <v>1.0526315789473684</v>
      </c>
      <c r="U3" s="6" t="e">
        <f>G3-Y3</f>
        <v>#REF!</v>
      </c>
      <c r="V3" s="2" t="e">
        <f>U3*D3</f>
        <v>#REF!</v>
      </c>
      <c r="X3" s="7" t="s">
        <v>15</v>
      </c>
      <c r="Y3">
        <f>Z3*$Y$1</f>
        <v>152</v>
      </c>
      <c r="Z3">
        <v>1</v>
      </c>
      <c r="AA3" s="5">
        <f>Y3-O3</f>
        <v>-8</v>
      </c>
      <c r="AC3">
        <f>AD3*$AC$1</f>
        <v>112</v>
      </c>
      <c r="AD3">
        <v>1</v>
      </c>
    </row>
    <row r="4" spans="1:30" x14ac:dyDescent="0.3">
      <c r="A4" t="s">
        <v>2</v>
      </c>
      <c r="B4" s="5" t="e">
        <f>SUMIF(#REF!,Perfiles06!$A4,#REF!)</f>
        <v>#REF!</v>
      </c>
      <c r="C4" s="1">
        <v>30.18</v>
      </c>
      <c r="D4" s="1">
        <v>22</v>
      </c>
      <c r="E4" s="1">
        <v>18.510000000000002</v>
      </c>
      <c r="F4" s="15">
        <f>(C4-D4)/C4</f>
        <v>0.27104042412193508</v>
      </c>
      <c r="G4" t="e">
        <f>B4*(C4/D4)</f>
        <v>#REF!</v>
      </c>
      <c r="H4" s="5" t="e">
        <f>#REF!</f>
        <v>#REF!</v>
      </c>
      <c r="I4" s="5" t="e">
        <f>H4-G4</f>
        <v>#REF!</v>
      </c>
      <c r="J4" s="6" t="e">
        <f>IF(G3&gt;Y3,G4+U4,G4)</f>
        <v>#REF!</v>
      </c>
      <c r="K4" s="6" t="e">
        <f>J4</f>
        <v>#REF!</v>
      </c>
      <c r="L4" s="6" t="e">
        <f>IF(K4&gt;Y4,K4-U9,K4)</f>
        <v>#REF!</v>
      </c>
      <c r="M4" s="6" t="e">
        <f>L4</f>
        <v>#REF!</v>
      </c>
      <c r="N4" s="6">
        <v>458</v>
      </c>
      <c r="O4" s="6">
        <v>453</v>
      </c>
      <c r="P4" s="6" t="e">
        <f>(M4-N4)*(D4/$D$6)</f>
        <v>#REF!</v>
      </c>
      <c r="Q4" s="17">
        <f>O4/Y4</f>
        <v>0.99342105263157898</v>
      </c>
      <c r="R4" s="6" t="e">
        <f>H4-L4</f>
        <v>#REF!</v>
      </c>
      <c r="T4" t="s">
        <v>6</v>
      </c>
      <c r="U4" s="6" t="e">
        <f>$V$3/D4</f>
        <v>#REF!</v>
      </c>
      <c r="X4" s="7" t="s">
        <v>21</v>
      </c>
      <c r="Y4">
        <f>Z4*$Y$1</f>
        <v>456</v>
      </c>
      <c r="Z4">
        <v>3</v>
      </c>
      <c r="AA4" s="5">
        <f>Y4-O4</f>
        <v>3</v>
      </c>
      <c r="AC4">
        <f>AD4*$AC$1</f>
        <v>336</v>
      </c>
      <c r="AD4">
        <v>3</v>
      </c>
    </row>
    <row r="5" spans="1:30" x14ac:dyDescent="0.3">
      <c r="A5" t="s">
        <v>3</v>
      </c>
      <c r="B5" s="5" t="e">
        <f>SUMIF(#REF!,Perfiles06!$A5,#REF!)</f>
        <v>#REF!</v>
      </c>
      <c r="C5" s="1">
        <v>24.78</v>
      </c>
      <c r="D5" s="1">
        <v>22</v>
      </c>
      <c r="E5" s="1">
        <v>18.100000000000001</v>
      </c>
      <c r="F5" s="15">
        <f>(C5-D5)/C5</f>
        <v>0.11218724778046817</v>
      </c>
      <c r="G5" t="e">
        <f>B5*(C5/D5)</f>
        <v>#REF!</v>
      </c>
      <c r="H5" s="5" t="e">
        <f>#REF!</f>
        <v>#REF!</v>
      </c>
      <c r="I5" s="5" t="e">
        <f>H5-G5</f>
        <v>#REF!</v>
      </c>
      <c r="J5" s="6" t="e">
        <f>G5</f>
        <v>#REF!</v>
      </c>
      <c r="K5" s="6" t="e">
        <f>IF(J3&gt;Y3,J5+U5,J5)</f>
        <v>#REF!</v>
      </c>
      <c r="L5" s="6" t="e">
        <f>IF(K4&gt;Y4,K5+U10,K5)</f>
        <v>#REF!</v>
      </c>
      <c r="M5" s="6" t="e">
        <f>IF(L5&gt;Y5,Y5,L5)</f>
        <v>#REF!</v>
      </c>
      <c r="N5" s="6">
        <v>364</v>
      </c>
      <c r="O5" s="6">
        <v>457</v>
      </c>
      <c r="P5" s="6" t="e">
        <f>(M5-N5)*(D5/$D$6)</f>
        <v>#REF!</v>
      </c>
      <c r="Q5" s="17">
        <f>O5/Y5</f>
        <v>1.0021929824561404</v>
      </c>
      <c r="R5" s="6" t="e">
        <f>H5-L5</f>
        <v>#REF!</v>
      </c>
      <c r="T5" t="s">
        <v>7</v>
      </c>
      <c r="U5" s="6" t="e">
        <f>$V$3/D5</f>
        <v>#REF!</v>
      </c>
      <c r="X5" s="7" t="s">
        <v>22</v>
      </c>
      <c r="Y5">
        <f>Z5*$Y$1</f>
        <v>456</v>
      </c>
      <c r="Z5">
        <v>3</v>
      </c>
      <c r="AA5" s="5">
        <f>Y5-O5</f>
        <v>-1</v>
      </c>
      <c r="AC5">
        <f>AD5*$AC$1</f>
        <v>336</v>
      </c>
      <c r="AD5">
        <v>3</v>
      </c>
    </row>
    <row r="6" spans="1:30" x14ac:dyDescent="0.3">
      <c r="A6" t="s">
        <v>4</v>
      </c>
      <c r="B6" s="5" t="e">
        <f>SUMIF(#REF!,Perfiles06!$A6,#REF!)</f>
        <v>#REF!</v>
      </c>
      <c r="C6" s="1">
        <v>16.71</v>
      </c>
      <c r="D6" s="1">
        <v>15.6</v>
      </c>
      <c r="E6" s="1">
        <v>12.76</v>
      </c>
      <c r="F6" s="15">
        <f>(C6-D6)/C6</f>
        <v>6.6427289048474031E-2</v>
      </c>
      <c r="G6" t="e">
        <f>B6*(C6/D6)</f>
        <v>#REF!</v>
      </c>
      <c r="H6" s="5" t="e">
        <f>#REF!</f>
        <v>#REF!</v>
      </c>
      <c r="I6" s="5" t="e">
        <f>H6-G6</f>
        <v>#REF!</v>
      </c>
      <c r="J6" s="6" t="e">
        <f>G6</f>
        <v>#REF!</v>
      </c>
      <c r="K6" s="6" t="e">
        <f>J6</f>
        <v>#REF!</v>
      </c>
      <c r="L6" s="6" t="e">
        <f>K6</f>
        <v>#REF!</v>
      </c>
      <c r="M6" s="6" t="e">
        <f>L6</f>
        <v>#REF!</v>
      </c>
      <c r="N6" s="6" t="e">
        <f>M6+P6</f>
        <v>#REF!</v>
      </c>
      <c r="O6" s="6">
        <v>689</v>
      </c>
      <c r="P6" s="6" t="e">
        <f>SUM(P3:P5)</f>
        <v>#REF!</v>
      </c>
      <c r="Q6" s="17">
        <f>O6/Y6</f>
        <v>0.64755639097744366</v>
      </c>
      <c r="R6" s="6" t="e">
        <f>H6-L6</f>
        <v>#REF!</v>
      </c>
      <c r="T6" t="s">
        <v>8</v>
      </c>
      <c r="U6" s="6" t="e">
        <f>$V$3/D6</f>
        <v>#REF!</v>
      </c>
      <c r="X6" s="7" t="s">
        <v>23</v>
      </c>
      <c r="Y6">
        <f>Z6*$Y$1</f>
        <v>1064</v>
      </c>
      <c r="Z6">
        <v>7</v>
      </c>
      <c r="AA6" s="5">
        <f>Y6-O6</f>
        <v>375</v>
      </c>
      <c r="AC6">
        <f>AD6*$AC$1</f>
        <v>784</v>
      </c>
      <c r="AD6">
        <v>7</v>
      </c>
    </row>
    <row r="7" spans="1:30" x14ac:dyDescent="0.3">
      <c r="B7" s="5" t="e">
        <f>SUM(B3:B6)</f>
        <v>#REF!</v>
      </c>
      <c r="G7" t="e">
        <f>SUM(G3:G6)</f>
        <v>#REF!</v>
      </c>
      <c r="H7" t="e">
        <f>SUM(H3:H6)</f>
        <v>#REF!</v>
      </c>
      <c r="J7" s="6" t="e">
        <f t="shared" ref="J7:O7" si="0">SUM(J3:J6)</f>
        <v>#REF!</v>
      </c>
      <c r="K7" s="6" t="e">
        <f t="shared" si="0"/>
        <v>#REF!</v>
      </c>
      <c r="L7" s="6" t="e">
        <f t="shared" si="0"/>
        <v>#REF!</v>
      </c>
      <c r="M7" s="6" t="e">
        <f t="shared" si="0"/>
        <v>#REF!</v>
      </c>
      <c r="N7" s="6" t="e">
        <f t="shared" si="0"/>
        <v>#REF!</v>
      </c>
      <c r="O7" s="6">
        <f t="shared" si="0"/>
        <v>1759</v>
      </c>
      <c r="P7" s="6"/>
      <c r="T7" t="s">
        <v>16</v>
      </c>
      <c r="U7" s="6" t="e">
        <f>MAX(U4:U6)</f>
        <v>#REF!</v>
      </c>
    </row>
    <row r="9" spans="1:30" x14ac:dyDescent="0.3">
      <c r="F9" t="s">
        <v>14</v>
      </c>
      <c r="G9" t="e">
        <f>G4+G5+G6++U7</f>
        <v>#REF!</v>
      </c>
      <c r="U9" t="e">
        <f>K4-Y4</f>
        <v>#REF!</v>
      </c>
      <c r="V9" s="2" t="e">
        <f>U9*D4</f>
        <v>#REF!</v>
      </c>
    </row>
    <row r="10" spans="1:30" x14ac:dyDescent="0.3">
      <c r="T10" t="s">
        <v>25</v>
      </c>
      <c r="U10" t="e">
        <f>V9/D5</f>
        <v>#REF!</v>
      </c>
    </row>
    <row r="11" spans="1:30" x14ac:dyDescent="0.3">
      <c r="C11" s="9" t="s">
        <v>19</v>
      </c>
      <c r="D11" s="21" t="s">
        <v>20</v>
      </c>
      <c r="E11" s="21"/>
      <c r="J11" s="21" t="s">
        <v>28</v>
      </c>
      <c r="K11" s="21" t="s">
        <v>28</v>
      </c>
      <c r="L11" s="21" t="s">
        <v>28</v>
      </c>
      <c r="M11" s="21" t="s">
        <v>28</v>
      </c>
      <c r="N11" s="21" t="s">
        <v>28</v>
      </c>
      <c r="O11" s="21" t="s">
        <v>28</v>
      </c>
      <c r="T11" t="s">
        <v>24</v>
      </c>
      <c r="U11" t="e">
        <f>V9/D6</f>
        <v>#REF!</v>
      </c>
    </row>
    <row r="12" spans="1:30" x14ac:dyDescent="0.3">
      <c r="C12" s="2" t="e">
        <f>B3*C3</f>
        <v>#REF!</v>
      </c>
      <c r="D12" s="2" t="e">
        <f>G3*D3</f>
        <v>#REF!</v>
      </c>
      <c r="E12" s="2"/>
      <c r="J12" s="1" t="e">
        <f t="shared" ref="J12:O15" si="1">J3*$D3</f>
        <v>#REF!</v>
      </c>
      <c r="K12" s="1" t="e">
        <f t="shared" si="1"/>
        <v>#REF!</v>
      </c>
      <c r="L12" s="1" t="e">
        <f t="shared" si="1"/>
        <v>#REF!</v>
      </c>
      <c r="M12" s="1" t="e">
        <f t="shared" si="1"/>
        <v>#REF!</v>
      </c>
      <c r="N12" s="1">
        <f t="shared" si="1"/>
        <v>4480</v>
      </c>
      <c r="O12" s="1">
        <f t="shared" si="1"/>
        <v>4480</v>
      </c>
      <c r="P12" s="1"/>
      <c r="R12" s="2"/>
      <c r="Y12">
        <f>Y3-36+6</f>
        <v>122</v>
      </c>
    </row>
    <row r="13" spans="1:30" x14ac:dyDescent="0.3">
      <c r="C13" s="2" t="e">
        <f>B4*C4</f>
        <v>#REF!</v>
      </c>
      <c r="D13" s="2" t="e">
        <f>G4*D4</f>
        <v>#REF!</v>
      </c>
      <c r="E13" s="2"/>
      <c r="J13" s="1" t="e">
        <f t="shared" si="1"/>
        <v>#REF!</v>
      </c>
      <c r="K13" s="1" t="e">
        <f t="shared" si="1"/>
        <v>#REF!</v>
      </c>
      <c r="L13" s="1" t="e">
        <f t="shared" si="1"/>
        <v>#REF!</v>
      </c>
      <c r="M13" s="1" t="e">
        <f t="shared" si="1"/>
        <v>#REF!</v>
      </c>
      <c r="N13" s="1">
        <f t="shared" si="1"/>
        <v>10076</v>
      </c>
      <c r="O13" s="1">
        <f t="shared" si="1"/>
        <v>9966</v>
      </c>
      <c r="P13" s="1"/>
      <c r="R13" s="2"/>
    </row>
    <row r="14" spans="1:30" x14ac:dyDescent="0.3">
      <c r="C14" s="2" t="e">
        <f>B5*C5</f>
        <v>#REF!</v>
      </c>
      <c r="D14" s="2" t="e">
        <f>G5*D5</f>
        <v>#REF!</v>
      </c>
      <c r="E14" s="2"/>
      <c r="J14" s="1" t="e">
        <f t="shared" si="1"/>
        <v>#REF!</v>
      </c>
      <c r="K14" s="1" t="e">
        <f t="shared" si="1"/>
        <v>#REF!</v>
      </c>
      <c r="L14" s="1" t="e">
        <f t="shared" si="1"/>
        <v>#REF!</v>
      </c>
      <c r="M14" s="1" t="e">
        <f t="shared" si="1"/>
        <v>#REF!</v>
      </c>
      <c r="N14" s="1">
        <f t="shared" si="1"/>
        <v>8008</v>
      </c>
      <c r="O14" s="1">
        <f t="shared" si="1"/>
        <v>10054</v>
      </c>
      <c r="P14" s="1"/>
      <c r="R14" s="2"/>
      <c r="U14" s="6" t="e">
        <f>L5-Y5</f>
        <v>#REF!</v>
      </c>
      <c r="V14" s="2" t="e">
        <f>U14*D5</f>
        <v>#REF!</v>
      </c>
    </row>
    <row r="15" spans="1:30" x14ac:dyDescent="0.3">
      <c r="C15" s="2" t="e">
        <f>B6*C6</f>
        <v>#REF!</v>
      </c>
      <c r="D15" s="2" t="e">
        <f>G6*D6</f>
        <v>#REF!</v>
      </c>
      <c r="E15" s="2"/>
      <c r="J15" s="1" t="e">
        <f t="shared" si="1"/>
        <v>#REF!</v>
      </c>
      <c r="K15" s="1" t="e">
        <f t="shared" si="1"/>
        <v>#REF!</v>
      </c>
      <c r="L15" s="1" t="e">
        <f t="shared" si="1"/>
        <v>#REF!</v>
      </c>
      <c r="M15" s="1" t="e">
        <f t="shared" si="1"/>
        <v>#REF!</v>
      </c>
      <c r="N15" s="1" t="e">
        <f t="shared" si="1"/>
        <v>#REF!</v>
      </c>
      <c r="O15" s="1">
        <f t="shared" si="1"/>
        <v>10748.4</v>
      </c>
      <c r="P15" s="1"/>
      <c r="R15" s="1"/>
      <c r="T15" t="s">
        <v>35</v>
      </c>
      <c r="U15" t="e">
        <f>V14/D6</f>
        <v>#REF!</v>
      </c>
    </row>
    <row r="16" spans="1:30" x14ac:dyDescent="0.3">
      <c r="A16" s="18"/>
      <c r="B16" s="19" t="s">
        <v>48</v>
      </c>
      <c r="C16" s="8" t="e">
        <f>SUM(C12:C15)</f>
        <v>#REF!</v>
      </c>
      <c r="D16" s="2" t="e">
        <f>SUM(D12:D15)</f>
        <v>#REF!</v>
      </c>
      <c r="E16" s="2"/>
      <c r="J16" s="1" t="e">
        <f t="shared" ref="J16:O16" si="2">SUM(J12:J15)</f>
        <v>#REF!</v>
      </c>
      <c r="K16" s="1" t="e">
        <f t="shared" si="2"/>
        <v>#REF!</v>
      </c>
      <c r="L16" s="1" t="e">
        <f t="shared" si="2"/>
        <v>#REF!</v>
      </c>
      <c r="M16" s="1" t="e">
        <f t="shared" si="2"/>
        <v>#REF!</v>
      </c>
      <c r="N16" s="1" t="e">
        <f t="shared" si="2"/>
        <v>#REF!</v>
      </c>
      <c r="O16" s="14">
        <f t="shared" si="2"/>
        <v>35248.400000000001</v>
      </c>
      <c r="P16" s="1"/>
    </row>
    <row r="17" spans="1:16" x14ac:dyDescent="0.3">
      <c r="D17" s="2" t="e">
        <f>D16-$C$16</f>
        <v>#REF!</v>
      </c>
      <c r="E17" s="2"/>
      <c r="J17" s="2" t="e">
        <f t="shared" ref="J17:O17" si="3">J16-$C$16</f>
        <v>#REF!</v>
      </c>
      <c r="K17" s="2" t="e">
        <f t="shared" si="3"/>
        <v>#REF!</v>
      </c>
      <c r="L17" s="2" t="e">
        <f t="shared" si="3"/>
        <v>#REF!</v>
      </c>
      <c r="M17" s="2" t="e">
        <f t="shared" si="3"/>
        <v>#REF!</v>
      </c>
      <c r="N17" s="2" t="e">
        <f t="shared" si="3"/>
        <v>#REF!</v>
      </c>
      <c r="O17" s="2" t="e">
        <f t="shared" si="3"/>
        <v>#REF!</v>
      </c>
      <c r="P17" s="2"/>
    </row>
    <row r="21" spans="1:16" x14ac:dyDescent="0.3">
      <c r="C21">
        <f>Y12</f>
        <v>122</v>
      </c>
      <c r="D21" s="2">
        <f>Y12*D3</f>
        <v>3416</v>
      </c>
      <c r="E21" s="2" t="e">
        <f>D21-D12</f>
        <v>#REF!</v>
      </c>
      <c r="F21">
        <v>168</v>
      </c>
      <c r="G21" s="2">
        <f>F21*D3</f>
        <v>4704</v>
      </c>
    </row>
    <row r="22" spans="1:16" x14ac:dyDescent="0.3">
      <c r="C22">
        <f>Y4</f>
        <v>456</v>
      </c>
      <c r="D22" s="2">
        <f>Y4*D4</f>
        <v>10032</v>
      </c>
      <c r="E22" s="2" t="e">
        <f>D22-D13</f>
        <v>#REF!</v>
      </c>
      <c r="F22">
        <v>528</v>
      </c>
      <c r="G22" s="2">
        <f>F22*D4</f>
        <v>11616</v>
      </c>
    </row>
    <row r="23" spans="1:16" x14ac:dyDescent="0.3">
      <c r="C23">
        <f>Y5</f>
        <v>456</v>
      </c>
      <c r="D23" s="2">
        <f>Y5*D5</f>
        <v>10032</v>
      </c>
      <c r="E23" s="2" t="e">
        <f>D23-D14</f>
        <v>#REF!</v>
      </c>
      <c r="F23">
        <v>504</v>
      </c>
      <c r="G23" s="2">
        <f>F23*D5</f>
        <v>11088</v>
      </c>
    </row>
    <row r="24" spans="1:16" x14ac:dyDescent="0.3">
      <c r="C24">
        <f>Y6</f>
        <v>1064</v>
      </c>
      <c r="D24" s="2">
        <f>Y6*D6</f>
        <v>16598.399999999998</v>
      </c>
      <c r="E24" s="2" t="e">
        <f>D24-D15</f>
        <v>#REF!</v>
      </c>
      <c r="F24">
        <v>1142</v>
      </c>
      <c r="G24" s="2">
        <f>F24*D6</f>
        <v>17815.2</v>
      </c>
    </row>
    <row r="25" spans="1:16" x14ac:dyDescent="0.3">
      <c r="A25" s="18"/>
      <c r="B25" s="19" t="s">
        <v>49</v>
      </c>
      <c r="D25" s="8">
        <f>SUM(D21:D24)</f>
        <v>40078.399999999994</v>
      </c>
      <c r="E25" s="15" t="e">
        <f>D16/D25</f>
        <v>#REF!</v>
      </c>
      <c r="G25" s="8">
        <f>SUM(G21:G24)</f>
        <v>45223.199999999997</v>
      </c>
    </row>
    <row r="26" spans="1:16" x14ac:dyDescent="0.3">
      <c r="D26" s="2" t="e">
        <f>D25-D16</f>
        <v>#REF!</v>
      </c>
      <c r="J26" s="1">
        <v>208355.36</v>
      </c>
    </row>
    <row r="27" spans="1:16" x14ac:dyDescent="0.3">
      <c r="J27" s="1">
        <v>16760.73</v>
      </c>
    </row>
    <row r="28" spans="1:16" x14ac:dyDescent="0.3">
      <c r="C28">
        <v>232</v>
      </c>
      <c r="D28" s="2">
        <f>C28*E28</f>
        <v>4294.3200000000006</v>
      </c>
      <c r="E28" s="1">
        <v>18.510000000000002</v>
      </c>
      <c r="J28" s="1">
        <f>J26-J27</f>
        <v>191594.62999999998</v>
      </c>
    </row>
    <row r="29" spans="1:16" x14ac:dyDescent="0.3">
      <c r="C29">
        <v>0</v>
      </c>
      <c r="D29" s="2">
        <f>C29*E29</f>
        <v>0</v>
      </c>
      <c r="E29" s="1">
        <v>18.100000000000001</v>
      </c>
    </row>
    <row r="30" spans="1:16" x14ac:dyDescent="0.3">
      <c r="C30">
        <v>0</v>
      </c>
      <c r="D30" s="2">
        <f>C30*E30</f>
        <v>0</v>
      </c>
      <c r="E30" s="1">
        <v>12.76</v>
      </c>
    </row>
    <row r="31" spans="1:16" x14ac:dyDescent="0.3">
      <c r="A31" s="18"/>
      <c r="B31" s="19" t="s">
        <v>62</v>
      </c>
      <c r="D31" s="8">
        <f>SUM(D28:D30)</f>
        <v>4294.3200000000006</v>
      </c>
    </row>
    <row r="33" spans="1:7" x14ac:dyDescent="0.3">
      <c r="G33">
        <v>14</v>
      </c>
    </row>
    <row r="34" spans="1:7" x14ac:dyDescent="0.3">
      <c r="A34" s="18" t="s">
        <v>0</v>
      </c>
      <c r="D34" s="8">
        <f>D31+D25</f>
        <v>44372.719999999994</v>
      </c>
      <c r="G34">
        <v>20</v>
      </c>
    </row>
    <row r="35" spans="1:7" x14ac:dyDescent="0.3">
      <c r="G35" s="15">
        <f>G33/G34</f>
        <v>0.7</v>
      </c>
    </row>
  </sheetData>
  <conditionalFormatting sqref="D17:E17 J17:N17 P17">
    <cfRule type="cellIs" dxfId="23" priority="6" operator="equal">
      <formula>0</formula>
    </cfRule>
  </conditionalFormatting>
  <conditionalFormatting sqref="D17:E17 J17:N17 P17">
    <cfRule type="cellIs" dxfId="22" priority="5" operator="greaterThan">
      <formula>0</formula>
    </cfRule>
  </conditionalFormatting>
  <conditionalFormatting sqref="D17:E17 J17:N17 P17">
    <cfRule type="cellIs" dxfId="21" priority="4" operator="lessThan">
      <formula>0</formula>
    </cfRule>
  </conditionalFormatting>
  <conditionalFormatting sqref="O17">
    <cfRule type="cellIs" dxfId="20" priority="3" operator="equal">
      <formula>0</formula>
    </cfRule>
  </conditionalFormatting>
  <conditionalFormatting sqref="O17">
    <cfRule type="cellIs" dxfId="19" priority="2" operator="greaterThan">
      <formula>0</formula>
    </cfRule>
  </conditionalFormatting>
  <conditionalFormatting sqref="O17">
    <cfRule type="cellIs" dxfId="18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selection activeCell="K17" sqref="K17"/>
    </sheetView>
  </sheetViews>
  <sheetFormatPr baseColWidth="10" defaultRowHeight="14.4" x14ac:dyDescent="0.3"/>
  <cols>
    <col min="2" max="2" width="10.6640625" customWidth="1"/>
    <col min="3" max="4" width="12" bestFit="1" customWidth="1"/>
    <col min="5" max="5" width="12" customWidth="1"/>
    <col min="6" max="6" width="19.6640625" bestFit="1" customWidth="1"/>
    <col min="7" max="7" width="12.88671875" bestFit="1" customWidth="1"/>
    <col min="10" max="10" width="20.88671875" bestFit="1" customWidth="1"/>
    <col min="11" max="11" width="18.6640625" bestFit="1" customWidth="1"/>
    <col min="12" max="12" width="19.44140625" bestFit="1" customWidth="1"/>
    <col min="13" max="13" width="19" bestFit="1" customWidth="1"/>
    <col min="14" max="16" width="19" customWidth="1"/>
    <col min="17" max="17" width="12" bestFit="1" customWidth="1"/>
    <col min="18" max="18" width="22" bestFit="1" customWidth="1"/>
    <col min="20" max="20" width="14" bestFit="1" customWidth="1"/>
    <col min="21" max="21" width="13.33203125" bestFit="1" customWidth="1"/>
    <col min="22" max="22" width="11" bestFit="1" customWidth="1"/>
    <col min="27" max="27" width="6.5546875" bestFit="1" customWidth="1"/>
  </cols>
  <sheetData>
    <row r="1" spans="1:30" x14ac:dyDescent="0.3">
      <c r="X1" t="s">
        <v>37</v>
      </c>
      <c r="Y1">
        <v>152</v>
      </c>
      <c r="AC1">
        <f>(20-6)*8</f>
        <v>112</v>
      </c>
    </row>
    <row r="2" spans="1:30" x14ac:dyDescent="0.3">
      <c r="C2" s="22" t="s">
        <v>18</v>
      </c>
      <c r="D2" s="22" t="s">
        <v>31</v>
      </c>
      <c r="E2" s="22" t="s">
        <v>32</v>
      </c>
      <c r="G2" t="s">
        <v>5</v>
      </c>
      <c r="H2" t="s">
        <v>17</v>
      </c>
      <c r="J2" t="s">
        <v>38</v>
      </c>
      <c r="N2" s="13" t="s">
        <v>36</v>
      </c>
      <c r="O2" s="13"/>
      <c r="P2" s="13"/>
      <c r="R2" t="s">
        <v>30</v>
      </c>
    </row>
    <row r="3" spans="1:30" x14ac:dyDescent="0.3">
      <c r="A3" t="s">
        <v>1</v>
      </c>
      <c r="B3" s="5" t="e">
        <f>SUMIF(#REF!,Perfiles07!$A3,#REF!)</f>
        <v>#REF!</v>
      </c>
      <c r="C3" s="1">
        <v>34.49</v>
      </c>
      <c r="D3" s="1">
        <v>28</v>
      </c>
      <c r="E3" s="1"/>
      <c r="F3" s="15">
        <f>(C3-D3)/C3</f>
        <v>0.18817048419831839</v>
      </c>
      <c r="G3" t="e">
        <f>B3*(C3/D3)</f>
        <v>#REF!</v>
      </c>
      <c r="J3" s="6" t="e">
        <f>IF(G3&gt;Y3,Y3,G3)</f>
        <v>#REF!</v>
      </c>
      <c r="K3" s="6" t="e">
        <f>IF(J3&gt;Y3,Y3,J3)</f>
        <v>#REF!</v>
      </c>
      <c r="L3" s="6" t="e">
        <f>K3</f>
        <v>#REF!</v>
      </c>
      <c r="M3" s="6" t="e">
        <f>L3</f>
        <v>#REF!</v>
      </c>
      <c r="N3" s="6">
        <v>160</v>
      </c>
      <c r="O3" s="6">
        <f>N3</f>
        <v>160</v>
      </c>
      <c r="P3" s="6" t="e">
        <f>(M3-N3)*(D3/$D$6)</f>
        <v>#REF!</v>
      </c>
      <c r="Q3" s="17">
        <f>O3/Y3</f>
        <v>1.0526315789473684</v>
      </c>
      <c r="U3" s="6" t="e">
        <f>G3-Y3</f>
        <v>#REF!</v>
      </c>
      <c r="V3" s="2" t="e">
        <f>U3*D3</f>
        <v>#REF!</v>
      </c>
      <c r="X3" s="7" t="s">
        <v>15</v>
      </c>
      <c r="Y3">
        <f>Z3*$Y$1</f>
        <v>152</v>
      </c>
      <c r="Z3">
        <v>1</v>
      </c>
      <c r="AA3" s="5">
        <f>Y3-O3</f>
        <v>-8</v>
      </c>
      <c r="AC3">
        <f>AD3*$AC$1</f>
        <v>112</v>
      </c>
      <c r="AD3">
        <v>1</v>
      </c>
    </row>
    <row r="4" spans="1:30" x14ac:dyDescent="0.3">
      <c r="A4" t="s">
        <v>2</v>
      </c>
      <c r="B4" s="5" t="e">
        <f>SUMIF(#REF!,Perfiles07!$A4,#REF!)</f>
        <v>#REF!</v>
      </c>
      <c r="C4" s="1">
        <v>30.18</v>
      </c>
      <c r="D4" s="1">
        <v>22</v>
      </c>
      <c r="E4" s="1">
        <v>18.510000000000002</v>
      </c>
      <c r="F4" s="15">
        <f>(C4-D4)/C4</f>
        <v>0.27104042412193508</v>
      </c>
      <c r="G4" t="e">
        <f>B4*(C4/D4)</f>
        <v>#REF!</v>
      </c>
      <c r="H4" s="5" t="e">
        <f>#REF!</f>
        <v>#REF!</v>
      </c>
      <c r="I4" s="5" t="e">
        <f>H4-G4</f>
        <v>#REF!</v>
      </c>
      <c r="J4" s="6" t="e">
        <f>IF(G3&gt;Y3,G4+U4,G4)</f>
        <v>#REF!</v>
      </c>
      <c r="K4" s="6" t="e">
        <f>J4</f>
        <v>#REF!</v>
      </c>
      <c r="L4" s="6" t="e">
        <f>IF(K4&gt;Y4,K4-U9,K4)</f>
        <v>#REF!</v>
      </c>
      <c r="M4" s="6" t="e">
        <f>L4</f>
        <v>#REF!</v>
      </c>
      <c r="N4" s="6">
        <v>458</v>
      </c>
      <c r="O4" s="6">
        <v>453</v>
      </c>
      <c r="P4" s="6" t="e">
        <f>(M4-N4)*(D4/$D$6)</f>
        <v>#REF!</v>
      </c>
      <c r="Q4" s="17">
        <f>O4/Y4</f>
        <v>0.99342105263157898</v>
      </c>
      <c r="R4" s="6" t="e">
        <f>H4-L4</f>
        <v>#REF!</v>
      </c>
      <c r="T4" t="s">
        <v>6</v>
      </c>
      <c r="U4" s="6" t="e">
        <f>$V$3/D4</f>
        <v>#REF!</v>
      </c>
      <c r="X4" s="7" t="s">
        <v>21</v>
      </c>
      <c r="Y4">
        <f>Z4*$Y$1</f>
        <v>456</v>
      </c>
      <c r="Z4">
        <v>3</v>
      </c>
      <c r="AA4" s="5">
        <f>Y4-O4</f>
        <v>3</v>
      </c>
      <c r="AC4">
        <f>AD4*$AC$1</f>
        <v>336</v>
      </c>
      <c r="AD4">
        <v>3</v>
      </c>
    </row>
    <row r="5" spans="1:30" x14ac:dyDescent="0.3">
      <c r="A5" t="s">
        <v>3</v>
      </c>
      <c r="B5" s="5" t="e">
        <f>SUMIF(#REF!,Perfiles07!$A5,#REF!)</f>
        <v>#REF!</v>
      </c>
      <c r="C5" s="1">
        <v>24.78</v>
      </c>
      <c r="D5" s="1">
        <v>22</v>
      </c>
      <c r="E5" s="1">
        <v>18.100000000000001</v>
      </c>
      <c r="F5" s="15">
        <f>(C5-D5)/C5</f>
        <v>0.11218724778046817</v>
      </c>
      <c r="G5" t="e">
        <f>B5*(C5/D5)</f>
        <v>#REF!</v>
      </c>
      <c r="H5" s="5" t="e">
        <f>#REF!</f>
        <v>#REF!</v>
      </c>
      <c r="I5" s="5" t="e">
        <f>H5-G5</f>
        <v>#REF!</v>
      </c>
      <c r="J5" s="6" t="e">
        <f>G5</f>
        <v>#REF!</v>
      </c>
      <c r="K5" s="6" t="e">
        <f>IF(J3&gt;Y3,J5+U5,J5)</f>
        <v>#REF!</v>
      </c>
      <c r="L5" s="6" t="e">
        <f>IF(K4&gt;Y4,K5+U10,K5)</f>
        <v>#REF!</v>
      </c>
      <c r="M5" s="6" t="e">
        <f>IF(L5&gt;Y5,Y5,L5)</f>
        <v>#REF!</v>
      </c>
      <c r="N5" s="6">
        <v>364</v>
      </c>
      <c r="O5" s="6">
        <v>457</v>
      </c>
      <c r="P5" s="6" t="e">
        <f>(M5-N5)*(D5/$D$6)</f>
        <v>#REF!</v>
      </c>
      <c r="Q5" s="17">
        <f>O5/Y5</f>
        <v>1.0021929824561404</v>
      </c>
      <c r="R5" s="6" t="e">
        <f>H5-L5</f>
        <v>#REF!</v>
      </c>
      <c r="T5" t="s">
        <v>7</v>
      </c>
      <c r="U5" s="6" t="e">
        <f>$V$3/D5</f>
        <v>#REF!</v>
      </c>
      <c r="X5" s="7" t="s">
        <v>22</v>
      </c>
      <c r="Y5">
        <f>Z5*$Y$1</f>
        <v>456</v>
      </c>
      <c r="Z5">
        <v>3</v>
      </c>
      <c r="AA5" s="5">
        <f>Y5-O5</f>
        <v>-1</v>
      </c>
      <c r="AC5">
        <f>AD5*$AC$1</f>
        <v>336</v>
      </c>
      <c r="AD5">
        <v>3</v>
      </c>
    </row>
    <row r="6" spans="1:30" x14ac:dyDescent="0.3">
      <c r="A6" t="s">
        <v>4</v>
      </c>
      <c r="B6" s="5" t="e">
        <f>SUMIF(#REF!,Perfiles07!$A6,#REF!)</f>
        <v>#REF!</v>
      </c>
      <c r="C6" s="1">
        <v>16.71</v>
      </c>
      <c r="D6" s="1">
        <v>15.6</v>
      </c>
      <c r="E6" s="1">
        <v>12.76</v>
      </c>
      <c r="F6" s="15">
        <f>(C6-D6)/C6</f>
        <v>6.6427289048474031E-2</v>
      </c>
      <c r="G6" t="e">
        <f>B6*(C6/D6)</f>
        <v>#REF!</v>
      </c>
      <c r="H6" s="5" t="e">
        <f>#REF!</f>
        <v>#REF!</v>
      </c>
      <c r="I6" s="5" t="e">
        <f>H6-G6</f>
        <v>#REF!</v>
      </c>
      <c r="J6" s="6" t="e">
        <f>G6</f>
        <v>#REF!</v>
      </c>
      <c r="K6" s="6" t="e">
        <f>J6</f>
        <v>#REF!</v>
      </c>
      <c r="L6" s="6" t="e">
        <f>K6</f>
        <v>#REF!</v>
      </c>
      <c r="M6" s="6" t="e">
        <f>L6</f>
        <v>#REF!</v>
      </c>
      <c r="N6" s="6" t="e">
        <f>M6+P6</f>
        <v>#REF!</v>
      </c>
      <c r="O6" s="6">
        <v>689</v>
      </c>
      <c r="P6" s="6" t="e">
        <f>SUM(P3:P5)</f>
        <v>#REF!</v>
      </c>
      <c r="Q6" s="17">
        <f>O6/Y6</f>
        <v>0.64755639097744366</v>
      </c>
      <c r="R6" s="6" t="e">
        <f>H6-L6</f>
        <v>#REF!</v>
      </c>
      <c r="T6" t="s">
        <v>8</v>
      </c>
      <c r="U6" s="6" t="e">
        <f>$V$3/D6</f>
        <v>#REF!</v>
      </c>
      <c r="X6" s="7" t="s">
        <v>23</v>
      </c>
      <c r="Y6">
        <f>Z6*$Y$1</f>
        <v>1064</v>
      </c>
      <c r="Z6">
        <v>7</v>
      </c>
      <c r="AA6" s="5">
        <f>Y6-O6</f>
        <v>375</v>
      </c>
      <c r="AC6">
        <f>AD6*$AC$1</f>
        <v>784</v>
      </c>
      <c r="AD6">
        <v>7</v>
      </c>
    </row>
    <row r="7" spans="1:30" x14ac:dyDescent="0.3">
      <c r="B7" s="5" t="e">
        <f>SUM(B3:B6)</f>
        <v>#REF!</v>
      </c>
      <c r="G7" t="e">
        <f>SUM(G3:G6)</f>
        <v>#REF!</v>
      </c>
      <c r="H7" t="e">
        <f>SUM(H3:H6)</f>
        <v>#REF!</v>
      </c>
      <c r="J7" s="6" t="e">
        <f t="shared" ref="J7:O7" si="0">SUM(J3:J6)</f>
        <v>#REF!</v>
      </c>
      <c r="K7" s="6" t="e">
        <f t="shared" si="0"/>
        <v>#REF!</v>
      </c>
      <c r="L7" s="6" t="e">
        <f t="shared" si="0"/>
        <v>#REF!</v>
      </c>
      <c r="M7" s="6" t="e">
        <f t="shared" si="0"/>
        <v>#REF!</v>
      </c>
      <c r="N7" s="6" t="e">
        <f t="shared" si="0"/>
        <v>#REF!</v>
      </c>
      <c r="O7" s="6">
        <f t="shared" si="0"/>
        <v>1759</v>
      </c>
      <c r="P7" s="6"/>
      <c r="T7" t="s">
        <v>16</v>
      </c>
      <c r="U7" s="6" t="e">
        <f>MAX(U4:U6)</f>
        <v>#REF!</v>
      </c>
    </row>
    <row r="9" spans="1:30" x14ac:dyDescent="0.3">
      <c r="F9" t="s">
        <v>14</v>
      </c>
      <c r="G9" t="e">
        <f>G4+G5+G6++U7</f>
        <v>#REF!</v>
      </c>
      <c r="U9" t="e">
        <f>K4-Y4</f>
        <v>#REF!</v>
      </c>
      <c r="V9" s="2" t="e">
        <f>U9*D4</f>
        <v>#REF!</v>
      </c>
    </row>
    <row r="10" spans="1:30" x14ac:dyDescent="0.3">
      <c r="T10" t="s">
        <v>25</v>
      </c>
      <c r="U10" t="e">
        <f>V9/D5</f>
        <v>#REF!</v>
      </c>
    </row>
    <row r="11" spans="1:30" x14ac:dyDescent="0.3">
      <c r="C11" s="9" t="s">
        <v>19</v>
      </c>
      <c r="D11" s="22" t="s">
        <v>20</v>
      </c>
      <c r="E11" s="22" t="s">
        <v>180</v>
      </c>
      <c r="J11" s="22" t="s">
        <v>28</v>
      </c>
      <c r="K11" s="22" t="s">
        <v>28</v>
      </c>
      <c r="L11" s="22" t="s">
        <v>28</v>
      </c>
      <c r="M11" s="22" t="s">
        <v>28</v>
      </c>
      <c r="N11" s="22" t="s">
        <v>28</v>
      </c>
      <c r="O11" s="22" t="s">
        <v>28</v>
      </c>
      <c r="T11" t="s">
        <v>24</v>
      </c>
      <c r="U11" t="e">
        <f>V9/D6</f>
        <v>#REF!</v>
      </c>
    </row>
    <row r="12" spans="1:30" x14ac:dyDescent="0.3">
      <c r="C12" s="2" t="e">
        <f>B3*C3</f>
        <v>#REF!</v>
      </c>
      <c r="D12" s="2" t="e">
        <f>G3*D3</f>
        <v>#REF!</v>
      </c>
      <c r="E12" s="2" t="e">
        <f>B3*D3</f>
        <v>#REF!</v>
      </c>
      <c r="J12" s="1" t="e">
        <f t="shared" ref="J12:O15" si="1">J3*$D3</f>
        <v>#REF!</v>
      </c>
      <c r="K12" s="1" t="e">
        <f t="shared" si="1"/>
        <v>#REF!</v>
      </c>
      <c r="L12" s="1" t="e">
        <f t="shared" si="1"/>
        <v>#REF!</v>
      </c>
      <c r="M12" s="1" t="e">
        <f t="shared" si="1"/>
        <v>#REF!</v>
      </c>
      <c r="N12" s="1">
        <f t="shared" si="1"/>
        <v>4480</v>
      </c>
      <c r="O12" s="1">
        <f t="shared" si="1"/>
        <v>4480</v>
      </c>
      <c r="P12" s="1"/>
      <c r="R12" s="2"/>
      <c r="Y12">
        <f>Y3-36+6</f>
        <v>122</v>
      </c>
    </row>
    <row r="13" spans="1:30" x14ac:dyDescent="0.3">
      <c r="C13" s="2" t="e">
        <f>B4*C4</f>
        <v>#REF!</v>
      </c>
      <c r="D13" s="2" t="e">
        <f>G4*D4</f>
        <v>#REF!</v>
      </c>
      <c r="E13" s="2" t="e">
        <f t="shared" ref="E13:E15" si="2">B4*D4</f>
        <v>#REF!</v>
      </c>
      <c r="J13" s="1" t="e">
        <f t="shared" si="1"/>
        <v>#REF!</v>
      </c>
      <c r="K13" s="1" t="e">
        <f t="shared" si="1"/>
        <v>#REF!</v>
      </c>
      <c r="L13" s="1" t="e">
        <f t="shared" si="1"/>
        <v>#REF!</v>
      </c>
      <c r="M13" s="1" t="e">
        <f t="shared" si="1"/>
        <v>#REF!</v>
      </c>
      <c r="N13" s="1">
        <f t="shared" si="1"/>
        <v>10076</v>
      </c>
      <c r="O13" s="1">
        <f t="shared" si="1"/>
        <v>9966</v>
      </c>
      <c r="P13" s="1"/>
      <c r="R13" s="2"/>
    </row>
    <row r="14" spans="1:30" x14ac:dyDescent="0.3">
      <c r="C14" s="2" t="e">
        <f>B5*C5</f>
        <v>#REF!</v>
      </c>
      <c r="D14" s="2" t="e">
        <f>G5*D5</f>
        <v>#REF!</v>
      </c>
      <c r="E14" s="2" t="e">
        <f t="shared" si="2"/>
        <v>#REF!</v>
      </c>
      <c r="J14" s="1" t="e">
        <f t="shared" si="1"/>
        <v>#REF!</v>
      </c>
      <c r="K14" s="1" t="e">
        <f t="shared" si="1"/>
        <v>#REF!</v>
      </c>
      <c r="L14" s="1" t="e">
        <f t="shared" si="1"/>
        <v>#REF!</v>
      </c>
      <c r="M14" s="1" t="e">
        <f t="shared" si="1"/>
        <v>#REF!</v>
      </c>
      <c r="N14" s="1">
        <f t="shared" si="1"/>
        <v>8008</v>
      </c>
      <c r="O14" s="1">
        <f t="shared" si="1"/>
        <v>10054</v>
      </c>
      <c r="P14" s="1"/>
      <c r="R14" s="2"/>
      <c r="U14" s="6" t="e">
        <f>L5-Y5</f>
        <v>#REF!</v>
      </c>
      <c r="V14" s="2" t="e">
        <f>U14*D5</f>
        <v>#REF!</v>
      </c>
    </row>
    <row r="15" spans="1:30" x14ac:dyDescent="0.3">
      <c r="C15" s="2" t="e">
        <f>B6*C6</f>
        <v>#REF!</v>
      </c>
      <c r="D15" s="2" t="e">
        <f>G6*D6</f>
        <v>#REF!</v>
      </c>
      <c r="E15" s="2" t="e">
        <f t="shared" si="2"/>
        <v>#REF!</v>
      </c>
      <c r="J15" s="1" t="e">
        <f t="shared" si="1"/>
        <v>#REF!</v>
      </c>
      <c r="K15" s="1" t="e">
        <f t="shared" si="1"/>
        <v>#REF!</v>
      </c>
      <c r="L15" s="1" t="e">
        <f t="shared" si="1"/>
        <v>#REF!</v>
      </c>
      <c r="M15" s="1" t="e">
        <f t="shared" si="1"/>
        <v>#REF!</v>
      </c>
      <c r="N15" s="1" t="e">
        <f t="shared" si="1"/>
        <v>#REF!</v>
      </c>
      <c r="O15" s="1">
        <f t="shared" si="1"/>
        <v>10748.4</v>
      </c>
      <c r="P15" s="1"/>
      <c r="R15" s="1"/>
      <c r="T15" t="s">
        <v>35</v>
      </c>
      <c r="U15" t="e">
        <f>V14/D6</f>
        <v>#REF!</v>
      </c>
    </row>
    <row r="16" spans="1:30" x14ac:dyDescent="0.3">
      <c r="A16" s="18"/>
      <c r="B16" s="19" t="s">
        <v>48</v>
      </c>
      <c r="C16" s="23" t="e">
        <f>SUM(C12:C15)</f>
        <v>#REF!</v>
      </c>
      <c r="D16" s="2" t="e">
        <f>SUM(D12:D15)</f>
        <v>#REF!</v>
      </c>
      <c r="E16" s="2" t="e">
        <f>SUM(E12:E15)</f>
        <v>#REF!</v>
      </c>
      <c r="J16" s="1" t="e">
        <f t="shared" ref="J16:O16" si="3">SUM(J12:J15)</f>
        <v>#REF!</v>
      </c>
      <c r="K16" s="1" t="e">
        <f t="shared" si="3"/>
        <v>#REF!</v>
      </c>
      <c r="L16" s="1" t="e">
        <f t="shared" si="3"/>
        <v>#REF!</v>
      </c>
      <c r="M16" s="1" t="e">
        <f t="shared" si="3"/>
        <v>#REF!</v>
      </c>
      <c r="N16" s="1" t="e">
        <f t="shared" si="3"/>
        <v>#REF!</v>
      </c>
      <c r="O16" s="14">
        <f t="shared" si="3"/>
        <v>35248.400000000001</v>
      </c>
      <c r="P16" s="1"/>
    </row>
    <row r="17" spans="1:16" x14ac:dyDescent="0.3">
      <c r="D17" s="2" t="e">
        <f>D16-$C$16</f>
        <v>#REF!</v>
      </c>
      <c r="E17" s="2"/>
      <c r="J17" s="2" t="e">
        <f t="shared" ref="J17:O17" si="4">J16-$C$16</f>
        <v>#REF!</v>
      </c>
      <c r="K17" s="2" t="e">
        <f t="shared" si="4"/>
        <v>#REF!</v>
      </c>
      <c r="L17" s="2" t="e">
        <f t="shared" si="4"/>
        <v>#REF!</v>
      </c>
      <c r="M17" s="2" t="e">
        <f t="shared" si="4"/>
        <v>#REF!</v>
      </c>
      <c r="N17" s="2" t="e">
        <f t="shared" si="4"/>
        <v>#REF!</v>
      </c>
      <c r="O17" s="2" t="e">
        <f t="shared" si="4"/>
        <v>#REF!</v>
      </c>
      <c r="P17" s="2"/>
    </row>
    <row r="21" spans="1:16" x14ac:dyDescent="0.3">
      <c r="C21">
        <f>Y12</f>
        <v>122</v>
      </c>
      <c r="D21" s="2">
        <f>Y12*D3</f>
        <v>3416</v>
      </c>
      <c r="E21" s="2" t="e">
        <f>D21-D12</f>
        <v>#REF!</v>
      </c>
      <c r="F21">
        <v>168</v>
      </c>
      <c r="G21" s="2">
        <f>F21*D3</f>
        <v>4704</v>
      </c>
    </row>
    <row r="22" spans="1:16" x14ac:dyDescent="0.3">
      <c r="C22">
        <f>Y4</f>
        <v>456</v>
      </c>
      <c r="D22" s="2">
        <f>Y4*D4</f>
        <v>10032</v>
      </c>
      <c r="E22" s="2" t="e">
        <f>D22-D13</f>
        <v>#REF!</v>
      </c>
      <c r="F22">
        <v>528</v>
      </c>
      <c r="G22" s="2">
        <f>F22*D4</f>
        <v>11616</v>
      </c>
    </row>
    <row r="23" spans="1:16" x14ac:dyDescent="0.3">
      <c r="C23">
        <f>Y5</f>
        <v>456</v>
      </c>
      <c r="D23" s="2">
        <f>Y5*D5</f>
        <v>10032</v>
      </c>
      <c r="E23" s="2" t="e">
        <f>D23-D14</f>
        <v>#REF!</v>
      </c>
      <c r="F23">
        <v>504</v>
      </c>
      <c r="G23" s="2">
        <f>F23*D5</f>
        <v>11088</v>
      </c>
    </row>
    <row r="24" spans="1:16" x14ac:dyDescent="0.3">
      <c r="C24">
        <f>Y6</f>
        <v>1064</v>
      </c>
      <c r="D24" s="2">
        <f>Y6*D6</f>
        <v>16598.399999999998</v>
      </c>
      <c r="E24" s="2" t="e">
        <f>D24-D15</f>
        <v>#REF!</v>
      </c>
      <c r="F24">
        <v>1142</v>
      </c>
      <c r="G24" s="2">
        <f>F24*D6</f>
        <v>17815.2</v>
      </c>
    </row>
    <row r="25" spans="1:16" x14ac:dyDescent="0.3">
      <c r="A25" s="18"/>
      <c r="B25" s="19" t="s">
        <v>49</v>
      </c>
      <c r="D25" s="8">
        <f>SUM(D21:D24)</f>
        <v>40078.399999999994</v>
      </c>
      <c r="E25" s="15" t="e">
        <f>D16/D25</f>
        <v>#REF!</v>
      </c>
      <c r="G25" s="8">
        <f>SUM(G21:G24)</f>
        <v>45223.199999999997</v>
      </c>
    </row>
    <row r="26" spans="1:16" x14ac:dyDescent="0.3">
      <c r="D26" s="2" t="e">
        <f>D25-D16</f>
        <v>#REF!</v>
      </c>
      <c r="J26" s="1">
        <v>208355.36</v>
      </c>
    </row>
    <row r="27" spans="1:16" x14ac:dyDescent="0.3">
      <c r="J27" s="1">
        <v>16760.73</v>
      </c>
    </row>
    <row r="28" spans="1:16" x14ac:dyDescent="0.3">
      <c r="C28">
        <v>232</v>
      </c>
      <c r="D28" s="2">
        <f>C28*E28</f>
        <v>4294.3200000000006</v>
      </c>
      <c r="E28" s="1">
        <v>18.510000000000002</v>
      </c>
      <c r="J28" s="1">
        <f>J26-J27</f>
        <v>191594.62999999998</v>
      </c>
    </row>
    <row r="29" spans="1:16" x14ac:dyDescent="0.3">
      <c r="C29">
        <v>0</v>
      </c>
      <c r="D29" s="2">
        <f>C29*E29</f>
        <v>0</v>
      </c>
      <c r="E29" s="1">
        <v>18.100000000000001</v>
      </c>
    </row>
    <row r="30" spans="1:16" x14ac:dyDescent="0.3">
      <c r="C30">
        <v>0</v>
      </c>
      <c r="D30" s="2">
        <f>C30*E30</f>
        <v>0</v>
      </c>
      <c r="E30" s="1">
        <v>12.76</v>
      </c>
    </row>
    <row r="31" spans="1:16" x14ac:dyDescent="0.3">
      <c r="A31" s="18"/>
      <c r="B31" s="19" t="s">
        <v>62</v>
      </c>
      <c r="D31" s="8">
        <f>SUM(D28:D30)</f>
        <v>4294.3200000000006</v>
      </c>
    </row>
    <row r="33" spans="1:7" x14ac:dyDescent="0.3">
      <c r="G33">
        <v>14</v>
      </c>
    </row>
    <row r="34" spans="1:7" x14ac:dyDescent="0.3">
      <c r="A34" s="18" t="s">
        <v>0</v>
      </c>
      <c r="D34" s="8">
        <f>D31+D25</f>
        <v>44372.719999999994</v>
      </c>
      <c r="G34">
        <v>20</v>
      </c>
    </row>
    <row r="35" spans="1:7" x14ac:dyDescent="0.3">
      <c r="G35" s="15">
        <f>G33/G34</f>
        <v>0.7</v>
      </c>
    </row>
  </sheetData>
  <conditionalFormatting sqref="D17:E17 J17:N17 P17">
    <cfRule type="cellIs" dxfId="17" priority="6" operator="equal">
      <formula>0</formula>
    </cfRule>
  </conditionalFormatting>
  <conditionalFormatting sqref="D17:E17 J17:N17 P17">
    <cfRule type="cellIs" dxfId="16" priority="5" operator="greaterThan">
      <formula>0</formula>
    </cfRule>
  </conditionalFormatting>
  <conditionalFormatting sqref="D17:E17 J17:N17 P17">
    <cfRule type="cellIs" dxfId="15" priority="4" operator="lessThan">
      <formula>0</formula>
    </cfRule>
  </conditionalFormatting>
  <conditionalFormatting sqref="O17">
    <cfRule type="cellIs" dxfId="14" priority="3" operator="equal">
      <formula>0</formula>
    </cfRule>
  </conditionalFormatting>
  <conditionalFormatting sqref="O17">
    <cfRule type="cellIs" dxfId="13" priority="2" operator="greaterThan">
      <formula>0</formula>
    </cfRule>
  </conditionalFormatting>
  <conditionalFormatting sqref="O17">
    <cfRule type="cellIs" dxfId="12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>
      <selection activeCell="B3" sqref="B3"/>
    </sheetView>
  </sheetViews>
  <sheetFormatPr baseColWidth="10" defaultRowHeight="14.4" x14ac:dyDescent="0.3"/>
  <cols>
    <col min="2" max="2" width="10.6640625" customWidth="1"/>
    <col min="3" max="4" width="13.5546875" bestFit="1" customWidth="1"/>
    <col min="5" max="5" width="12" bestFit="1" customWidth="1"/>
    <col min="6" max="6" width="12" customWidth="1"/>
    <col min="7" max="7" width="19.6640625" bestFit="1" customWidth="1"/>
    <col min="8" max="8" width="12.88671875" bestFit="1" customWidth="1"/>
    <col min="11" max="11" width="20.88671875" bestFit="1" customWidth="1"/>
    <col min="12" max="12" width="18.6640625" bestFit="1" customWidth="1"/>
    <col min="13" max="13" width="19.44140625" bestFit="1" customWidth="1"/>
    <col min="14" max="14" width="19" bestFit="1" customWidth="1"/>
    <col min="15" max="17" width="19" customWidth="1"/>
    <col min="18" max="18" width="12" bestFit="1" customWidth="1"/>
    <col min="19" max="19" width="22" bestFit="1" customWidth="1"/>
    <col min="21" max="21" width="14" bestFit="1" customWidth="1"/>
    <col min="22" max="22" width="13.33203125" bestFit="1" customWidth="1"/>
    <col min="23" max="23" width="11" bestFit="1" customWidth="1"/>
    <col min="28" max="28" width="6.5546875" bestFit="1" customWidth="1"/>
  </cols>
  <sheetData>
    <row r="1" spans="1:31" x14ac:dyDescent="0.3">
      <c r="G1" t="s">
        <v>184</v>
      </c>
      <c r="Y1" t="s">
        <v>37</v>
      </c>
      <c r="Z1">
        <v>152</v>
      </c>
      <c r="AD1">
        <f>(20-6)*8</f>
        <v>112</v>
      </c>
    </row>
    <row r="2" spans="1:31" x14ac:dyDescent="0.3">
      <c r="C2" s="25" t="s">
        <v>183</v>
      </c>
      <c r="D2" s="24" t="s">
        <v>181</v>
      </c>
      <c r="E2" s="24" t="s">
        <v>31</v>
      </c>
      <c r="F2" s="24" t="s">
        <v>32</v>
      </c>
      <c r="G2" s="15">
        <v>0.19</v>
      </c>
      <c r="H2" t="s">
        <v>5</v>
      </c>
      <c r="I2" t="s">
        <v>17</v>
      </c>
      <c r="K2" t="s">
        <v>38</v>
      </c>
      <c r="O2" s="13" t="s">
        <v>36</v>
      </c>
      <c r="P2" s="13"/>
      <c r="Q2" s="13"/>
      <c r="S2" t="s">
        <v>30</v>
      </c>
    </row>
    <row r="3" spans="1:31" x14ac:dyDescent="0.3">
      <c r="A3" t="s">
        <v>1</v>
      </c>
      <c r="B3" s="5" t="e">
        <f>SUMIF(#REF!,Perfiles08!$A3,#REF!)</f>
        <v>#REF!</v>
      </c>
      <c r="C3" s="1">
        <f>E3/(1-$G$2)</f>
        <v>34.567901234567898</v>
      </c>
      <c r="D3" s="1">
        <v>34.49</v>
      </c>
      <c r="E3" s="1">
        <v>28</v>
      </c>
      <c r="F3" s="1"/>
      <c r="G3" s="15">
        <f>(D3-E3)/D3</f>
        <v>0.18817048419831839</v>
      </c>
      <c r="H3" t="e">
        <f>B3*(D3/E3)</f>
        <v>#REF!</v>
      </c>
      <c r="K3" s="6" t="e">
        <f>IF(H3&gt;Z3,Z3,H3)</f>
        <v>#REF!</v>
      </c>
      <c r="L3" s="6" t="e">
        <f>IF(K3&gt;Z3,Z3,K3)</f>
        <v>#REF!</v>
      </c>
      <c r="M3" s="6" t="e">
        <f>L3</f>
        <v>#REF!</v>
      </c>
      <c r="N3" s="6" t="e">
        <f>M3</f>
        <v>#REF!</v>
      </c>
      <c r="O3" s="6">
        <v>160</v>
      </c>
      <c r="P3" s="6">
        <f>O3</f>
        <v>160</v>
      </c>
      <c r="Q3" s="6" t="e">
        <f>(N3-O3)*(E3/$E$6)</f>
        <v>#REF!</v>
      </c>
      <c r="R3" s="17">
        <f>P3/Z3</f>
        <v>1.0526315789473684</v>
      </c>
      <c r="V3" s="6" t="e">
        <f>H3-Z3</f>
        <v>#REF!</v>
      </c>
      <c r="W3" s="2" t="e">
        <f>V3*E3</f>
        <v>#REF!</v>
      </c>
      <c r="Y3" s="7" t="s">
        <v>15</v>
      </c>
      <c r="Z3">
        <f>AA3*$Z$1</f>
        <v>152</v>
      </c>
      <c r="AA3">
        <v>1</v>
      </c>
      <c r="AB3" s="5">
        <f>Z3-P3</f>
        <v>-8</v>
      </c>
      <c r="AD3">
        <f>AE3*$AD$1</f>
        <v>112</v>
      </c>
      <c r="AE3">
        <v>1</v>
      </c>
    </row>
    <row r="4" spans="1:31" x14ac:dyDescent="0.3">
      <c r="A4" t="s">
        <v>2</v>
      </c>
      <c r="B4" s="5" t="e">
        <f>SUMIF(#REF!,Perfiles08!$A4,#REF!)</f>
        <v>#REF!</v>
      </c>
      <c r="C4" s="1">
        <f t="shared" ref="C4:C6" si="0">E4/(1-$G$2)</f>
        <v>27.160493827160494</v>
      </c>
      <c r="D4" s="1">
        <v>30.18</v>
      </c>
      <c r="E4" s="1">
        <v>22</v>
      </c>
      <c r="F4" s="1">
        <v>18.510000000000002</v>
      </c>
      <c r="G4" s="15">
        <f>(D4-E4)/D4</f>
        <v>0.27104042412193508</v>
      </c>
      <c r="H4" t="e">
        <f>B4*(D4/E4)</f>
        <v>#REF!</v>
      </c>
      <c r="I4" s="5" t="e">
        <f>#REF!</f>
        <v>#REF!</v>
      </c>
      <c r="J4" s="5" t="e">
        <f>I4-H4</f>
        <v>#REF!</v>
      </c>
      <c r="K4" s="6" t="e">
        <f>IF(H3&gt;Z3,H4+V4,H4)</f>
        <v>#REF!</v>
      </c>
      <c r="L4" s="6" t="e">
        <f>K4</f>
        <v>#REF!</v>
      </c>
      <c r="M4" s="6" t="e">
        <f>IF(L4&gt;Z4,L4-V9,L4)</f>
        <v>#REF!</v>
      </c>
      <c r="N4" s="6" t="e">
        <f>M4</f>
        <v>#REF!</v>
      </c>
      <c r="O4" s="6">
        <v>458</v>
      </c>
      <c r="P4" s="6">
        <v>453</v>
      </c>
      <c r="Q4" s="6" t="e">
        <f>(N4-O4)*(E4/$E$6)</f>
        <v>#REF!</v>
      </c>
      <c r="R4" s="17">
        <f>P4/Z4</f>
        <v>0.99342105263157898</v>
      </c>
      <c r="S4" s="6" t="e">
        <f>I4-M4</f>
        <v>#REF!</v>
      </c>
      <c r="U4" t="s">
        <v>6</v>
      </c>
      <c r="V4" s="6" t="e">
        <f>$W$3/E4</f>
        <v>#REF!</v>
      </c>
      <c r="Y4" s="7" t="s">
        <v>21</v>
      </c>
      <c r="Z4">
        <f>AA4*$Z$1</f>
        <v>456</v>
      </c>
      <c r="AA4">
        <v>3</v>
      </c>
      <c r="AB4" s="5">
        <f>Z4-P4</f>
        <v>3</v>
      </c>
      <c r="AD4">
        <f>AE4*$AD$1</f>
        <v>336</v>
      </c>
      <c r="AE4">
        <v>3</v>
      </c>
    </row>
    <row r="5" spans="1:31" x14ac:dyDescent="0.3">
      <c r="A5" t="s">
        <v>3</v>
      </c>
      <c r="B5" s="5" t="e">
        <f>SUMIF(#REF!,Perfiles08!$A5,#REF!)</f>
        <v>#REF!</v>
      </c>
      <c r="C5" s="1">
        <f t="shared" si="0"/>
        <v>27.160493827160494</v>
      </c>
      <c r="D5" s="1">
        <v>24.78</v>
      </c>
      <c r="E5" s="1">
        <v>22</v>
      </c>
      <c r="F5" s="1">
        <v>18.100000000000001</v>
      </c>
      <c r="G5" s="15">
        <f>(D5-E5)/D5</f>
        <v>0.11218724778046817</v>
      </c>
      <c r="H5" t="e">
        <f>B5*(D5/E5)</f>
        <v>#REF!</v>
      </c>
      <c r="I5" s="5" t="e">
        <f>#REF!</f>
        <v>#REF!</v>
      </c>
      <c r="J5" s="5" t="e">
        <f>I5-H5</f>
        <v>#REF!</v>
      </c>
      <c r="K5" s="6" t="e">
        <f>H5</f>
        <v>#REF!</v>
      </c>
      <c r="L5" s="6" t="e">
        <f>IF(K3&gt;Z3,K5+V5,K5)</f>
        <v>#REF!</v>
      </c>
      <c r="M5" s="6" t="e">
        <f>IF(L4&gt;Z4,L5+V10,L5)</f>
        <v>#REF!</v>
      </c>
      <c r="N5" s="6" t="e">
        <f>IF(M5&gt;Z5,Z5,M5)</f>
        <v>#REF!</v>
      </c>
      <c r="O5" s="6">
        <v>364</v>
      </c>
      <c r="P5" s="6">
        <v>457</v>
      </c>
      <c r="Q5" s="6" t="e">
        <f>(N5-O5)*(E5/$E$6)</f>
        <v>#REF!</v>
      </c>
      <c r="R5" s="17">
        <f>P5/Z5</f>
        <v>1.0021929824561404</v>
      </c>
      <c r="S5" s="6" t="e">
        <f>I5-M5</f>
        <v>#REF!</v>
      </c>
      <c r="U5" t="s">
        <v>7</v>
      </c>
      <c r="V5" s="6" t="e">
        <f>$W$3/E5</f>
        <v>#REF!</v>
      </c>
      <c r="Y5" s="7" t="s">
        <v>22</v>
      </c>
      <c r="Z5">
        <f>AA5*$Z$1</f>
        <v>456</v>
      </c>
      <c r="AA5">
        <v>3</v>
      </c>
      <c r="AB5" s="5">
        <f>Z5-P5</f>
        <v>-1</v>
      </c>
      <c r="AD5">
        <f>AE5*$AD$1</f>
        <v>336</v>
      </c>
      <c r="AE5">
        <v>3</v>
      </c>
    </row>
    <row r="6" spans="1:31" x14ac:dyDescent="0.3">
      <c r="A6" t="s">
        <v>4</v>
      </c>
      <c r="B6" s="5" t="e">
        <f>SUMIF(#REF!,Perfiles08!$A6,#REF!)</f>
        <v>#REF!</v>
      </c>
      <c r="C6" s="1">
        <f t="shared" si="0"/>
        <v>19.259259259259256</v>
      </c>
      <c r="D6" s="1">
        <v>16.71</v>
      </c>
      <c r="E6" s="1">
        <v>15.6</v>
      </c>
      <c r="F6" s="1">
        <v>12.76</v>
      </c>
      <c r="G6" s="15">
        <f>(D6-E6)/D6</f>
        <v>6.6427289048474031E-2</v>
      </c>
      <c r="H6" t="e">
        <f>B6*(D6/E6)</f>
        <v>#REF!</v>
      </c>
      <c r="I6" s="5" t="e">
        <f>#REF!</f>
        <v>#REF!</v>
      </c>
      <c r="J6" s="5" t="e">
        <f>I6-H6</f>
        <v>#REF!</v>
      </c>
      <c r="K6" s="6" t="e">
        <f>H6</f>
        <v>#REF!</v>
      </c>
      <c r="L6" s="6" t="e">
        <f>K6</f>
        <v>#REF!</v>
      </c>
      <c r="M6" s="6" t="e">
        <f>L6</f>
        <v>#REF!</v>
      </c>
      <c r="N6" s="6" t="e">
        <f>M6</f>
        <v>#REF!</v>
      </c>
      <c r="O6" s="6" t="e">
        <f>N6+Q6</f>
        <v>#REF!</v>
      </c>
      <c r="P6" s="6">
        <v>689</v>
      </c>
      <c r="Q6" s="6" t="e">
        <f>SUM(Q3:Q5)</f>
        <v>#REF!</v>
      </c>
      <c r="R6" s="17">
        <f>P6/Z6</f>
        <v>0.64755639097744366</v>
      </c>
      <c r="S6" s="6" t="e">
        <f>I6-M6</f>
        <v>#REF!</v>
      </c>
      <c r="U6" t="s">
        <v>8</v>
      </c>
      <c r="V6" s="6" t="e">
        <f>$W$3/E6</f>
        <v>#REF!</v>
      </c>
      <c r="Y6" s="7" t="s">
        <v>23</v>
      </c>
      <c r="Z6">
        <f>AA6*$Z$1</f>
        <v>1064</v>
      </c>
      <c r="AA6">
        <v>7</v>
      </c>
      <c r="AB6" s="5">
        <f>Z6-P6</f>
        <v>375</v>
      </c>
      <c r="AD6">
        <f>AE6*$AD$1</f>
        <v>784</v>
      </c>
      <c r="AE6">
        <v>7</v>
      </c>
    </row>
    <row r="7" spans="1:31" x14ac:dyDescent="0.3">
      <c r="B7" s="5" t="e">
        <f>SUM(B3:B6)</f>
        <v>#REF!</v>
      </c>
      <c r="C7" s="5"/>
      <c r="H7" t="e">
        <f>SUM(H3:H6)</f>
        <v>#REF!</v>
      </c>
      <c r="I7" t="e">
        <f>SUM(I3:I6)</f>
        <v>#REF!</v>
      </c>
      <c r="K7" s="6" t="e">
        <f t="shared" ref="K7:P7" si="1">SUM(K3:K6)</f>
        <v>#REF!</v>
      </c>
      <c r="L7" s="6" t="e">
        <f t="shared" si="1"/>
        <v>#REF!</v>
      </c>
      <c r="M7" s="6" t="e">
        <f t="shared" si="1"/>
        <v>#REF!</v>
      </c>
      <c r="N7" s="6" t="e">
        <f t="shared" si="1"/>
        <v>#REF!</v>
      </c>
      <c r="O7" s="6" t="e">
        <f t="shared" si="1"/>
        <v>#REF!</v>
      </c>
      <c r="P7" s="6">
        <f t="shared" si="1"/>
        <v>1759</v>
      </c>
      <c r="Q7" s="6"/>
      <c r="U7" t="s">
        <v>16</v>
      </c>
      <c r="V7" s="6" t="e">
        <f>MAX(V4:V6)</f>
        <v>#REF!</v>
      </c>
    </row>
    <row r="8" spans="1:31" x14ac:dyDescent="0.3">
      <c r="E8" s="2"/>
    </row>
    <row r="9" spans="1:31" x14ac:dyDescent="0.3">
      <c r="G9" t="s">
        <v>14</v>
      </c>
      <c r="H9" t="e">
        <f>H4+H5+H6++V7</f>
        <v>#REF!</v>
      </c>
      <c r="V9" t="e">
        <f>L4-Z4</f>
        <v>#REF!</v>
      </c>
      <c r="W9" s="2" t="e">
        <f>V9*E4</f>
        <v>#REF!</v>
      </c>
    </row>
    <row r="10" spans="1:31" x14ac:dyDescent="0.3">
      <c r="U10" t="s">
        <v>25</v>
      </c>
      <c r="V10" t="e">
        <f>W9/E5</f>
        <v>#REF!</v>
      </c>
    </row>
    <row r="11" spans="1:31" x14ac:dyDescent="0.3">
      <c r="C11" s="9" t="s">
        <v>185</v>
      </c>
      <c r="D11" s="9" t="s">
        <v>182</v>
      </c>
      <c r="E11" s="24" t="s">
        <v>20</v>
      </c>
      <c r="F11" s="24" t="s">
        <v>180</v>
      </c>
      <c r="K11" s="24" t="s">
        <v>28</v>
      </c>
      <c r="L11" s="24" t="s">
        <v>28</v>
      </c>
      <c r="M11" s="24" t="s">
        <v>28</v>
      </c>
      <c r="N11" s="24" t="s">
        <v>28</v>
      </c>
      <c r="O11" s="24" t="s">
        <v>28</v>
      </c>
      <c r="P11" s="24" t="s">
        <v>28</v>
      </c>
      <c r="U11" t="s">
        <v>24</v>
      </c>
      <c r="V11" t="e">
        <f>W9/E6</f>
        <v>#REF!</v>
      </c>
    </row>
    <row r="12" spans="1:31" x14ac:dyDescent="0.3">
      <c r="C12" s="2" t="e">
        <f>B3*C3</f>
        <v>#REF!</v>
      </c>
      <c r="D12" s="2" t="e">
        <f>B3*D3</f>
        <v>#REF!</v>
      </c>
      <c r="E12" s="2" t="e">
        <f>H3*E3</f>
        <v>#REF!</v>
      </c>
      <c r="F12" s="2" t="e">
        <f>B3*E3</f>
        <v>#REF!</v>
      </c>
      <c r="K12" s="1" t="e">
        <f t="shared" ref="K12:P15" si="2">K3*$E3</f>
        <v>#REF!</v>
      </c>
      <c r="L12" s="1" t="e">
        <f t="shared" si="2"/>
        <v>#REF!</v>
      </c>
      <c r="M12" s="1" t="e">
        <f t="shared" si="2"/>
        <v>#REF!</v>
      </c>
      <c r="N12" s="1" t="e">
        <f t="shared" si="2"/>
        <v>#REF!</v>
      </c>
      <c r="O12" s="1">
        <f t="shared" si="2"/>
        <v>4480</v>
      </c>
      <c r="P12" s="1">
        <f t="shared" si="2"/>
        <v>4480</v>
      </c>
      <c r="Q12" s="1"/>
      <c r="S12" s="2"/>
      <c r="Z12">
        <f>Z3-36+6</f>
        <v>122</v>
      </c>
    </row>
    <row r="13" spans="1:31" x14ac:dyDescent="0.3">
      <c r="C13" s="2" t="e">
        <f t="shared" ref="C13:C15" si="3">B4*C4</f>
        <v>#REF!</v>
      </c>
      <c r="D13" s="2" t="e">
        <f>B4*D4</f>
        <v>#REF!</v>
      </c>
      <c r="E13" s="2" t="e">
        <f>H4*E4</f>
        <v>#REF!</v>
      </c>
      <c r="F13" s="2" t="e">
        <f t="shared" ref="F13:F15" si="4">B4*E4</f>
        <v>#REF!</v>
      </c>
      <c r="K13" s="1" t="e">
        <f t="shared" si="2"/>
        <v>#REF!</v>
      </c>
      <c r="L13" s="1" t="e">
        <f t="shared" si="2"/>
        <v>#REF!</v>
      </c>
      <c r="M13" s="1" t="e">
        <f t="shared" si="2"/>
        <v>#REF!</v>
      </c>
      <c r="N13" s="1" t="e">
        <f t="shared" si="2"/>
        <v>#REF!</v>
      </c>
      <c r="O13" s="1">
        <f t="shared" si="2"/>
        <v>10076</v>
      </c>
      <c r="P13" s="1">
        <f t="shared" si="2"/>
        <v>9966</v>
      </c>
      <c r="Q13" s="1"/>
      <c r="S13" s="2"/>
    </row>
    <row r="14" spans="1:31" x14ac:dyDescent="0.3">
      <c r="C14" s="2" t="e">
        <f t="shared" si="3"/>
        <v>#REF!</v>
      </c>
      <c r="D14" s="2" t="e">
        <f>B5*D5</f>
        <v>#REF!</v>
      </c>
      <c r="E14" s="2" t="e">
        <f>H5*E5</f>
        <v>#REF!</v>
      </c>
      <c r="F14" s="2" t="e">
        <f t="shared" si="4"/>
        <v>#REF!</v>
      </c>
      <c r="K14" s="1" t="e">
        <f t="shared" si="2"/>
        <v>#REF!</v>
      </c>
      <c r="L14" s="1" t="e">
        <f t="shared" si="2"/>
        <v>#REF!</v>
      </c>
      <c r="M14" s="1" t="e">
        <f t="shared" si="2"/>
        <v>#REF!</v>
      </c>
      <c r="N14" s="1" t="e">
        <f t="shared" si="2"/>
        <v>#REF!</v>
      </c>
      <c r="O14" s="1">
        <f t="shared" si="2"/>
        <v>8008</v>
      </c>
      <c r="P14" s="1">
        <f t="shared" si="2"/>
        <v>10054</v>
      </c>
      <c r="Q14" s="1"/>
      <c r="S14" s="2"/>
      <c r="V14" s="6" t="e">
        <f>M5-Z5</f>
        <v>#REF!</v>
      </c>
      <c r="W14" s="2" t="e">
        <f>V14*E5</f>
        <v>#REF!</v>
      </c>
    </row>
    <row r="15" spans="1:31" x14ac:dyDescent="0.3">
      <c r="C15" s="2" t="e">
        <f t="shared" si="3"/>
        <v>#REF!</v>
      </c>
      <c r="D15" s="2" t="e">
        <f>B6*D6</f>
        <v>#REF!</v>
      </c>
      <c r="E15" s="2" t="e">
        <f>H6*E6</f>
        <v>#REF!</v>
      </c>
      <c r="F15" s="2" t="e">
        <f t="shared" si="4"/>
        <v>#REF!</v>
      </c>
      <c r="K15" s="1" t="e">
        <f t="shared" si="2"/>
        <v>#REF!</v>
      </c>
      <c r="L15" s="1" t="e">
        <f t="shared" si="2"/>
        <v>#REF!</v>
      </c>
      <c r="M15" s="1" t="e">
        <f t="shared" si="2"/>
        <v>#REF!</v>
      </c>
      <c r="N15" s="1" t="e">
        <f t="shared" si="2"/>
        <v>#REF!</v>
      </c>
      <c r="O15" s="1" t="e">
        <f t="shared" si="2"/>
        <v>#REF!</v>
      </c>
      <c r="P15" s="1">
        <f t="shared" si="2"/>
        <v>10748.4</v>
      </c>
      <c r="Q15" s="1"/>
      <c r="S15" s="1"/>
      <c r="U15" t="s">
        <v>35</v>
      </c>
      <c r="V15" t="e">
        <f>W14/E6</f>
        <v>#REF!</v>
      </c>
    </row>
    <row r="16" spans="1:31" x14ac:dyDescent="0.3">
      <c r="A16" s="18"/>
      <c r="B16" s="19" t="s">
        <v>48</v>
      </c>
      <c r="C16" s="23" t="e">
        <f>SUM(C12:C15)</f>
        <v>#REF!</v>
      </c>
      <c r="D16" s="23" t="e">
        <f>SUM(D12:D15)</f>
        <v>#REF!</v>
      </c>
      <c r="E16" s="2" t="e">
        <f>SUM(E12:E15)</f>
        <v>#REF!</v>
      </c>
      <c r="F16" s="2" t="e">
        <f>SUM(F12:F15)</f>
        <v>#REF!</v>
      </c>
      <c r="K16" s="1" t="e">
        <f t="shared" ref="K16:P16" si="5">SUM(K12:K15)</f>
        <v>#REF!</v>
      </c>
      <c r="L16" s="1" t="e">
        <f t="shared" si="5"/>
        <v>#REF!</v>
      </c>
      <c r="M16" s="1" t="e">
        <f t="shared" si="5"/>
        <v>#REF!</v>
      </c>
      <c r="N16" s="1" t="e">
        <f t="shared" si="5"/>
        <v>#REF!</v>
      </c>
      <c r="O16" s="1" t="e">
        <f t="shared" si="5"/>
        <v>#REF!</v>
      </c>
      <c r="P16" s="14">
        <f t="shared" si="5"/>
        <v>35248.400000000001</v>
      </c>
      <c r="Q16" s="1"/>
    </row>
    <row r="17" spans="1:17" x14ac:dyDescent="0.3">
      <c r="E17" s="2" t="e">
        <f>E16-$D$16</f>
        <v>#REF!</v>
      </c>
      <c r="F17" s="2"/>
      <c r="K17" s="2" t="e">
        <f t="shared" ref="K17:P17" si="6">K16-$D$16</f>
        <v>#REF!</v>
      </c>
      <c r="L17" s="2" t="e">
        <f t="shared" si="6"/>
        <v>#REF!</v>
      </c>
      <c r="M17" s="2" t="e">
        <f t="shared" si="6"/>
        <v>#REF!</v>
      </c>
      <c r="N17" s="2" t="e">
        <f t="shared" si="6"/>
        <v>#REF!</v>
      </c>
      <c r="O17" s="2" t="e">
        <f t="shared" si="6"/>
        <v>#REF!</v>
      </c>
      <c r="P17" s="2" t="e">
        <f t="shared" si="6"/>
        <v>#REF!</v>
      </c>
      <c r="Q17" s="2"/>
    </row>
    <row r="21" spans="1:17" x14ac:dyDescent="0.3">
      <c r="D21">
        <f>Z12</f>
        <v>122</v>
      </c>
      <c r="E21" s="2">
        <f>Z12*E3</f>
        <v>3416</v>
      </c>
      <c r="F21" s="2" t="e">
        <f>E21-E12</f>
        <v>#REF!</v>
      </c>
      <c r="G21">
        <v>168</v>
      </c>
      <c r="H21" s="2">
        <f>G21*E3</f>
        <v>4704</v>
      </c>
    </row>
    <row r="22" spans="1:17" x14ac:dyDescent="0.3">
      <c r="D22">
        <f>Z4</f>
        <v>456</v>
      </c>
      <c r="E22" s="2">
        <f>Z4*E4</f>
        <v>10032</v>
      </c>
      <c r="F22" s="2" t="e">
        <f>E22-E13</f>
        <v>#REF!</v>
      </c>
      <c r="G22">
        <v>528</v>
      </c>
      <c r="H22" s="2">
        <f>G22*E4</f>
        <v>11616</v>
      </c>
    </row>
    <row r="23" spans="1:17" x14ac:dyDescent="0.3">
      <c r="D23">
        <f>Z5</f>
        <v>456</v>
      </c>
      <c r="E23" s="2">
        <f>Z5*E5</f>
        <v>10032</v>
      </c>
      <c r="F23" s="2" t="e">
        <f>E23-E14</f>
        <v>#REF!</v>
      </c>
      <c r="G23">
        <v>504</v>
      </c>
      <c r="H23" s="2">
        <f>G23*E5</f>
        <v>11088</v>
      </c>
    </row>
    <row r="24" spans="1:17" x14ac:dyDescent="0.3">
      <c r="D24">
        <f>Z6</f>
        <v>1064</v>
      </c>
      <c r="E24" s="2">
        <f>Z6*E6</f>
        <v>16598.399999999998</v>
      </c>
      <c r="F24" s="2" t="e">
        <f>E24-E15</f>
        <v>#REF!</v>
      </c>
      <c r="G24">
        <v>1142</v>
      </c>
      <c r="H24" s="2">
        <f>G24*E6</f>
        <v>17815.2</v>
      </c>
      <c r="O24" s="1"/>
      <c r="P24" s="15"/>
    </row>
    <row r="25" spans="1:17" x14ac:dyDescent="0.3">
      <c r="A25" s="18"/>
      <c r="B25" s="19" t="s">
        <v>49</v>
      </c>
      <c r="C25" s="19"/>
      <c r="E25" s="8">
        <f>SUM(E21:E24)</f>
        <v>40078.399999999994</v>
      </c>
      <c r="F25" s="15" t="e">
        <f>E16/E25</f>
        <v>#REF!</v>
      </c>
      <c r="H25" s="8">
        <f>SUM(H21:H24)</f>
        <v>45223.199999999997</v>
      </c>
      <c r="O25" s="1"/>
      <c r="P25" s="15"/>
    </row>
    <row r="26" spans="1:17" x14ac:dyDescent="0.3">
      <c r="E26" s="2" t="e">
        <f>E25-E16</f>
        <v>#REF!</v>
      </c>
      <c r="K26" s="1">
        <v>208355.36</v>
      </c>
      <c r="O26" s="1"/>
      <c r="P26" s="15"/>
    </row>
    <row r="27" spans="1:17" x14ac:dyDescent="0.3">
      <c r="K27" s="1">
        <v>16760.73</v>
      </c>
      <c r="O27" s="1"/>
      <c r="P27" s="15"/>
    </row>
    <row r="28" spans="1:17" x14ac:dyDescent="0.3">
      <c r="D28">
        <v>232</v>
      </c>
      <c r="E28" s="2">
        <f>D28*F28</f>
        <v>4294.3200000000006</v>
      </c>
      <c r="F28" s="1">
        <v>18.510000000000002</v>
      </c>
      <c r="K28" s="1">
        <f>K26-K27</f>
        <v>191594.62999999998</v>
      </c>
    </row>
    <row r="29" spans="1:17" x14ac:dyDescent="0.3">
      <c r="D29">
        <v>0</v>
      </c>
      <c r="E29" s="2">
        <f>D29*F29</f>
        <v>0</v>
      </c>
      <c r="F29" s="1">
        <v>18.100000000000001</v>
      </c>
    </row>
    <row r="30" spans="1:17" x14ac:dyDescent="0.3">
      <c r="D30">
        <v>0</v>
      </c>
      <c r="E30" s="2">
        <f>D30*F30</f>
        <v>0</v>
      </c>
      <c r="F30" s="1">
        <v>12.76</v>
      </c>
      <c r="O30" s="2"/>
    </row>
    <row r="31" spans="1:17" x14ac:dyDescent="0.3">
      <c r="A31" s="18"/>
      <c r="B31" s="19" t="s">
        <v>62</v>
      </c>
      <c r="C31" s="19"/>
      <c r="E31" s="8">
        <f>SUM(E28:E30)</f>
        <v>4294.3200000000006</v>
      </c>
      <c r="O31" s="2"/>
    </row>
    <row r="32" spans="1:17" x14ac:dyDescent="0.3">
      <c r="O32" s="2"/>
    </row>
    <row r="33" spans="1:15" x14ac:dyDescent="0.3">
      <c r="H33">
        <v>14</v>
      </c>
      <c r="O33" s="2"/>
    </row>
    <row r="34" spans="1:15" x14ac:dyDescent="0.3">
      <c r="A34" s="18" t="s">
        <v>0</v>
      </c>
      <c r="E34" s="8">
        <f>E31+E25</f>
        <v>44372.719999999994</v>
      </c>
      <c r="H34">
        <v>20</v>
      </c>
      <c r="O34" s="23"/>
    </row>
    <row r="35" spans="1:15" x14ac:dyDescent="0.3">
      <c r="H35" s="15">
        <f>H33/H34</f>
        <v>0.7</v>
      </c>
    </row>
  </sheetData>
  <conditionalFormatting sqref="E17:F17 K17:O17 Q17">
    <cfRule type="cellIs" dxfId="11" priority="6" operator="equal">
      <formula>0</formula>
    </cfRule>
  </conditionalFormatting>
  <conditionalFormatting sqref="E17:F17 K17:O17 Q17">
    <cfRule type="cellIs" dxfId="10" priority="5" operator="greaterThan">
      <formula>0</formula>
    </cfRule>
  </conditionalFormatting>
  <conditionalFormatting sqref="E17:F17 K17:O17 Q17">
    <cfRule type="cellIs" dxfId="9" priority="4" operator="lessThan">
      <formula>0</formula>
    </cfRule>
  </conditionalFormatting>
  <conditionalFormatting sqref="P17">
    <cfRule type="cellIs" dxfId="8" priority="3" operator="equal">
      <formula>0</formula>
    </cfRule>
  </conditionalFormatting>
  <conditionalFormatting sqref="P17">
    <cfRule type="cellIs" dxfId="7" priority="2" operator="greaterThan">
      <formula>0</formula>
    </cfRule>
  </conditionalFormatting>
  <conditionalFormatting sqref="P17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>
      <selection activeCell="M20" sqref="M20"/>
    </sheetView>
  </sheetViews>
  <sheetFormatPr baseColWidth="10" defaultRowHeight="14.4" x14ac:dyDescent="0.3"/>
  <cols>
    <col min="2" max="2" width="10.6640625" customWidth="1"/>
    <col min="3" max="4" width="13.5546875" bestFit="1" customWidth="1"/>
    <col min="5" max="5" width="12" bestFit="1" customWidth="1"/>
    <col min="6" max="6" width="12" customWidth="1"/>
    <col min="7" max="7" width="19.6640625" bestFit="1" customWidth="1"/>
    <col min="8" max="8" width="12.88671875" bestFit="1" customWidth="1"/>
    <col min="11" max="11" width="20.88671875" bestFit="1" customWidth="1"/>
    <col min="12" max="12" width="18.6640625" bestFit="1" customWidth="1"/>
    <col min="13" max="13" width="19.44140625" bestFit="1" customWidth="1"/>
    <col min="14" max="14" width="19" bestFit="1" customWidth="1"/>
    <col min="15" max="17" width="19" customWidth="1"/>
    <col min="18" max="18" width="12" bestFit="1" customWidth="1"/>
    <col min="19" max="19" width="22" bestFit="1" customWidth="1"/>
    <col min="21" max="21" width="14" bestFit="1" customWidth="1"/>
    <col min="22" max="22" width="13.33203125" bestFit="1" customWidth="1"/>
    <col min="23" max="23" width="11" bestFit="1" customWidth="1"/>
    <col min="28" max="28" width="6.5546875" bestFit="1" customWidth="1"/>
  </cols>
  <sheetData>
    <row r="1" spans="1:31" x14ac:dyDescent="0.3">
      <c r="G1" t="s">
        <v>184</v>
      </c>
      <c r="Y1" t="s">
        <v>37</v>
      </c>
      <c r="Z1">
        <v>152</v>
      </c>
      <c r="AD1">
        <f>(20-6)*8</f>
        <v>112</v>
      </c>
    </row>
    <row r="2" spans="1:31" x14ac:dyDescent="0.3">
      <c r="C2" s="26" t="s">
        <v>183</v>
      </c>
      <c r="D2" s="26" t="s">
        <v>181</v>
      </c>
      <c r="E2" s="26" t="s">
        <v>31</v>
      </c>
      <c r="F2" s="26" t="s">
        <v>32</v>
      </c>
      <c r="G2" s="15">
        <v>0.19</v>
      </c>
      <c r="H2" t="s">
        <v>5</v>
      </c>
      <c r="I2" t="s">
        <v>17</v>
      </c>
      <c r="K2" t="s">
        <v>38</v>
      </c>
      <c r="O2" s="13" t="s">
        <v>36</v>
      </c>
      <c r="P2" s="13"/>
      <c r="Q2" s="13"/>
      <c r="S2" t="s">
        <v>30</v>
      </c>
    </row>
    <row r="3" spans="1:31" x14ac:dyDescent="0.3">
      <c r="A3" t="s">
        <v>1</v>
      </c>
      <c r="B3" s="5" t="e">
        <f>SUMIF(#REF!,Perfiles09!$A3,#REF!)</f>
        <v>#REF!</v>
      </c>
      <c r="C3" s="1">
        <f>E3/(1-$G$2)</f>
        <v>34.567901234567898</v>
      </c>
      <c r="D3" s="1">
        <v>34.49</v>
      </c>
      <c r="E3" s="1">
        <v>28</v>
      </c>
      <c r="F3" s="1"/>
      <c r="G3" s="15">
        <f>(D3-E3)/D3</f>
        <v>0.18817048419831839</v>
      </c>
      <c r="H3" t="e">
        <f>B3*(D3/E3)</f>
        <v>#REF!</v>
      </c>
      <c r="K3" s="6" t="e">
        <f>IF(H3&gt;Z3,Z3,H3)</f>
        <v>#REF!</v>
      </c>
      <c r="L3" s="6" t="e">
        <f>IF(K3&gt;Z3,Z3,K3)</f>
        <v>#REF!</v>
      </c>
      <c r="M3" s="6" t="e">
        <f>L3</f>
        <v>#REF!</v>
      </c>
      <c r="N3" s="6" t="e">
        <f>M3</f>
        <v>#REF!</v>
      </c>
      <c r="O3" s="6">
        <v>160</v>
      </c>
      <c r="P3" s="6">
        <f>O3</f>
        <v>160</v>
      </c>
      <c r="Q3" s="6" t="e">
        <f>(N3-O3)*(E3/$E$6)</f>
        <v>#REF!</v>
      </c>
      <c r="R3" s="17">
        <f>P3/Z3</f>
        <v>1.0526315789473684</v>
      </c>
      <c r="V3" s="6" t="e">
        <f>H3-Z3</f>
        <v>#REF!</v>
      </c>
      <c r="W3" s="2" t="e">
        <f>V3*E3</f>
        <v>#REF!</v>
      </c>
      <c r="Y3" s="7" t="s">
        <v>15</v>
      </c>
      <c r="Z3">
        <f>AA3*$Z$1</f>
        <v>152</v>
      </c>
      <c r="AA3">
        <v>1</v>
      </c>
      <c r="AB3" s="5">
        <f>Z3-P3</f>
        <v>-8</v>
      </c>
      <c r="AD3">
        <f>AE3*$AD$1</f>
        <v>112</v>
      </c>
      <c r="AE3">
        <v>1</v>
      </c>
    </row>
    <row r="4" spans="1:31" x14ac:dyDescent="0.3">
      <c r="A4" t="s">
        <v>2</v>
      </c>
      <c r="B4" s="5" t="e">
        <f>SUMIF(#REF!,Perfiles09!$A4,#REF!)</f>
        <v>#REF!</v>
      </c>
      <c r="C4" s="1">
        <f t="shared" ref="C4:C6" si="0">E4/(1-$G$2)</f>
        <v>27.160493827160494</v>
      </c>
      <c r="D4" s="1">
        <v>30.18</v>
      </c>
      <c r="E4" s="1">
        <v>22</v>
      </c>
      <c r="F4" s="1">
        <v>18.510000000000002</v>
      </c>
      <c r="G4" s="15">
        <f>(D4-E4)/D4</f>
        <v>0.27104042412193508</v>
      </c>
      <c r="H4" t="e">
        <f>B4*(D4/E4)</f>
        <v>#REF!</v>
      </c>
      <c r="I4" s="5" t="e">
        <f>#REF!</f>
        <v>#REF!</v>
      </c>
      <c r="J4" s="5" t="e">
        <f>I4-H4</f>
        <v>#REF!</v>
      </c>
      <c r="K4" s="6" t="e">
        <f>IF(H3&gt;Z3,H4+V4,H4)</f>
        <v>#REF!</v>
      </c>
      <c r="L4" s="6" t="e">
        <f>K4</f>
        <v>#REF!</v>
      </c>
      <c r="M4" s="6" t="e">
        <f>IF(L4&gt;Z4,L4-V9,L4)</f>
        <v>#REF!</v>
      </c>
      <c r="N4" s="6" t="e">
        <f>M4</f>
        <v>#REF!</v>
      </c>
      <c r="O4" s="6">
        <v>458</v>
      </c>
      <c r="P4" s="6">
        <v>453</v>
      </c>
      <c r="Q4" s="6" t="e">
        <f>(N4-O4)*(E4/$E$6)</f>
        <v>#REF!</v>
      </c>
      <c r="R4" s="17">
        <f>P4/Z4</f>
        <v>0.99342105263157898</v>
      </c>
      <c r="S4" s="6" t="e">
        <f>I4-M4</f>
        <v>#REF!</v>
      </c>
      <c r="U4" t="s">
        <v>6</v>
      </c>
      <c r="V4" s="6" t="e">
        <f>$W$3/E4</f>
        <v>#REF!</v>
      </c>
      <c r="Y4" s="7" t="s">
        <v>21</v>
      </c>
      <c r="Z4">
        <f>AA4*$Z$1</f>
        <v>456</v>
      </c>
      <c r="AA4">
        <v>3</v>
      </c>
      <c r="AB4" s="5">
        <f>Z4-P4</f>
        <v>3</v>
      </c>
      <c r="AD4">
        <f>AE4*$AD$1</f>
        <v>336</v>
      </c>
      <c r="AE4">
        <v>3</v>
      </c>
    </row>
    <row r="5" spans="1:31" x14ac:dyDescent="0.3">
      <c r="A5" t="s">
        <v>3</v>
      </c>
      <c r="B5" s="5" t="e">
        <f>SUMIF(#REF!,Perfiles09!$A5,#REF!)</f>
        <v>#REF!</v>
      </c>
      <c r="C5" s="1">
        <f t="shared" si="0"/>
        <v>27.160493827160494</v>
      </c>
      <c r="D5" s="1">
        <v>24.78</v>
      </c>
      <c r="E5" s="1">
        <v>22</v>
      </c>
      <c r="F5" s="1">
        <v>18.100000000000001</v>
      </c>
      <c r="G5" s="15">
        <f>(D5-E5)/D5</f>
        <v>0.11218724778046817</v>
      </c>
      <c r="H5" t="e">
        <f>B5*(D5/E5)</f>
        <v>#REF!</v>
      </c>
      <c r="I5" s="5" t="e">
        <f>#REF!</f>
        <v>#REF!</v>
      </c>
      <c r="J5" s="5" t="e">
        <f>I5-H5</f>
        <v>#REF!</v>
      </c>
      <c r="K5" s="6" t="e">
        <f>H5</f>
        <v>#REF!</v>
      </c>
      <c r="L5" s="6" t="e">
        <f>IF(K3&gt;Z3,K5+V5,K5)</f>
        <v>#REF!</v>
      </c>
      <c r="M5" s="6" t="e">
        <f>IF(L4&gt;Z4,L5+V10,L5)</f>
        <v>#REF!</v>
      </c>
      <c r="N5" s="6" t="e">
        <f>IF(M5&gt;Z5,Z5,M5)</f>
        <v>#REF!</v>
      </c>
      <c r="O5" s="6">
        <v>364</v>
      </c>
      <c r="P5" s="6">
        <v>457</v>
      </c>
      <c r="Q5" s="6" t="e">
        <f>(N5-O5)*(E5/$E$6)</f>
        <v>#REF!</v>
      </c>
      <c r="R5" s="17">
        <f>P5/Z5</f>
        <v>1.0021929824561404</v>
      </c>
      <c r="S5" s="6" t="e">
        <f>I5-M5</f>
        <v>#REF!</v>
      </c>
      <c r="U5" t="s">
        <v>7</v>
      </c>
      <c r="V5" s="6" t="e">
        <f>$W$3/E5</f>
        <v>#REF!</v>
      </c>
      <c r="Y5" s="7" t="s">
        <v>22</v>
      </c>
      <c r="Z5">
        <f>AA5*$Z$1</f>
        <v>456</v>
      </c>
      <c r="AA5">
        <v>3</v>
      </c>
      <c r="AB5" s="5">
        <f>Z5-P5</f>
        <v>-1</v>
      </c>
      <c r="AD5">
        <f>AE5*$AD$1</f>
        <v>336</v>
      </c>
      <c r="AE5">
        <v>3</v>
      </c>
    </row>
    <row r="6" spans="1:31" x14ac:dyDescent="0.3">
      <c r="A6" t="s">
        <v>4</v>
      </c>
      <c r="B6" s="5" t="e">
        <f>SUMIF(#REF!,Perfiles09!$A6,#REF!)</f>
        <v>#REF!</v>
      </c>
      <c r="C6" s="1">
        <f t="shared" si="0"/>
        <v>19.259259259259256</v>
      </c>
      <c r="D6" s="1">
        <v>16.71</v>
      </c>
      <c r="E6" s="1">
        <v>15.6</v>
      </c>
      <c r="F6" s="1">
        <v>12.76</v>
      </c>
      <c r="G6" s="15">
        <f>(D6-E6)/D6</f>
        <v>6.6427289048474031E-2</v>
      </c>
      <c r="H6" t="e">
        <f>B6*(D6/E6)</f>
        <v>#REF!</v>
      </c>
      <c r="I6" s="5" t="e">
        <f>#REF!</f>
        <v>#REF!</v>
      </c>
      <c r="J6" s="5" t="e">
        <f>I6-H6</f>
        <v>#REF!</v>
      </c>
      <c r="K6" s="6" t="e">
        <f>H6</f>
        <v>#REF!</v>
      </c>
      <c r="L6" s="6" t="e">
        <f>K6</f>
        <v>#REF!</v>
      </c>
      <c r="M6" s="6" t="e">
        <f>L6</f>
        <v>#REF!</v>
      </c>
      <c r="N6" s="6" t="e">
        <f>M6</f>
        <v>#REF!</v>
      </c>
      <c r="O6" s="6" t="e">
        <f>N6+Q6</f>
        <v>#REF!</v>
      </c>
      <c r="P6" s="6">
        <v>689</v>
      </c>
      <c r="Q6" s="6" t="e">
        <f>SUM(Q3:Q5)</f>
        <v>#REF!</v>
      </c>
      <c r="R6" s="17">
        <f>P6/Z6</f>
        <v>0.64755639097744366</v>
      </c>
      <c r="S6" s="6" t="e">
        <f>I6-M6</f>
        <v>#REF!</v>
      </c>
      <c r="U6" t="s">
        <v>8</v>
      </c>
      <c r="V6" s="6" t="e">
        <f>$W$3/E6</f>
        <v>#REF!</v>
      </c>
      <c r="Y6" s="7" t="s">
        <v>23</v>
      </c>
      <c r="Z6">
        <f>AA6*$Z$1</f>
        <v>1064</v>
      </c>
      <c r="AA6">
        <v>7</v>
      </c>
      <c r="AB6" s="5">
        <f>Z6-P6</f>
        <v>375</v>
      </c>
      <c r="AD6">
        <f>AE6*$AD$1</f>
        <v>784</v>
      </c>
      <c r="AE6">
        <v>7</v>
      </c>
    </row>
    <row r="7" spans="1:31" x14ac:dyDescent="0.3">
      <c r="B7" s="5" t="e">
        <f>SUM(B3:B6)</f>
        <v>#REF!</v>
      </c>
      <c r="C7" s="5"/>
      <c r="H7" t="e">
        <f>SUM(H3:H6)</f>
        <v>#REF!</v>
      </c>
      <c r="I7" t="e">
        <f>SUM(I3:I6)</f>
        <v>#REF!</v>
      </c>
      <c r="K7" s="6" t="e">
        <f t="shared" ref="K7:P7" si="1">SUM(K3:K6)</f>
        <v>#REF!</v>
      </c>
      <c r="L7" s="6" t="e">
        <f t="shared" si="1"/>
        <v>#REF!</v>
      </c>
      <c r="M7" s="6" t="e">
        <f t="shared" si="1"/>
        <v>#REF!</v>
      </c>
      <c r="N7" s="6" t="e">
        <f t="shared" si="1"/>
        <v>#REF!</v>
      </c>
      <c r="O7" s="6" t="e">
        <f t="shared" si="1"/>
        <v>#REF!</v>
      </c>
      <c r="P7" s="6">
        <f t="shared" si="1"/>
        <v>1759</v>
      </c>
      <c r="Q7" s="6"/>
      <c r="U7" t="s">
        <v>16</v>
      </c>
      <c r="V7" s="6" t="e">
        <f>MAX(V4:V6)</f>
        <v>#REF!</v>
      </c>
    </row>
    <row r="8" spans="1:31" x14ac:dyDescent="0.3">
      <c r="E8" s="2"/>
    </row>
    <row r="9" spans="1:31" x14ac:dyDescent="0.3">
      <c r="G9" t="s">
        <v>14</v>
      </c>
      <c r="H9" t="e">
        <f>H4+H5+H6++V7</f>
        <v>#REF!</v>
      </c>
      <c r="V9" t="e">
        <f>L4-Z4</f>
        <v>#REF!</v>
      </c>
      <c r="W9" s="2" t="e">
        <f>V9*E4</f>
        <v>#REF!</v>
      </c>
    </row>
    <row r="10" spans="1:31" x14ac:dyDescent="0.3">
      <c r="U10" t="s">
        <v>25</v>
      </c>
      <c r="V10" t="e">
        <f>W9/E5</f>
        <v>#REF!</v>
      </c>
    </row>
    <row r="11" spans="1:31" x14ac:dyDescent="0.3">
      <c r="C11" s="9" t="s">
        <v>185</v>
      </c>
      <c r="D11" s="9" t="s">
        <v>182</v>
      </c>
      <c r="E11" s="26" t="s">
        <v>20</v>
      </c>
      <c r="F11" s="26" t="s">
        <v>180</v>
      </c>
      <c r="K11" s="26" t="s">
        <v>28</v>
      </c>
      <c r="L11" s="26" t="s">
        <v>28</v>
      </c>
      <c r="M11" s="26" t="s">
        <v>28</v>
      </c>
      <c r="N11" s="26" t="s">
        <v>28</v>
      </c>
      <c r="O11" s="26" t="s">
        <v>28</v>
      </c>
      <c r="P11" s="26" t="s">
        <v>28</v>
      </c>
      <c r="U11" t="s">
        <v>24</v>
      </c>
      <c r="V11" t="e">
        <f>W9/E6</f>
        <v>#REF!</v>
      </c>
    </row>
    <row r="12" spans="1:31" x14ac:dyDescent="0.3">
      <c r="C12" s="2" t="e">
        <f>B3*C3</f>
        <v>#REF!</v>
      </c>
      <c r="D12" s="2" t="e">
        <f>B3*D3</f>
        <v>#REF!</v>
      </c>
      <c r="E12" s="2" t="e">
        <f>H3*E3</f>
        <v>#REF!</v>
      </c>
      <c r="F12" s="2" t="e">
        <f>B3*E3</f>
        <v>#REF!</v>
      </c>
      <c r="K12" s="1" t="e">
        <f t="shared" ref="K12:P15" si="2">K3*$E3</f>
        <v>#REF!</v>
      </c>
      <c r="L12" s="1" t="e">
        <f t="shared" si="2"/>
        <v>#REF!</v>
      </c>
      <c r="M12" s="1" t="e">
        <f t="shared" si="2"/>
        <v>#REF!</v>
      </c>
      <c r="N12" s="1" t="e">
        <f t="shared" si="2"/>
        <v>#REF!</v>
      </c>
      <c r="O12" s="1">
        <f t="shared" si="2"/>
        <v>4480</v>
      </c>
      <c r="P12" s="1">
        <f t="shared" si="2"/>
        <v>4480</v>
      </c>
      <c r="Q12" s="1"/>
      <c r="S12" s="2"/>
      <c r="Z12">
        <f>Z3-36+6</f>
        <v>122</v>
      </c>
    </row>
    <row r="13" spans="1:31" x14ac:dyDescent="0.3">
      <c r="C13" s="2" t="e">
        <f t="shared" ref="C13:C15" si="3">B4*C4</f>
        <v>#REF!</v>
      </c>
      <c r="D13" s="2" t="e">
        <f>B4*D4</f>
        <v>#REF!</v>
      </c>
      <c r="E13" s="2" t="e">
        <f>H4*E4</f>
        <v>#REF!</v>
      </c>
      <c r="F13" s="2" t="e">
        <f t="shared" ref="F13:F15" si="4">B4*E4</f>
        <v>#REF!</v>
      </c>
      <c r="K13" s="1" t="e">
        <f t="shared" si="2"/>
        <v>#REF!</v>
      </c>
      <c r="L13" s="1" t="e">
        <f t="shared" si="2"/>
        <v>#REF!</v>
      </c>
      <c r="M13" s="1" t="e">
        <f t="shared" si="2"/>
        <v>#REF!</v>
      </c>
      <c r="N13" s="1" t="e">
        <f t="shared" si="2"/>
        <v>#REF!</v>
      </c>
      <c r="O13" s="1">
        <f t="shared" si="2"/>
        <v>10076</v>
      </c>
      <c r="P13" s="1">
        <f t="shared" si="2"/>
        <v>9966</v>
      </c>
      <c r="Q13" s="1"/>
      <c r="S13" s="2"/>
    </row>
    <row r="14" spans="1:31" x14ac:dyDescent="0.3">
      <c r="C14" s="2" t="e">
        <f t="shared" si="3"/>
        <v>#REF!</v>
      </c>
      <c r="D14" s="2" t="e">
        <f>B5*D5</f>
        <v>#REF!</v>
      </c>
      <c r="E14" s="2" t="e">
        <f>H5*E5</f>
        <v>#REF!</v>
      </c>
      <c r="F14" s="2" t="e">
        <f t="shared" si="4"/>
        <v>#REF!</v>
      </c>
      <c r="K14" s="1" t="e">
        <f t="shared" si="2"/>
        <v>#REF!</v>
      </c>
      <c r="L14" s="1" t="e">
        <f t="shared" si="2"/>
        <v>#REF!</v>
      </c>
      <c r="M14" s="1" t="e">
        <f t="shared" si="2"/>
        <v>#REF!</v>
      </c>
      <c r="N14" s="1" t="e">
        <f t="shared" si="2"/>
        <v>#REF!</v>
      </c>
      <c r="O14" s="1">
        <f t="shared" si="2"/>
        <v>8008</v>
      </c>
      <c r="P14" s="1">
        <f t="shared" si="2"/>
        <v>10054</v>
      </c>
      <c r="Q14" s="1"/>
      <c r="S14" s="2"/>
      <c r="V14" s="6" t="e">
        <f>M5-Z5</f>
        <v>#REF!</v>
      </c>
      <c r="W14" s="2" t="e">
        <f>V14*E5</f>
        <v>#REF!</v>
      </c>
    </row>
    <row r="15" spans="1:31" x14ac:dyDescent="0.3">
      <c r="C15" s="2" t="e">
        <f t="shared" si="3"/>
        <v>#REF!</v>
      </c>
      <c r="D15" s="2" t="e">
        <f>B6*D6</f>
        <v>#REF!</v>
      </c>
      <c r="E15" s="2" t="e">
        <f>H6*E6</f>
        <v>#REF!</v>
      </c>
      <c r="F15" s="2" t="e">
        <f t="shared" si="4"/>
        <v>#REF!</v>
      </c>
      <c r="K15" s="1" t="e">
        <f t="shared" si="2"/>
        <v>#REF!</v>
      </c>
      <c r="L15" s="1" t="e">
        <f t="shared" si="2"/>
        <v>#REF!</v>
      </c>
      <c r="M15" s="1" t="e">
        <f t="shared" si="2"/>
        <v>#REF!</v>
      </c>
      <c r="N15" s="1" t="e">
        <f t="shared" si="2"/>
        <v>#REF!</v>
      </c>
      <c r="O15" s="1" t="e">
        <f t="shared" si="2"/>
        <v>#REF!</v>
      </c>
      <c r="P15" s="1">
        <f t="shared" si="2"/>
        <v>10748.4</v>
      </c>
      <c r="Q15" s="1"/>
      <c r="S15" s="1"/>
      <c r="U15" t="s">
        <v>35</v>
      </c>
      <c r="V15" t="e">
        <f>W14/E6</f>
        <v>#REF!</v>
      </c>
    </row>
    <row r="16" spans="1:31" x14ac:dyDescent="0.3">
      <c r="A16" s="18"/>
      <c r="B16" s="19" t="s">
        <v>48</v>
      </c>
      <c r="C16" s="23" t="e">
        <f>SUM(C12:C15)</f>
        <v>#REF!</v>
      </c>
      <c r="D16" s="23" t="e">
        <f>SUM(D12:D15)</f>
        <v>#REF!</v>
      </c>
      <c r="E16" s="2" t="e">
        <f>SUM(E12:E15)</f>
        <v>#REF!</v>
      </c>
      <c r="F16" s="2" t="e">
        <f>SUM(F12:F15)</f>
        <v>#REF!</v>
      </c>
      <c r="K16" s="1" t="e">
        <f t="shared" ref="K16:P16" si="5">SUM(K12:K15)</f>
        <v>#REF!</v>
      </c>
      <c r="L16" s="1" t="e">
        <f t="shared" si="5"/>
        <v>#REF!</v>
      </c>
      <c r="M16" s="1" t="e">
        <f t="shared" si="5"/>
        <v>#REF!</v>
      </c>
      <c r="N16" s="1" t="e">
        <f t="shared" si="5"/>
        <v>#REF!</v>
      </c>
      <c r="O16" s="1" t="e">
        <f t="shared" si="5"/>
        <v>#REF!</v>
      </c>
      <c r="P16" s="14">
        <f t="shared" si="5"/>
        <v>35248.400000000001</v>
      </c>
      <c r="Q16" s="1"/>
    </row>
    <row r="17" spans="1:17" x14ac:dyDescent="0.3">
      <c r="E17" s="2" t="e">
        <f>E16-$D$16</f>
        <v>#REF!</v>
      </c>
      <c r="F17" s="2"/>
      <c r="K17" s="2" t="e">
        <f t="shared" ref="K17:P17" si="6">K16-$D$16</f>
        <v>#REF!</v>
      </c>
      <c r="L17" s="2" t="e">
        <f t="shared" si="6"/>
        <v>#REF!</v>
      </c>
      <c r="M17" s="2" t="e">
        <f t="shared" si="6"/>
        <v>#REF!</v>
      </c>
      <c r="N17" s="2" t="e">
        <f t="shared" si="6"/>
        <v>#REF!</v>
      </c>
      <c r="O17" s="2" t="e">
        <f t="shared" si="6"/>
        <v>#REF!</v>
      </c>
      <c r="P17" s="2" t="e">
        <f t="shared" si="6"/>
        <v>#REF!</v>
      </c>
      <c r="Q17" s="2"/>
    </row>
    <row r="21" spans="1:17" x14ac:dyDescent="0.3">
      <c r="D21">
        <f>Z12</f>
        <v>122</v>
      </c>
      <c r="E21" s="2">
        <f>Z12*E3</f>
        <v>3416</v>
      </c>
      <c r="F21" s="2" t="e">
        <f>E21-E12</f>
        <v>#REF!</v>
      </c>
      <c r="G21">
        <v>168</v>
      </c>
      <c r="H21" s="2">
        <f>G21*E3</f>
        <v>4704</v>
      </c>
    </row>
    <row r="22" spans="1:17" x14ac:dyDescent="0.3">
      <c r="D22">
        <f>Z4</f>
        <v>456</v>
      </c>
      <c r="E22" s="2">
        <f>Z4*E4</f>
        <v>10032</v>
      </c>
      <c r="F22" s="2" t="e">
        <f>E22-E13</f>
        <v>#REF!</v>
      </c>
      <c r="G22">
        <v>528</v>
      </c>
      <c r="H22" s="2">
        <f>G22*E4</f>
        <v>11616</v>
      </c>
    </row>
    <row r="23" spans="1:17" x14ac:dyDescent="0.3">
      <c r="D23">
        <f>Z5</f>
        <v>456</v>
      </c>
      <c r="E23" s="2">
        <f>Z5*E5</f>
        <v>10032</v>
      </c>
      <c r="F23" s="2" t="e">
        <f>E23-E14</f>
        <v>#REF!</v>
      </c>
      <c r="G23">
        <v>504</v>
      </c>
      <c r="H23" s="2">
        <f>G23*E5</f>
        <v>11088</v>
      </c>
    </row>
    <row r="24" spans="1:17" x14ac:dyDescent="0.3">
      <c r="D24">
        <f>Z6</f>
        <v>1064</v>
      </c>
      <c r="E24" s="2">
        <f>Z6*E6</f>
        <v>16598.399999999998</v>
      </c>
      <c r="F24" s="2" t="e">
        <f>E24-E15</f>
        <v>#REF!</v>
      </c>
      <c r="G24">
        <v>1142</v>
      </c>
      <c r="H24" s="2">
        <f>G24*E6</f>
        <v>17815.2</v>
      </c>
      <c r="O24" s="1"/>
      <c r="P24" s="15"/>
    </row>
    <row r="25" spans="1:17" x14ac:dyDescent="0.3">
      <c r="A25" s="18"/>
      <c r="B25" s="19" t="s">
        <v>49</v>
      </c>
      <c r="C25" s="19"/>
      <c r="E25" s="8">
        <f>SUM(E21:E24)</f>
        <v>40078.399999999994</v>
      </c>
      <c r="F25" s="15" t="e">
        <f>E16/E25</f>
        <v>#REF!</v>
      </c>
      <c r="H25" s="8">
        <f>SUM(H21:H24)</f>
        <v>45223.199999999997</v>
      </c>
      <c r="O25" s="1"/>
      <c r="P25" s="15"/>
    </row>
    <row r="26" spans="1:17" x14ac:dyDescent="0.3">
      <c r="E26" s="2" t="e">
        <f>E25-E16</f>
        <v>#REF!</v>
      </c>
      <c r="K26" s="1">
        <v>208355.36</v>
      </c>
      <c r="O26" s="1"/>
      <c r="P26" s="15"/>
    </row>
    <row r="27" spans="1:17" x14ac:dyDescent="0.3">
      <c r="K27" s="1">
        <v>16760.73</v>
      </c>
      <c r="O27" s="1"/>
      <c r="P27" s="15"/>
    </row>
    <row r="28" spans="1:17" x14ac:dyDescent="0.3">
      <c r="D28">
        <v>232</v>
      </c>
      <c r="E28" s="2">
        <f>D28*F28</f>
        <v>4294.3200000000006</v>
      </c>
      <c r="F28" s="1">
        <v>18.510000000000002</v>
      </c>
      <c r="K28" s="1">
        <f>K26-K27</f>
        <v>191594.62999999998</v>
      </c>
    </row>
    <row r="29" spans="1:17" x14ac:dyDescent="0.3">
      <c r="D29">
        <v>0</v>
      </c>
      <c r="E29" s="2">
        <f>D29*F29</f>
        <v>0</v>
      </c>
      <c r="F29" s="1">
        <v>18.100000000000001</v>
      </c>
    </row>
    <row r="30" spans="1:17" x14ac:dyDescent="0.3">
      <c r="D30">
        <v>0</v>
      </c>
      <c r="E30" s="2">
        <f>D30*F30</f>
        <v>0</v>
      </c>
      <c r="F30" s="1">
        <v>12.76</v>
      </c>
      <c r="O30" s="2"/>
    </row>
    <row r="31" spans="1:17" x14ac:dyDescent="0.3">
      <c r="A31" s="18"/>
      <c r="B31" s="19" t="s">
        <v>62</v>
      </c>
      <c r="C31" s="19"/>
      <c r="E31" s="8">
        <f>SUM(E28:E30)</f>
        <v>4294.3200000000006</v>
      </c>
      <c r="O31" s="2"/>
    </row>
    <row r="32" spans="1:17" x14ac:dyDescent="0.3">
      <c r="O32" s="2"/>
    </row>
    <row r="33" spans="1:15" x14ac:dyDescent="0.3">
      <c r="H33">
        <v>14</v>
      </c>
      <c r="O33" s="2"/>
    </row>
    <row r="34" spans="1:15" x14ac:dyDescent="0.3">
      <c r="A34" s="18" t="s">
        <v>0</v>
      </c>
      <c r="E34" s="8">
        <f>E31+E25</f>
        <v>44372.719999999994</v>
      </c>
      <c r="H34">
        <v>20</v>
      </c>
      <c r="O34" s="23"/>
    </row>
    <row r="35" spans="1:15" x14ac:dyDescent="0.3">
      <c r="H35" s="15">
        <f>H33/H34</f>
        <v>0.7</v>
      </c>
    </row>
  </sheetData>
  <conditionalFormatting sqref="E17:F17 K17:O17 Q17">
    <cfRule type="cellIs" dxfId="5" priority="6" operator="equal">
      <formula>0</formula>
    </cfRule>
  </conditionalFormatting>
  <conditionalFormatting sqref="E17:F17 K17:O17 Q17">
    <cfRule type="cellIs" dxfId="4" priority="5" operator="greaterThan">
      <formula>0</formula>
    </cfRule>
  </conditionalFormatting>
  <conditionalFormatting sqref="E17:F17 K17:O17 Q17">
    <cfRule type="cellIs" dxfId="3" priority="4" operator="lessThan">
      <formula>0</formula>
    </cfRule>
  </conditionalFormatting>
  <conditionalFormatting sqref="P17">
    <cfRule type="cellIs" dxfId="2" priority="3" operator="equal">
      <formula>0</formula>
    </cfRule>
  </conditionalFormatting>
  <conditionalFormatting sqref="P17">
    <cfRule type="cellIs" dxfId="1" priority="2" operator="greaterThan">
      <formula>0</formula>
    </cfRule>
  </conditionalFormatting>
  <conditionalFormatting sqref="P17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7"/>
  <sheetViews>
    <sheetView tabSelected="1" workbookViewId="0">
      <selection activeCell="K26" sqref="K26"/>
    </sheetView>
  </sheetViews>
  <sheetFormatPr baseColWidth="10" defaultRowHeight="14.4" x14ac:dyDescent="0.3"/>
  <cols>
    <col min="3" max="3" width="11.88671875" bestFit="1" customWidth="1"/>
  </cols>
  <sheetData>
    <row r="1" spans="1:9" x14ac:dyDescent="0.3">
      <c r="A1" s="27" t="s">
        <v>186</v>
      </c>
      <c r="B1" s="27" t="s">
        <v>179</v>
      </c>
      <c r="C1" s="27" t="s">
        <v>187</v>
      </c>
      <c r="D1" s="27" t="s">
        <v>2</v>
      </c>
      <c r="E1" s="27" t="s">
        <v>3</v>
      </c>
      <c r="F1" s="27" t="s">
        <v>4</v>
      </c>
      <c r="G1" s="27" t="s">
        <v>102</v>
      </c>
      <c r="H1" s="27" t="s">
        <v>103</v>
      </c>
      <c r="I1" s="27" t="s">
        <v>104</v>
      </c>
    </row>
    <row r="2" spans="1:9" x14ac:dyDescent="0.3">
      <c r="A2">
        <v>3679</v>
      </c>
      <c r="B2">
        <v>12</v>
      </c>
      <c r="C2">
        <v>2019</v>
      </c>
      <c r="D2" s="5">
        <v>4</v>
      </c>
      <c r="E2" s="5">
        <v>4</v>
      </c>
      <c r="F2" s="5">
        <v>24</v>
      </c>
      <c r="G2" s="5">
        <v>0</v>
      </c>
      <c r="H2" s="5">
        <v>16</v>
      </c>
      <c r="I2" s="5">
        <v>0</v>
      </c>
    </row>
    <row r="3" spans="1:9" x14ac:dyDescent="0.3">
      <c r="A3">
        <v>3139</v>
      </c>
      <c r="B3">
        <v>12</v>
      </c>
      <c r="C3">
        <v>2019</v>
      </c>
      <c r="D3" s="5">
        <v>0</v>
      </c>
      <c r="E3" s="5">
        <v>0</v>
      </c>
      <c r="F3" s="5">
        <v>26</v>
      </c>
      <c r="G3" s="5">
        <v>0</v>
      </c>
      <c r="H3" s="5">
        <v>10</v>
      </c>
      <c r="I3" s="5">
        <v>0</v>
      </c>
    </row>
    <row r="4" spans="1:9" x14ac:dyDescent="0.3">
      <c r="A4">
        <v>3355</v>
      </c>
      <c r="B4">
        <v>12</v>
      </c>
      <c r="C4">
        <v>2019</v>
      </c>
      <c r="D4" s="5">
        <v>0</v>
      </c>
      <c r="E4" s="5">
        <v>2</v>
      </c>
      <c r="F4" s="5">
        <v>55</v>
      </c>
      <c r="G4" s="5">
        <v>9</v>
      </c>
      <c r="H4" s="5">
        <v>18</v>
      </c>
      <c r="I4" s="5">
        <v>0</v>
      </c>
    </row>
    <row r="5" spans="1:9" x14ac:dyDescent="0.3">
      <c r="A5">
        <v>3073</v>
      </c>
      <c r="B5">
        <v>12</v>
      </c>
      <c r="C5">
        <v>2019</v>
      </c>
      <c r="D5" s="5">
        <v>0</v>
      </c>
      <c r="E5" s="5">
        <v>6</v>
      </c>
      <c r="F5" s="5">
        <v>19</v>
      </c>
      <c r="G5" s="5">
        <v>4</v>
      </c>
      <c r="H5" s="5">
        <v>0</v>
      </c>
      <c r="I5" s="5">
        <v>0</v>
      </c>
    </row>
    <row r="6" spans="1:9" x14ac:dyDescent="0.3">
      <c r="A6">
        <v>3616</v>
      </c>
      <c r="B6">
        <v>12</v>
      </c>
      <c r="C6">
        <v>2019</v>
      </c>
      <c r="D6" s="5">
        <v>0</v>
      </c>
      <c r="E6" s="5">
        <v>0</v>
      </c>
      <c r="F6" s="5">
        <v>0</v>
      </c>
      <c r="G6" s="5">
        <v>4</v>
      </c>
      <c r="H6" s="5">
        <v>0</v>
      </c>
      <c r="I6" s="5">
        <v>0</v>
      </c>
    </row>
    <row r="7" spans="1:9" x14ac:dyDescent="0.3">
      <c r="A7">
        <v>3973</v>
      </c>
      <c r="B7">
        <v>12</v>
      </c>
      <c r="C7">
        <v>2019</v>
      </c>
      <c r="D7" s="5">
        <v>0</v>
      </c>
      <c r="E7" s="5">
        <v>0</v>
      </c>
      <c r="F7" s="5">
        <v>0</v>
      </c>
      <c r="G7" s="5">
        <v>2</v>
      </c>
      <c r="H7" s="5">
        <v>0</v>
      </c>
      <c r="I7" s="5">
        <v>0</v>
      </c>
    </row>
    <row r="8" spans="1:9" x14ac:dyDescent="0.3">
      <c r="A8">
        <v>2464</v>
      </c>
      <c r="B8">
        <v>12</v>
      </c>
      <c r="C8">
        <v>2019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</row>
    <row r="9" spans="1:9" x14ac:dyDescent="0.3">
      <c r="A9">
        <v>4033</v>
      </c>
      <c r="B9">
        <v>12</v>
      </c>
      <c r="C9">
        <v>2019</v>
      </c>
      <c r="D9" s="5">
        <v>0</v>
      </c>
      <c r="E9" s="5">
        <v>3</v>
      </c>
      <c r="F9" s="5">
        <v>8</v>
      </c>
      <c r="G9" s="5">
        <v>2</v>
      </c>
      <c r="H9" s="5">
        <v>0</v>
      </c>
      <c r="I9" s="5">
        <v>0</v>
      </c>
    </row>
    <row r="10" spans="1:9" x14ac:dyDescent="0.3">
      <c r="A10">
        <v>4030</v>
      </c>
      <c r="B10">
        <v>12</v>
      </c>
      <c r="C10">
        <v>2019</v>
      </c>
      <c r="D10" s="5">
        <v>0</v>
      </c>
      <c r="E10" s="5">
        <v>2</v>
      </c>
      <c r="F10" s="5">
        <v>16</v>
      </c>
      <c r="G10" s="5">
        <v>2</v>
      </c>
      <c r="H10" s="5">
        <v>0</v>
      </c>
      <c r="I10" s="5">
        <v>0</v>
      </c>
    </row>
    <row r="11" spans="1:9" x14ac:dyDescent="0.3">
      <c r="A11">
        <v>2917</v>
      </c>
      <c r="B11">
        <v>12</v>
      </c>
      <c r="C11">
        <v>2019</v>
      </c>
      <c r="D11" s="5">
        <v>0</v>
      </c>
      <c r="E11" s="5">
        <v>4</v>
      </c>
      <c r="F11" s="5">
        <v>4</v>
      </c>
      <c r="G11" s="5">
        <v>0</v>
      </c>
      <c r="H11" s="5">
        <v>0</v>
      </c>
      <c r="I11" s="5">
        <v>0</v>
      </c>
    </row>
    <row r="12" spans="1:9" x14ac:dyDescent="0.3">
      <c r="A12">
        <v>3703</v>
      </c>
      <c r="B12">
        <v>12</v>
      </c>
      <c r="C12">
        <v>2019</v>
      </c>
      <c r="D12" s="5">
        <v>24</v>
      </c>
      <c r="E12" s="5">
        <v>0</v>
      </c>
      <c r="F12" s="5">
        <v>0</v>
      </c>
      <c r="G12" s="5">
        <v>20</v>
      </c>
      <c r="H12" s="5">
        <v>0</v>
      </c>
      <c r="I12" s="5">
        <v>0</v>
      </c>
    </row>
    <row r="13" spans="1:9" x14ac:dyDescent="0.3">
      <c r="A13">
        <v>3979</v>
      </c>
      <c r="B13">
        <v>12</v>
      </c>
      <c r="C13">
        <v>2019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3">
      <c r="A14">
        <v>3937</v>
      </c>
      <c r="B14">
        <v>12</v>
      </c>
      <c r="C14">
        <v>2019</v>
      </c>
      <c r="D14" s="5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9" x14ac:dyDescent="0.3">
      <c r="A15">
        <v>2461</v>
      </c>
      <c r="B15">
        <v>12</v>
      </c>
      <c r="C15">
        <v>2019</v>
      </c>
      <c r="D15" s="5">
        <v>0</v>
      </c>
      <c r="E15" s="5">
        <v>0</v>
      </c>
      <c r="F15" s="5">
        <v>29</v>
      </c>
      <c r="G15" s="5">
        <v>16</v>
      </c>
      <c r="H15" s="5">
        <v>19</v>
      </c>
      <c r="I15" s="5">
        <v>0</v>
      </c>
    </row>
    <row r="16" spans="1:9" x14ac:dyDescent="0.3">
      <c r="A16">
        <v>3157</v>
      </c>
      <c r="B16">
        <v>12</v>
      </c>
      <c r="C16">
        <v>2019</v>
      </c>
      <c r="D16" s="5">
        <v>0</v>
      </c>
      <c r="E16" s="5">
        <v>0</v>
      </c>
      <c r="F16" s="5">
        <v>32</v>
      </c>
      <c r="G16" s="5">
        <v>14</v>
      </c>
      <c r="H16" s="5">
        <v>40</v>
      </c>
      <c r="I16" s="5">
        <v>0</v>
      </c>
    </row>
    <row r="17" spans="1:9" x14ac:dyDescent="0.3">
      <c r="A17">
        <v>3688</v>
      </c>
      <c r="B17">
        <v>12</v>
      </c>
      <c r="C17">
        <v>2019</v>
      </c>
      <c r="D17" s="5">
        <v>0</v>
      </c>
      <c r="E17" s="5">
        <v>0</v>
      </c>
      <c r="F17" s="5">
        <v>16</v>
      </c>
      <c r="G17" s="5">
        <v>9</v>
      </c>
      <c r="H17" s="5">
        <v>31</v>
      </c>
      <c r="I17" s="5">
        <v>0</v>
      </c>
    </row>
    <row r="18" spans="1:9" x14ac:dyDescent="0.3">
      <c r="A18">
        <v>2908</v>
      </c>
      <c r="B18">
        <v>12</v>
      </c>
      <c r="C18">
        <v>2019</v>
      </c>
      <c r="D18" s="5">
        <v>0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</row>
    <row r="19" spans="1:9" x14ac:dyDescent="0.3">
      <c r="A19">
        <v>3502</v>
      </c>
      <c r="B19">
        <v>12</v>
      </c>
      <c r="C19">
        <v>2019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</row>
    <row r="20" spans="1:9" x14ac:dyDescent="0.3">
      <c r="A20">
        <v>2593</v>
      </c>
      <c r="B20">
        <v>12</v>
      </c>
      <c r="C20">
        <v>2019</v>
      </c>
      <c r="D20" s="5">
        <v>0</v>
      </c>
      <c r="E20" s="5">
        <v>0</v>
      </c>
      <c r="F20" s="5">
        <v>0</v>
      </c>
      <c r="G20" s="5">
        <v>14</v>
      </c>
      <c r="H20" s="5">
        <v>0</v>
      </c>
      <c r="I20" s="5">
        <v>0</v>
      </c>
    </row>
    <row r="21" spans="1:9" x14ac:dyDescent="0.3">
      <c r="A21">
        <v>3691</v>
      </c>
      <c r="B21">
        <v>12</v>
      </c>
      <c r="C21">
        <v>2019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 spans="1:9" x14ac:dyDescent="0.3">
      <c r="A22">
        <v>3808</v>
      </c>
      <c r="B22">
        <v>12</v>
      </c>
      <c r="C22">
        <v>2019</v>
      </c>
      <c r="D22" s="5">
        <v>160</v>
      </c>
      <c r="E22" s="5">
        <v>0</v>
      </c>
      <c r="F22" s="5">
        <v>0</v>
      </c>
      <c r="G22" s="5">
        <v>120</v>
      </c>
      <c r="H22" s="5">
        <v>0</v>
      </c>
      <c r="I22" s="5">
        <v>0</v>
      </c>
    </row>
    <row r="23" spans="1:9" x14ac:dyDescent="0.3">
      <c r="A23">
        <v>3811</v>
      </c>
      <c r="B23">
        <v>12</v>
      </c>
      <c r="C23">
        <v>2019</v>
      </c>
      <c r="D23" s="5">
        <v>0</v>
      </c>
      <c r="E23" s="5">
        <v>119</v>
      </c>
      <c r="F23" s="5">
        <v>0</v>
      </c>
      <c r="G23" s="5">
        <v>69</v>
      </c>
      <c r="H23" s="5">
        <v>53</v>
      </c>
      <c r="I23" s="5">
        <v>0</v>
      </c>
    </row>
    <row r="24" spans="1:9" x14ac:dyDescent="0.3">
      <c r="A24">
        <v>3301</v>
      </c>
      <c r="B24">
        <v>12</v>
      </c>
      <c r="C24">
        <v>2019</v>
      </c>
      <c r="D24" s="5">
        <v>0</v>
      </c>
      <c r="E24" s="5">
        <v>80</v>
      </c>
      <c r="F24" s="5">
        <v>188</v>
      </c>
      <c r="G24" s="5">
        <v>0</v>
      </c>
      <c r="H24" s="5">
        <v>0</v>
      </c>
      <c r="I24" s="5">
        <v>0</v>
      </c>
    </row>
    <row r="25" spans="1:9" x14ac:dyDescent="0.3">
      <c r="A25">
        <v>3946</v>
      </c>
      <c r="B25">
        <v>12</v>
      </c>
      <c r="C25">
        <v>2019</v>
      </c>
      <c r="D25" s="5">
        <v>0</v>
      </c>
      <c r="E25" s="5">
        <v>80</v>
      </c>
      <c r="F25" s="5">
        <v>197</v>
      </c>
      <c r="G25" s="5">
        <v>0</v>
      </c>
      <c r="H25" s="5">
        <v>0</v>
      </c>
      <c r="I25" s="5">
        <v>0</v>
      </c>
    </row>
    <row r="26" spans="1:9" x14ac:dyDescent="0.3">
      <c r="A26">
        <v>3574</v>
      </c>
      <c r="B26">
        <v>12</v>
      </c>
      <c r="C26">
        <v>2019</v>
      </c>
      <c r="D26" s="5">
        <v>0</v>
      </c>
      <c r="E26" s="5">
        <v>0</v>
      </c>
      <c r="F26" s="5">
        <v>0</v>
      </c>
      <c r="G26" s="5">
        <v>0</v>
      </c>
      <c r="H26" s="5">
        <v>50</v>
      </c>
      <c r="I26" s="5">
        <v>0</v>
      </c>
    </row>
    <row r="27" spans="1:9" x14ac:dyDescent="0.3">
      <c r="A27">
        <v>4009</v>
      </c>
      <c r="B27">
        <v>12</v>
      </c>
      <c r="C27">
        <v>2019</v>
      </c>
      <c r="D27" s="5">
        <v>0</v>
      </c>
      <c r="E27" s="5">
        <v>0</v>
      </c>
      <c r="F27" s="5">
        <v>0</v>
      </c>
      <c r="G27" s="5">
        <v>0</v>
      </c>
      <c r="H27" s="5">
        <v>48</v>
      </c>
      <c r="I27" s="5">
        <v>0</v>
      </c>
    </row>
    <row r="28" spans="1:9" x14ac:dyDescent="0.3">
      <c r="A28">
        <v>3298</v>
      </c>
      <c r="B28">
        <v>12</v>
      </c>
      <c r="C28">
        <v>2019</v>
      </c>
      <c r="D28" s="5">
        <v>80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r="29" spans="1:9" x14ac:dyDescent="0.3">
      <c r="A29">
        <v>3943</v>
      </c>
      <c r="B29">
        <v>12</v>
      </c>
      <c r="C29">
        <v>2019</v>
      </c>
      <c r="D29" s="5">
        <v>80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 spans="1:9" x14ac:dyDescent="0.3">
      <c r="A30">
        <v>3571</v>
      </c>
      <c r="B30">
        <v>12</v>
      </c>
      <c r="C30">
        <v>2019</v>
      </c>
      <c r="D30" s="5">
        <v>0</v>
      </c>
      <c r="E30" s="5">
        <v>0</v>
      </c>
      <c r="F30" s="5">
        <v>0</v>
      </c>
      <c r="G30" s="5">
        <v>44</v>
      </c>
      <c r="H30" s="5">
        <v>0</v>
      </c>
      <c r="I30" s="5">
        <v>0</v>
      </c>
    </row>
    <row r="31" spans="1:9" x14ac:dyDescent="0.3">
      <c r="A31">
        <v>4006</v>
      </c>
      <c r="B31">
        <v>12</v>
      </c>
      <c r="C31">
        <v>2019</v>
      </c>
      <c r="D31" s="5">
        <v>0</v>
      </c>
      <c r="E31" s="5">
        <v>0</v>
      </c>
      <c r="F31" s="5">
        <v>0</v>
      </c>
      <c r="G31" s="5">
        <v>42</v>
      </c>
      <c r="H31" s="5">
        <v>0</v>
      </c>
      <c r="I31" s="5">
        <v>0</v>
      </c>
    </row>
    <row r="32" spans="1:9" x14ac:dyDescent="0.3">
      <c r="A32">
        <v>3004</v>
      </c>
      <c r="B32">
        <v>12</v>
      </c>
      <c r="C32">
        <v>2019</v>
      </c>
      <c r="D32" s="5">
        <v>0</v>
      </c>
      <c r="E32" s="5">
        <v>221</v>
      </c>
      <c r="F32" s="5">
        <v>385</v>
      </c>
      <c r="G32" s="5">
        <v>0</v>
      </c>
      <c r="H32" s="5">
        <v>0</v>
      </c>
      <c r="I32" s="5">
        <v>0</v>
      </c>
    </row>
    <row r="33" spans="1:9" x14ac:dyDescent="0.3">
      <c r="A33">
        <v>3007</v>
      </c>
      <c r="B33">
        <v>12</v>
      </c>
      <c r="C33">
        <v>2019</v>
      </c>
      <c r="D33" s="5">
        <v>160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 spans="1:9" x14ac:dyDescent="0.3">
      <c r="A34">
        <v>3550</v>
      </c>
      <c r="B34">
        <v>12</v>
      </c>
      <c r="C34">
        <v>2019</v>
      </c>
      <c r="D34" s="5">
        <v>0</v>
      </c>
      <c r="E34" s="5">
        <v>134</v>
      </c>
      <c r="F34" s="5">
        <v>308</v>
      </c>
      <c r="G34" s="5">
        <v>0</v>
      </c>
      <c r="H34" s="5">
        <v>0</v>
      </c>
      <c r="I34" s="5">
        <v>0</v>
      </c>
    </row>
    <row r="35" spans="1:9" x14ac:dyDescent="0.3">
      <c r="A35">
        <v>3547</v>
      </c>
      <c r="B35">
        <v>12</v>
      </c>
      <c r="C35">
        <v>2019</v>
      </c>
      <c r="D35" s="5">
        <v>145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 spans="1:9" x14ac:dyDescent="0.3">
      <c r="A36">
        <v>3700</v>
      </c>
      <c r="B36">
        <v>12</v>
      </c>
      <c r="C36">
        <v>2019</v>
      </c>
      <c r="D36" s="5">
        <v>0</v>
      </c>
      <c r="E36" s="5">
        <v>0</v>
      </c>
      <c r="F36" s="5">
        <v>0</v>
      </c>
      <c r="G36" s="5">
        <v>0</v>
      </c>
      <c r="H36" s="5">
        <v>220</v>
      </c>
      <c r="I36" s="5">
        <v>0</v>
      </c>
    </row>
    <row r="37" spans="1:9" x14ac:dyDescent="0.3">
      <c r="A37">
        <v>3697</v>
      </c>
      <c r="B37">
        <v>12</v>
      </c>
      <c r="C37">
        <v>2019</v>
      </c>
      <c r="D37" s="5">
        <v>0</v>
      </c>
      <c r="E37" s="5">
        <v>0</v>
      </c>
      <c r="F37" s="5">
        <v>0</v>
      </c>
      <c r="G37" s="5">
        <v>160</v>
      </c>
      <c r="H37" s="5">
        <v>0</v>
      </c>
      <c r="I37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/>
  </sheetViews>
  <sheetFormatPr baseColWidth="10" defaultRowHeight="14.4" x14ac:dyDescent="0.3"/>
  <sheetData>
    <row r="1" spans="1:13" x14ac:dyDescent="0.3">
      <c r="A1" t="s">
        <v>64</v>
      </c>
      <c r="B1" t="s">
        <v>65</v>
      </c>
      <c r="C1" t="s">
        <v>39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</row>
    <row r="2" spans="1:13" x14ac:dyDescent="0.3">
      <c r="A2">
        <v>2287</v>
      </c>
      <c r="B2" t="s">
        <v>107</v>
      </c>
      <c r="C2" t="s">
        <v>76</v>
      </c>
      <c r="D2" t="s">
        <v>108</v>
      </c>
      <c r="H2" t="s">
        <v>78</v>
      </c>
      <c r="K2">
        <v>456</v>
      </c>
      <c r="L2">
        <v>456</v>
      </c>
      <c r="M2">
        <v>1064</v>
      </c>
    </row>
    <row r="3" spans="1:13" x14ac:dyDescent="0.3">
      <c r="A3">
        <v>2284</v>
      </c>
      <c r="B3" t="s">
        <v>109</v>
      </c>
      <c r="C3" t="s">
        <v>110</v>
      </c>
      <c r="D3" t="s">
        <v>111</v>
      </c>
      <c r="H3" t="s">
        <v>78</v>
      </c>
      <c r="J3" t="s">
        <v>164</v>
      </c>
    </row>
    <row r="4" spans="1:13" x14ac:dyDescent="0.3">
      <c r="A4">
        <v>2269</v>
      </c>
      <c r="B4" t="s">
        <v>71</v>
      </c>
      <c r="C4" t="s">
        <v>110</v>
      </c>
      <c r="D4" t="s">
        <v>114</v>
      </c>
      <c r="H4" t="s">
        <v>88</v>
      </c>
      <c r="J4" t="s">
        <v>165</v>
      </c>
    </row>
    <row r="5" spans="1:13" x14ac:dyDescent="0.3">
      <c r="A5">
        <v>2251</v>
      </c>
      <c r="B5" t="s">
        <v>106</v>
      </c>
      <c r="C5" t="s">
        <v>76</v>
      </c>
      <c r="D5" t="s">
        <v>105</v>
      </c>
      <c r="E5">
        <v>8</v>
      </c>
      <c r="F5">
        <v>8</v>
      </c>
      <c r="G5">
        <v>8</v>
      </c>
      <c r="H5" t="s">
        <v>78</v>
      </c>
      <c r="J5" t="s">
        <v>165</v>
      </c>
      <c r="L5">
        <v>8</v>
      </c>
      <c r="M5">
        <v>8</v>
      </c>
    </row>
    <row r="6" spans="1:13" x14ac:dyDescent="0.3">
      <c r="A6">
        <v>2239</v>
      </c>
      <c r="B6" t="s">
        <v>112</v>
      </c>
      <c r="C6" t="s">
        <v>76</v>
      </c>
      <c r="D6" t="s">
        <v>115</v>
      </c>
      <c r="H6" t="s">
        <v>78</v>
      </c>
    </row>
    <row r="7" spans="1:13" x14ac:dyDescent="0.3">
      <c r="A7">
        <v>2233</v>
      </c>
      <c r="B7" t="s">
        <v>112</v>
      </c>
      <c r="C7" t="s">
        <v>76</v>
      </c>
      <c r="D7" t="s">
        <v>116</v>
      </c>
      <c r="H7" t="s">
        <v>78</v>
      </c>
    </row>
    <row r="8" spans="1:13" x14ac:dyDescent="0.3">
      <c r="A8">
        <v>2230</v>
      </c>
      <c r="B8" t="s">
        <v>112</v>
      </c>
      <c r="C8" t="s">
        <v>76</v>
      </c>
      <c r="D8" t="s">
        <v>117</v>
      </c>
      <c r="H8" t="s">
        <v>78</v>
      </c>
    </row>
    <row r="9" spans="1:13" x14ac:dyDescent="0.3">
      <c r="A9">
        <v>2218</v>
      </c>
      <c r="B9" t="s">
        <v>109</v>
      </c>
      <c r="C9" t="s">
        <v>110</v>
      </c>
      <c r="D9" t="s">
        <v>118</v>
      </c>
      <c r="H9" t="s">
        <v>78</v>
      </c>
      <c r="I9">
        <v>462</v>
      </c>
      <c r="J9" t="s">
        <v>166</v>
      </c>
    </row>
    <row r="10" spans="1:13" x14ac:dyDescent="0.3">
      <c r="A10">
        <v>2212</v>
      </c>
      <c r="B10" t="s">
        <v>107</v>
      </c>
      <c r="C10" t="s">
        <v>76</v>
      </c>
      <c r="D10" t="s">
        <v>119</v>
      </c>
      <c r="H10" t="s">
        <v>78</v>
      </c>
      <c r="K10">
        <v>504</v>
      </c>
      <c r="L10">
        <v>504</v>
      </c>
      <c r="M10">
        <v>1142</v>
      </c>
    </row>
    <row r="11" spans="1:13" x14ac:dyDescent="0.3">
      <c r="A11">
        <v>2209</v>
      </c>
      <c r="B11" t="s">
        <v>107</v>
      </c>
      <c r="C11" t="s">
        <v>76</v>
      </c>
      <c r="D11" t="s">
        <v>120</v>
      </c>
      <c r="H11" t="s">
        <v>78</v>
      </c>
      <c r="K11">
        <v>480</v>
      </c>
      <c r="L11">
        <v>480</v>
      </c>
      <c r="M11">
        <v>1120</v>
      </c>
    </row>
    <row r="12" spans="1:13" x14ac:dyDescent="0.3">
      <c r="A12">
        <v>2206</v>
      </c>
      <c r="B12" t="s">
        <v>107</v>
      </c>
      <c r="C12" t="s">
        <v>76</v>
      </c>
      <c r="D12" t="s">
        <v>121</v>
      </c>
      <c r="H12" t="s">
        <v>78</v>
      </c>
      <c r="K12">
        <v>492</v>
      </c>
      <c r="L12">
        <v>501.5</v>
      </c>
      <c r="M12">
        <v>83</v>
      </c>
    </row>
    <row r="13" spans="1:13" x14ac:dyDescent="0.3">
      <c r="A13">
        <v>2203</v>
      </c>
      <c r="B13" t="s">
        <v>107</v>
      </c>
      <c r="C13" t="s">
        <v>76</v>
      </c>
      <c r="D13" t="s">
        <v>122</v>
      </c>
      <c r="H13" t="s">
        <v>78</v>
      </c>
      <c r="K13">
        <v>230.5</v>
      </c>
      <c r="L13">
        <v>60</v>
      </c>
    </row>
    <row r="14" spans="1:13" x14ac:dyDescent="0.3">
      <c r="A14">
        <v>2200</v>
      </c>
      <c r="B14" t="s">
        <v>107</v>
      </c>
      <c r="C14" t="s">
        <v>76</v>
      </c>
      <c r="D14" t="s">
        <v>123</v>
      </c>
      <c r="H14" t="s">
        <v>78</v>
      </c>
      <c r="K14">
        <v>343.5</v>
      </c>
    </row>
    <row r="15" spans="1:13" x14ac:dyDescent="0.3">
      <c r="A15">
        <v>2194</v>
      </c>
      <c r="B15" t="s">
        <v>112</v>
      </c>
      <c r="C15" t="s">
        <v>76</v>
      </c>
      <c r="D15" t="s">
        <v>124</v>
      </c>
      <c r="H15" t="s">
        <v>78</v>
      </c>
    </row>
    <row r="16" spans="1:13" x14ac:dyDescent="0.3">
      <c r="A16">
        <v>2167</v>
      </c>
      <c r="B16" t="s">
        <v>96</v>
      </c>
      <c r="C16" t="s">
        <v>76</v>
      </c>
      <c r="D16" t="s">
        <v>98</v>
      </c>
      <c r="H16" t="s">
        <v>78</v>
      </c>
      <c r="I16">
        <v>805</v>
      </c>
      <c r="J16" t="s">
        <v>164</v>
      </c>
      <c r="K16">
        <v>40</v>
      </c>
    </row>
    <row r="17" spans="1:13" x14ac:dyDescent="0.3">
      <c r="A17">
        <v>2164</v>
      </c>
      <c r="B17" t="s">
        <v>99</v>
      </c>
      <c r="C17" t="s">
        <v>95</v>
      </c>
      <c r="D17" t="s">
        <v>101</v>
      </c>
      <c r="H17" t="s">
        <v>78</v>
      </c>
      <c r="I17">
        <v>805</v>
      </c>
      <c r="J17" t="s">
        <v>164</v>
      </c>
      <c r="L17">
        <v>31</v>
      </c>
      <c r="M17">
        <v>96</v>
      </c>
    </row>
    <row r="18" spans="1:13" x14ac:dyDescent="0.3">
      <c r="A18">
        <v>2161</v>
      </c>
      <c r="B18" t="s">
        <v>112</v>
      </c>
      <c r="C18" t="s">
        <v>76</v>
      </c>
      <c r="D18" t="s">
        <v>125</v>
      </c>
      <c r="H18" t="s">
        <v>78</v>
      </c>
    </row>
    <row r="19" spans="1:13" x14ac:dyDescent="0.3">
      <c r="A19">
        <v>2158</v>
      </c>
      <c r="B19" t="s">
        <v>112</v>
      </c>
      <c r="C19" t="s">
        <v>76</v>
      </c>
      <c r="D19" t="s">
        <v>126</v>
      </c>
      <c r="H19" t="s">
        <v>78</v>
      </c>
    </row>
    <row r="20" spans="1:13" x14ac:dyDescent="0.3">
      <c r="A20">
        <v>2155</v>
      </c>
      <c r="B20" t="s">
        <v>112</v>
      </c>
      <c r="C20" t="s">
        <v>72</v>
      </c>
      <c r="D20" t="s">
        <v>127</v>
      </c>
      <c r="H20" t="s">
        <v>78</v>
      </c>
    </row>
    <row r="21" spans="1:13" x14ac:dyDescent="0.3">
      <c r="A21">
        <v>2152</v>
      </c>
      <c r="B21" t="s">
        <v>112</v>
      </c>
      <c r="C21" t="s">
        <v>113</v>
      </c>
      <c r="D21" t="s">
        <v>128</v>
      </c>
      <c r="H21" t="s">
        <v>78</v>
      </c>
    </row>
    <row r="22" spans="1:13" x14ac:dyDescent="0.3">
      <c r="A22">
        <v>2149</v>
      </c>
      <c r="B22" t="s">
        <v>112</v>
      </c>
      <c r="C22" t="s">
        <v>113</v>
      </c>
      <c r="D22" t="s">
        <v>129</v>
      </c>
      <c r="H22" t="s">
        <v>78</v>
      </c>
    </row>
    <row r="23" spans="1:13" x14ac:dyDescent="0.3">
      <c r="A23">
        <v>2146</v>
      </c>
      <c r="B23" t="s">
        <v>112</v>
      </c>
      <c r="C23" t="s">
        <v>113</v>
      </c>
      <c r="D23" t="s">
        <v>130</v>
      </c>
      <c r="H23" t="s">
        <v>78</v>
      </c>
    </row>
    <row r="24" spans="1:13" x14ac:dyDescent="0.3">
      <c r="A24">
        <v>2095</v>
      </c>
      <c r="B24" t="s">
        <v>99</v>
      </c>
      <c r="C24" t="s">
        <v>95</v>
      </c>
      <c r="D24" t="s">
        <v>100</v>
      </c>
      <c r="H24" t="s">
        <v>78</v>
      </c>
      <c r="I24">
        <v>462</v>
      </c>
      <c r="J24" t="s">
        <v>166</v>
      </c>
      <c r="L24">
        <v>31</v>
      </c>
      <c r="M24">
        <v>96</v>
      </c>
    </row>
    <row r="25" spans="1:13" x14ac:dyDescent="0.3">
      <c r="A25">
        <v>2092</v>
      </c>
      <c r="B25" t="s">
        <v>96</v>
      </c>
      <c r="C25" t="s">
        <v>95</v>
      </c>
      <c r="D25" t="s">
        <v>97</v>
      </c>
      <c r="E25">
        <v>160</v>
      </c>
      <c r="H25" t="s">
        <v>78</v>
      </c>
      <c r="I25">
        <v>462</v>
      </c>
      <c r="J25" t="s">
        <v>166</v>
      </c>
      <c r="K25">
        <v>40</v>
      </c>
    </row>
    <row r="26" spans="1:13" x14ac:dyDescent="0.3">
      <c r="A26">
        <v>2071</v>
      </c>
      <c r="B26" t="s">
        <v>71</v>
      </c>
      <c r="C26" t="s">
        <v>72</v>
      </c>
      <c r="D26" t="s">
        <v>73</v>
      </c>
      <c r="H26" t="s">
        <v>74</v>
      </c>
      <c r="J26" t="s">
        <v>168</v>
      </c>
      <c r="M26">
        <v>6</v>
      </c>
    </row>
    <row r="27" spans="1:13" x14ac:dyDescent="0.3">
      <c r="A27">
        <v>2044</v>
      </c>
      <c r="B27" t="s">
        <v>112</v>
      </c>
      <c r="C27" t="s">
        <v>72</v>
      </c>
      <c r="D27" t="s">
        <v>131</v>
      </c>
      <c r="H27" t="s">
        <v>78</v>
      </c>
    </row>
    <row r="28" spans="1:13" x14ac:dyDescent="0.3">
      <c r="A28">
        <v>2023</v>
      </c>
      <c r="B28" t="s">
        <v>109</v>
      </c>
      <c r="C28" t="s">
        <v>110</v>
      </c>
      <c r="D28" t="s">
        <v>132</v>
      </c>
      <c r="H28" t="s">
        <v>88</v>
      </c>
      <c r="J28" t="s">
        <v>166</v>
      </c>
    </row>
    <row r="29" spans="1:13" x14ac:dyDescent="0.3">
      <c r="A29">
        <v>2020</v>
      </c>
      <c r="B29" t="s">
        <v>75</v>
      </c>
      <c r="C29" t="s">
        <v>76</v>
      </c>
      <c r="D29" t="s">
        <v>77</v>
      </c>
      <c r="H29" t="s">
        <v>78</v>
      </c>
      <c r="J29" t="s">
        <v>168</v>
      </c>
    </row>
    <row r="30" spans="1:13" x14ac:dyDescent="0.3">
      <c r="A30">
        <v>1990</v>
      </c>
      <c r="B30" t="s">
        <v>75</v>
      </c>
      <c r="C30" t="s">
        <v>79</v>
      </c>
      <c r="D30" t="s">
        <v>80</v>
      </c>
      <c r="H30" t="s">
        <v>78</v>
      </c>
      <c r="J30" t="s">
        <v>168</v>
      </c>
    </row>
    <row r="31" spans="1:13" x14ac:dyDescent="0.3">
      <c r="A31">
        <v>1987</v>
      </c>
      <c r="B31" t="s">
        <v>75</v>
      </c>
      <c r="C31" t="s">
        <v>110</v>
      </c>
      <c r="D31" t="s">
        <v>133</v>
      </c>
      <c r="H31" t="s">
        <v>78</v>
      </c>
      <c r="J31" t="s">
        <v>170</v>
      </c>
    </row>
    <row r="32" spans="1:13" x14ac:dyDescent="0.3">
      <c r="A32">
        <v>1984</v>
      </c>
      <c r="B32" t="s">
        <v>75</v>
      </c>
      <c r="C32" t="s">
        <v>72</v>
      </c>
      <c r="D32" t="s">
        <v>81</v>
      </c>
      <c r="E32">
        <v>2</v>
      </c>
      <c r="G32">
        <v>8</v>
      </c>
      <c r="H32" t="s">
        <v>74</v>
      </c>
      <c r="J32" t="s">
        <v>168</v>
      </c>
      <c r="M32">
        <v>10</v>
      </c>
    </row>
    <row r="33" spans="1:13" x14ac:dyDescent="0.3">
      <c r="A33">
        <v>1981</v>
      </c>
      <c r="B33" t="s">
        <v>75</v>
      </c>
      <c r="C33" t="s">
        <v>79</v>
      </c>
      <c r="D33" t="s">
        <v>82</v>
      </c>
      <c r="H33" t="s">
        <v>78</v>
      </c>
      <c r="J33" t="s">
        <v>168</v>
      </c>
    </row>
    <row r="34" spans="1:13" x14ac:dyDescent="0.3">
      <c r="A34">
        <v>1978</v>
      </c>
      <c r="B34" t="s">
        <v>75</v>
      </c>
      <c r="C34" t="s">
        <v>110</v>
      </c>
      <c r="D34" t="s">
        <v>134</v>
      </c>
      <c r="H34" t="s">
        <v>78</v>
      </c>
      <c r="J34" t="s">
        <v>165</v>
      </c>
    </row>
    <row r="35" spans="1:13" x14ac:dyDescent="0.3">
      <c r="A35">
        <v>1975</v>
      </c>
      <c r="B35" t="s">
        <v>75</v>
      </c>
      <c r="C35" t="s">
        <v>83</v>
      </c>
      <c r="D35" t="s">
        <v>84</v>
      </c>
      <c r="E35">
        <v>44</v>
      </c>
      <c r="F35">
        <v>24</v>
      </c>
      <c r="G35">
        <v>32</v>
      </c>
      <c r="H35" t="s">
        <v>78</v>
      </c>
      <c r="J35" t="s">
        <v>168</v>
      </c>
    </row>
    <row r="36" spans="1:13" x14ac:dyDescent="0.3">
      <c r="A36">
        <v>1972</v>
      </c>
      <c r="B36" t="s">
        <v>75</v>
      </c>
      <c r="C36" t="s">
        <v>79</v>
      </c>
      <c r="D36" t="s">
        <v>85</v>
      </c>
      <c r="H36" t="s">
        <v>78</v>
      </c>
      <c r="J36" t="s">
        <v>168</v>
      </c>
    </row>
    <row r="37" spans="1:13" x14ac:dyDescent="0.3">
      <c r="A37">
        <v>1969</v>
      </c>
      <c r="B37" t="s">
        <v>75</v>
      </c>
      <c r="C37" t="s">
        <v>83</v>
      </c>
      <c r="D37" t="s">
        <v>86</v>
      </c>
      <c r="E37">
        <v>28</v>
      </c>
      <c r="F37">
        <v>10</v>
      </c>
      <c r="G37">
        <v>16</v>
      </c>
      <c r="H37" t="s">
        <v>74</v>
      </c>
      <c r="J37" t="s">
        <v>168</v>
      </c>
    </row>
    <row r="38" spans="1:13" x14ac:dyDescent="0.3">
      <c r="A38">
        <v>1966</v>
      </c>
      <c r="B38" t="s">
        <v>75</v>
      </c>
      <c r="C38" t="s">
        <v>72</v>
      </c>
      <c r="D38" t="s">
        <v>63</v>
      </c>
      <c r="E38">
        <v>10</v>
      </c>
      <c r="F38">
        <v>19</v>
      </c>
      <c r="G38">
        <v>48</v>
      </c>
      <c r="H38" t="s">
        <v>74</v>
      </c>
      <c r="J38" t="s">
        <v>168</v>
      </c>
      <c r="L38">
        <v>16</v>
      </c>
      <c r="M38">
        <v>52</v>
      </c>
    </row>
    <row r="39" spans="1:13" x14ac:dyDescent="0.3">
      <c r="A39">
        <v>1963</v>
      </c>
      <c r="B39" t="s">
        <v>75</v>
      </c>
      <c r="C39" t="s">
        <v>156</v>
      </c>
      <c r="D39" t="s">
        <v>157</v>
      </c>
      <c r="H39" t="s">
        <v>88</v>
      </c>
      <c r="J39" t="s">
        <v>166</v>
      </c>
    </row>
    <row r="40" spans="1:13" x14ac:dyDescent="0.3">
      <c r="A40">
        <v>1960</v>
      </c>
      <c r="B40" t="s">
        <v>71</v>
      </c>
      <c r="C40" t="s">
        <v>72</v>
      </c>
      <c r="D40" t="s">
        <v>92</v>
      </c>
      <c r="H40" t="s">
        <v>93</v>
      </c>
      <c r="J40" t="s">
        <v>170</v>
      </c>
    </row>
    <row r="41" spans="1:13" x14ac:dyDescent="0.3">
      <c r="A41">
        <v>1951</v>
      </c>
      <c r="B41" t="s">
        <v>75</v>
      </c>
      <c r="C41" t="s">
        <v>79</v>
      </c>
      <c r="D41" t="s">
        <v>87</v>
      </c>
      <c r="H41" t="s">
        <v>88</v>
      </c>
      <c r="J41" t="s">
        <v>168</v>
      </c>
    </row>
    <row r="42" spans="1:13" x14ac:dyDescent="0.3">
      <c r="A42">
        <v>1945</v>
      </c>
      <c r="B42" t="s">
        <v>75</v>
      </c>
      <c r="C42" t="s">
        <v>79</v>
      </c>
      <c r="D42" t="s">
        <v>89</v>
      </c>
      <c r="H42" t="s">
        <v>88</v>
      </c>
      <c r="J42" t="s">
        <v>168</v>
      </c>
    </row>
    <row r="43" spans="1:13" x14ac:dyDescent="0.3">
      <c r="A43">
        <v>1939</v>
      </c>
      <c r="B43" t="s">
        <v>71</v>
      </c>
      <c r="C43" t="s">
        <v>95</v>
      </c>
      <c r="D43" t="s">
        <v>94</v>
      </c>
      <c r="H43" t="s">
        <v>78</v>
      </c>
      <c r="J43" t="s">
        <v>165</v>
      </c>
    </row>
    <row r="44" spans="1:13" x14ac:dyDescent="0.3">
      <c r="A44">
        <v>1897</v>
      </c>
      <c r="B44" t="s">
        <v>107</v>
      </c>
      <c r="C44" t="s">
        <v>95</v>
      </c>
      <c r="D44" t="s">
        <v>135</v>
      </c>
      <c r="H44" t="s">
        <v>78</v>
      </c>
    </row>
    <row r="45" spans="1:13" x14ac:dyDescent="0.3">
      <c r="A45">
        <v>1858</v>
      </c>
      <c r="B45" t="s">
        <v>136</v>
      </c>
      <c r="C45" t="s">
        <v>110</v>
      </c>
      <c r="D45" t="s">
        <v>137</v>
      </c>
      <c r="H45" t="s">
        <v>78</v>
      </c>
      <c r="J45" t="s">
        <v>171</v>
      </c>
      <c r="L45">
        <v>24</v>
      </c>
      <c r="M45">
        <v>56</v>
      </c>
    </row>
    <row r="46" spans="1:13" x14ac:dyDescent="0.3">
      <c r="A46">
        <v>1852</v>
      </c>
      <c r="B46" t="s">
        <v>112</v>
      </c>
      <c r="C46" t="s">
        <v>76</v>
      </c>
      <c r="D46" t="s">
        <v>138</v>
      </c>
      <c r="H46" t="s">
        <v>78</v>
      </c>
    </row>
    <row r="47" spans="1:13" x14ac:dyDescent="0.3">
      <c r="A47">
        <v>1849</v>
      </c>
      <c r="B47" t="s">
        <v>112</v>
      </c>
      <c r="C47" t="s">
        <v>76</v>
      </c>
      <c r="D47" t="s">
        <v>139</v>
      </c>
      <c r="H47" t="s">
        <v>78</v>
      </c>
    </row>
    <row r="48" spans="1:13" x14ac:dyDescent="0.3">
      <c r="A48">
        <v>1846</v>
      </c>
      <c r="B48" t="s">
        <v>112</v>
      </c>
      <c r="C48" t="s">
        <v>76</v>
      </c>
      <c r="D48" t="s">
        <v>140</v>
      </c>
      <c r="H48" t="s">
        <v>78</v>
      </c>
    </row>
    <row r="49" spans="1:13" x14ac:dyDescent="0.3">
      <c r="A49">
        <v>1843</v>
      </c>
      <c r="B49" t="s">
        <v>112</v>
      </c>
      <c r="C49" t="s">
        <v>76</v>
      </c>
      <c r="D49" t="s">
        <v>140</v>
      </c>
      <c r="H49" t="s">
        <v>78</v>
      </c>
    </row>
    <row r="50" spans="1:13" x14ac:dyDescent="0.3">
      <c r="A50">
        <v>1708</v>
      </c>
      <c r="B50" t="s">
        <v>99</v>
      </c>
      <c r="C50" t="s">
        <v>72</v>
      </c>
      <c r="D50" t="s">
        <v>56</v>
      </c>
      <c r="H50" t="s">
        <v>78</v>
      </c>
      <c r="I50">
        <v>462</v>
      </c>
      <c r="J50" t="s">
        <v>166</v>
      </c>
      <c r="L50">
        <v>150</v>
      </c>
      <c r="M50">
        <v>396</v>
      </c>
    </row>
    <row r="51" spans="1:13" x14ac:dyDescent="0.3">
      <c r="A51">
        <v>1705</v>
      </c>
      <c r="B51" t="s">
        <v>96</v>
      </c>
      <c r="C51" t="s">
        <v>72</v>
      </c>
      <c r="D51" t="s">
        <v>55</v>
      </c>
      <c r="E51">
        <v>160</v>
      </c>
      <c r="H51" t="s">
        <v>78</v>
      </c>
      <c r="I51">
        <v>462</v>
      </c>
      <c r="J51" t="s">
        <v>166</v>
      </c>
      <c r="K51">
        <v>176</v>
      </c>
    </row>
    <row r="52" spans="1:13" x14ac:dyDescent="0.3">
      <c r="A52">
        <v>1684</v>
      </c>
      <c r="B52" t="s">
        <v>75</v>
      </c>
      <c r="C52" t="s">
        <v>76</v>
      </c>
      <c r="D52" t="s">
        <v>141</v>
      </c>
      <c r="H52" t="s">
        <v>78</v>
      </c>
      <c r="J52" t="s">
        <v>172</v>
      </c>
    </row>
    <row r="53" spans="1:13" x14ac:dyDescent="0.3">
      <c r="A53">
        <v>1651</v>
      </c>
      <c r="B53" t="s">
        <v>75</v>
      </c>
      <c r="C53" t="s">
        <v>95</v>
      </c>
      <c r="D53" t="s">
        <v>60</v>
      </c>
      <c r="E53">
        <v>56</v>
      </c>
      <c r="F53">
        <v>74</v>
      </c>
      <c r="G53">
        <v>138</v>
      </c>
      <c r="H53" t="s">
        <v>78</v>
      </c>
      <c r="J53" t="s">
        <v>170</v>
      </c>
      <c r="K53">
        <v>44</v>
      </c>
      <c r="L53">
        <v>84</v>
      </c>
      <c r="M53">
        <v>148.75</v>
      </c>
    </row>
    <row r="54" spans="1:13" x14ac:dyDescent="0.3">
      <c r="A54">
        <v>1624</v>
      </c>
      <c r="B54" t="s">
        <v>136</v>
      </c>
      <c r="C54" t="s">
        <v>76</v>
      </c>
      <c r="D54" t="s">
        <v>61</v>
      </c>
      <c r="H54" t="s">
        <v>78</v>
      </c>
      <c r="J54" t="s">
        <v>170</v>
      </c>
      <c r="K54">
        <v>16</v>
      </c>
    </row>
    <row r="55" spans="1:13" x14ac:dyDescent="0.3">
      <c r="A55">
        <v>1606</v>
      </c>
      <c r="B55" t="s">
        <v>75</v>
      </c>
      <c r="C55" t="s">
        <v>158</v>
      </c>
      <c r="D55" t="s">
        <v>57</v>
      </c>
      <c r="E55">
        <v>2</v>
      </c>
      <c r="F55">
        <v>2</v>
      </c>
      <c r="G55">
        <v>8</v>
      </c>
      <c r="H55" t="s">
        <v>78</v>
      </c>
      <c r="J55" t="s">
        <v>168</v>
      </c>
      <c r="K55">
        <v>2</v>
      </c>
      <c r="L55">
        <v>2</v>
      </c>
      <c r="M55">
        <v>8</v>
      </c>
    </row>
    <row r="56" spans="1:13" x14ac:dyDescent="0.3">
      <c r="A56">
        <v>1588</v>
      </c>
      <c r="B56" t="s">
        <v>112</v>
      </c>
      <c r="C56" t="s">
        <v>76</v>
      </c>
      <c r="D56" t="s">
        <v>142</v>
      </c>
      <c r="H56" t="s">
        <v>78</v>
      </c>
      <c r="J56" t="s">
        <v>169</v>
      </c>
    </row>
    <row r="57" spans="1:13" x14ac:dyDescent="0.3">
      <c r="A57">
        <v>1585</v>
      </c>
      <c r="B57" t="s">
        <v>112</v>
      </c>
      <c r="C57" t="s">
        <v>76</v>
      </c>
      <c r="D57" t="s">
        <v>143</v>
      </c>
      <c r="H57" t="s">
        <v>78</v>
      </c>
      <c r="J57" t="s">
        <v>169</v>
      </c>
    </row>
    <row r="58" spans="1:13" x14ac:dyDescent="0.3">
      <c r="A58">
        <v>1582</v>
      </c>
      <c r="B58" t="s">
        <v>112</v>
      </c>
      <c r="C58" t="s">
        <v>76</v>
      </c>
      <c r="D58" t="s">
        <v>144</v>
      </c>
      <c r="H58" t="s">
        <v>78</v>
      </c>
      <c r="J58" t="s">
        <v>169</v>
      </c>
    </row>
    <row r="59" spans="1:13" x14ac:dyDescent="0.3">
      <c r="A59">
        <v>1579</v>
      </c>
      <c r="B59" t="s">
        <v>112</v>
      </c>
      <c r="C59" t="s">
        <v>76</v>
      </c>
      <c r="D59" t="s">
        <v>145</v>
      </c>
      <c r="H59" t="s">
        <v>78</v>
      </c>
      <c r="J59" t="s">
        <v>169</v>
      </c>
    </row>
    <row r="60" spans="1:13" x14ac:dyDescent="0.3">
      <c r="A60">
        <v>1576</v>
      </c>
      <c r="B60" t="s">
        <v>112</v>
      </c>
      <c r="C60" t="s">
        <v>76</v>
      </c>
      <c r="D60" t="s">
        <v>146</v>
      </c>
      <c r="H60" t="s">
        <v>78</v>
      </c>
      <c r="J60" t="s">
        <v>169</v>
      </c>
    </row>
    <row r="61" spans="1:13" x14ac:dyDescent="0.3">
      <c r="A61">
        <v>1549</v>
      </c>
      <c r="B61" t="s">
        <v>75</v>
      </c>
      <c r="C61" t="s">
        <v>158</v>
      </c>
      <c r="D61" t="s">
        <v>58</v>
      </c>
      <c r="E61">
        <v>2</v>
      </c>
      <c r="G61">
        <v>8</v>
      </c>
      <c r="H61" t="s">
        <v>78</v>
      </c>
      <c r="J61" t="s">
        <v>168</v>
      </c>
      <c r="K61">
        <v>2</v>
      </c>
      <c r="M61">
        <v>8</v>
      </c>
    </row>
    <row r="62" spans="1:13" x14ac:dyDescent="0.3">
      <c r="A62">
        <v>1285</v>
      </c>
      <c r="B62" t="s">
        <v>91</v>
      </c>
      <c r="C62" t="s">
        <v>76</v>
      </c>
      <c r="D62" t="s">
        <v>54</v>
      </c>
      <c r="E62">
        <v>60</v>
      </c>
      <c r="F62">
        <v>60</v>
      </c>
      <c r="G62">
        <v>160</v>
      </c>
      <c r="H62" t="s">
        <v>78</v>
      </c>
      <c r="J62" t="s">
        <v>169</v>
      </c>
      <c r="L62">
        <v>17.5</v>
      </c>
      <c r="M62">
        <v>112</v>
      </c>
    </row>
    <row r="63" spans="1:13" x14ac:dyDescent="0.3">
      <c r="A63">
        <v>1282</v>
      </c>
      <c r="B63" t="s">
        <v>91</v>
      </c>
      <c r="C63" t="s">
        <v>76</v>
      </c>
      <c r="D63" t="s">
        <v>53</v>
      </c>
      <c r="E63">
        <v>148</v>
      </c>
      <c r="F63">
        <v>96</v>
      </c>
      <c r="G63">
        <v>176</v>
      </c>
      <c r="H63" t="s">
        <v>78</v>
      </c>
      <c r="J63" t="s">
        <v>173</v>
      </c>
      <c r="K63">
        <v>7</v>
      </c>
      <c r="L63">
        <v>7</v>
      </c>
      <c r="M63">
        <v>79.5</v>
      </c>
    </row>
    <row r="64" spans="1:13" x14ac:dyDescent="0.3">
      <c r="A64">
        <v>1279</v>
      </c>
      <c r="B64" t="s">
        <v>91</v>
      </c>
      <c r="C64" t="s">
        <v>76</v>
      </c>
      <c r="D64" t="s">
        <v>52</v>
      </c>
      <c r="E64">
        <v>148</v>
      </c>
      <c r="F64">
        <v>96</v>
      </c>
      <c r="G64">
        <v>176</v>
      </c>
      <c r="H64" t="s">
        <v>78</v>
      </c>
      <c r="J64" t="s">
        <v>167</v>
      </c>
      <c r="K64">
        <v>12</v>
      </c>
      <c r="L64">
        <v>7</v>
      </c>
      <c r="M64">
        <v>124</v>
      </c>
    </row>
    <row r="65" spans="1:13" x14ac:dyDescent="0.3">
      <c r="A65">
        <v>1276</v>
      </c>
      <c r="B65" t="s">
        <v>91</v>
      </c>
      <c r="C65" t="s">
        <v>76</v>
      </c>
      <c r="D65" t="s">
        <v>51</v>
      </c>
      <c r="E65">
        <v>148</v>
      </c>
      <c r="F65">
        <v>96</v>
      </c>
      <c r="G65">
        <v>176</v>
      </c>
      <c r="H65" t="s">
        <v>78</v>
      </c>
      <c r="J65" t="s">
        <v>174</v>
      </c>
      <c r="K65">
        <v>8</v>
      </c>
      <c r="M65">
        <v>96.5</v>
      </c>
    </row>
    <row r="66" spans="1:13" x14ac:dyDescent="0.3">
      <c r="A66">
        <v>1273</v>
      </c>
      <c r="B66" t="s">
        <v>75</v>
      </c>
      <c r="C66" t="s">
        <v>95</v>
      </c>
      <c r="D66" t="s">
        <v>59</v>
      </c>
      <c r="E66">
        <v>74</v>
      </c>
      <c r="F66">
        <v>86</v>
      </c>
      <c r="G66">
        <v>240</v>
      </c>
      <c r="H66" t="s">
        <v>78</v>
      </c>
      <c r="J66" t="s">
        <v>165</v>
      </c>
      <c r="K66">
        <v>24</v>
      </c>
      <c r="L66">
        <v>48</v>
      </c>
      <c r="M66">
        <v>138.5</v>
      </c>
    </row>
    <row r="67" spans="1:13" x14ac:dyDescent="0.3">
      <c r="A67">
        <v>1213</v>
      </c>
      <c r="B67" t="s">
        <v>96</v>
      </c>
      <c r="C67" t="s">
        <v>72</v>
      </c>
      <c r="D67" t="s">
        <v>147</v>
      </c>
      <c r="H67" t="s">
        <v>78</v>
      </c>
      <c r="I67">
        <v>805</v>
      </c>
      <c r="J67" t="s">
        <v>164</v>
      </c>
      <c r="K67">
        <v>304</v>
      </c>
    </row>
    <row r="68" spans="1:13" x14ac:dyDescent="0.3">
      <c r="A68">
        <v>1207</v>
      </c>
      <c r="B68" t="s">
        <v>96</v>
      </c>
      <c r="C68" t="s">
        <v>72</v>
      </c>
      <c r="D68" t="s">
        <v>50</v>
      </c>
      <c r="E68">
        <v>160</v>
      </c>
      <c r="H68" t="s">
        <v>78</v>
      </c>
      <c r="I68">
        <v>462</v>
      </c>
      <c r="J68" t="s">
        <v>166</v>
      </c>
      <c r="K68">
        <v>160</v>
      </c>
    </row>
    <row r="69" spans="1:13" x14ac:dyDescent="0.3">
      <c r="A69">
        <v>1204</v>
      </c>
      <c r="B69" t="s">
        <v>107</v>
      </c>
      <c r="C69" t="s">
        <v>158</v>
      </c>
      <c r="D69" t="s">
        <v>159</v>
      </c>
      <c r="H69" t="s">
        <v>78</v>
      </c>
      <c r="M69">
        <v>34</v>
      </c>
    </row>
    <row r="70" spans="1:13" x14ac:dyDescent="0.3">
      <c r="A70">
        <v>1072</v>
      </c>
      <c r="B70" t="s">
        <v>99</v>
      </c>
      <c r="C70" t="s">
        <v>72</v>
      </c>
      <c r="D70" t="s">
        <v>46</v>
      </c>
      <c r="H70" t="s">
        <v>78</v>
      </c>
      <c r="I70">
        <v>805</v>
      </c>
      <c r="J70" t="s">
        <v>164</v>
      </c>
      <c r="L70">
        <v>385.5</v>
      </c>
      <c r="M70">
        <v>844</v>
      </c>
    </row>
    <row r="71" spans="1:13" x14ac:dyDescent="0.3">
      <c r="A71">
        <v>1069</v>
      </c>
      <c r="B71" t="s">
        <v>96</v>
      </c>
      <c r="C71" t="s">
        <v>72</v>
      </c>
      <c r="D71" t="s">
        <v>45</v>
      </c>
      <c r="H71" t="s">
        <v>78</v>
      </c>
      <c r="I71">
        <v>805</v>
      </c>
      <c r="J71" t="s">
        <v>164</v>
      </c>
      <c r="K71">
        <v>48</v>
      </c>
    </row>
    <row r="72" spans="1:13" x14ac:dyDescent="0.3">
      <c r="A72">
        <v>805</v>
      </c>
      <c r="B72" t="s">
        <v>136</v>
      </c>
      <c r="C72" t="s">
        <v>95</v>
      </c>
      <c r="D72" t="s">
        <v>148</v>
      </c>
      <c r="H72" t="s">
        <v>78</v>
      </c>
      <c r="J72" t="s">
        <v>164</v>
      </c>
      <c r="K72">
        <v>51</v>
      </c>
      <c r="L72">
        <v>25</v>
      </c>
    </row>
    <row r="73" spans="1:13" x14ac:dyDescent="0.3">
      <c r="A73">
        <v>799</v>
      </c>
      <c r="B73" t="s">
        <v>75</v>
      </c>
      <c r="C73" t="s">
        <v>72</v>
      </c>
      <c r="D73" t="s">
        <v>44</v>
      </c>
      <c r="H73" t="s">
        <v>78</v>
      </c>
      <c r="J73" t="s">
        <v>170</v>
      </c>
      <c r="K73">
        <v>70</v>
      </c>
      <c r="L73">
        <v>66</v>
      </c>
      <c r="M73">
        <v>288.25</v>
      </c>
    </row>
    <row r="74" spans="1:13" x14ac:dyDescent="0.3">
      <c r="A74">
        <v>796</v>
      </c>
      <c r="B74" t="s">
        <v>91</v>
      </c>
      <c r="C74" t="s">
        <v>72</v>
      </c>
      <c r="D74" t="s">
        <v>42</v>
      </c>
      <c r="E74">
        <v>94</v>
      </c>
      <c r="F74">
        <v>122</v>
      </c>
      <c r="G74">
        <v>322</v>
      </c>
      <c r="H74" t="s">
        <v>78</v>
      </c>
      <c r="J74" t="s">
        <v>175</v>
      </c>
      <c r="K74">
        <v>62</v>
      </c>
      <c r="L74">
        <v>128</v>
      </c>
      <c r="M74">
        <v>319</v>
      </c>
    </row>
    <row r="75" spans="1:13" x14ac:dyDescent="0.3">
      <c r="A75">
        <v>766</v>
      </c>
      <c r="B75" t="s">
        <v>99</v>
      </c>
      <c r="C75" t="s">
        <v>72</v>
      </c>
      <c r="D75" t="s">
        <v>41</v>
      </c>
      <c r="H75" t="s">
        <v>78</v>
      </c>
      <c r="I75">
        <v>462</v>
      </c>
      <c r="J75" t="s">
        <v>166</v>
      </c>
      <c r="L75">
        <v>184</v>
      </c>
      <c r="M75">
        <v>391.5</v>
      </c>
    </row>
    <row r="76" spans="1:13" x14ac:dyDescent="0.3">
      <c r="A76">
        <v>763</v>
      </c>
      <c r="B76" t="s">
        <v>96</v>
      </c>
      <c r="C76" t="s">
        <v>72</v>
      </c>
      <c r="D76" t="s">
        <v>40</v>
      </c>
      <c r="E76">
        <v>48</v>
      </c>
      <c r="H76" t="s">
        <v>78</v>
      </c>
      <c r="I76">
        <v>462</v>
      </c>
      <c r="J76" t="s">
        <v>166</v>
      </c>
      <c r="K76">
        <v>48</v>
      </c>
    </row>
    <row r="77" spans="1:13" x14ac:dyDescent="0.3">
      <c r="A77">
        <v>733</v>
      </c>
      <c r="B77" t="s">
        <v>107</v>
      </c>
      <c r="C77" t="s">
        <v>158</v>
      </c>
      <c r="D77" t="s">
        <v>160</v>
      </c>
      <c r="H77" t="s">
        <v>78</v>
      </c>
    </row>
    <row r="78" spans="1:13" x14ac:dyDescent="0.3">
      <c r="A78">
        <v>475</v>
      </c>
      <c r="B78" t="s">
        <v>136</v>
      </c>
      <c r="C78" t="s">
        <v>110</v>
      </c>
      <c r="D78" t="s">
        <v>149</v>
      </c>
      <c r="H78" t="s">
        <v>78</v>
      </c>
      <c r="J78" t="s">
        <v>176</v>
      </c>
    </row>
    <row r="79" spans="1:13" x14ac:dyDescent="0.3">
      <c r="A79">
        <v>465</v>
      </c>
      <c r="B79" t="s">
        <v>136</v>
      </c>
      <c r="C79" t="s">
        <v>110</v>
      </c>
      <c r="D79" t="s">
        <v>43</v>
      </c>
      <c r="H79" t="s">
        <v>78</v>
      </c>
      <c r="J79" t="s">
        <v>165</v>
      </c>
      <c r="K79">
        <v>260</v>
      </c>
      <c r="L79">
        <v>154</v>
      </c>
      <c r="M79">
        <v>48</v>
      </c>
    </row>
    <row r="80" spans="1:13" x14ac:dyDescent="0.3">
      <c r="A80">
        <v>464</v>
      </c>
      <c r="B80" t="s">
        <v>136</v>
      </c>
      <c r="C80" t="s">
        <v>110</v>
      </c>
      <c r="D80" t="s">
        <v>150</v>
      </c>
      <c r="H80" t="s">
        <v>78</v>
      </c>
      <c r="J80" t="s">
        <v>177</v>
      </c>
    </row>
    <row r="81" spans="1:13" x14ac:dyDescent="0.3">
      <c r="A81">
        <v>462</v>
      </c>
      <c r="B81" t="s">
        <v>136</v>
      </c>
      <c r="C81" t="s">
        <v>95</v>
      </c>
      <c r="D81" t="s">
        <v>47</v>
      </c>
      <c r="H81" t="s">
        <v>78</v>
      </c>
      <c r="J81" t="s">
        <v>166</v>
      </c>
      <c r="K81">
        <v>32</v>
      </c>
      <c r="L81">
        <v>16</v>
      </c>
    </row>
    <row r="82" spans="1:13" x14ac:dyDescent="0.3">
      <c r="A82">
        <v>439</v>
      </c>
      <c r="B82" t="s">
        <v>75</v>
      </c>
      <c r="C82" t="s">
        <v>83</v>
      </c>
      <c r="D82" t="s">
        <v>90</v>
      </c>
      <c r="E82">
        <v>44</v>
      </c>
      <c r="F82">
        <v>24</v>
      </c>
      <c r="G82">
        <v>24</v>
      </c>
      <c r="H82" t="s">
        <v>88</v>
      </c>
      <c r="J82" t="s">
        <v>168</v>
      </c>
    </row>
    <row r="83" spans="1:13" x14ac:dyDescent="0.3">
      <c r="A83">
        <v>427</v>
      </c>
      <c r="B83" t="s">
        <v>107</v>
      </c>
      <c r="C83" t="s">
        <v>158</v>
      </c>
      <c r="D83" t="s">
        <v>161</v>
      </c>
      <c r="H83" t="s">
        <v>78</v>
      </c>
    </row>
    <row r="84" spans="1:13" x14ac:dyDescent="0.3">
      <c r="A84">
        <v>402</v>
      </c>
      <c r="B84" t="s">
        <v>107</v>
      </c>
      <c r="C84" t="s">
        <v>158</v>
      </c>
      <c r="D84" t="s">
        <v>162</v>
      </c>
      <c r="H84" t="s">
        <v>78</v>
      </c>
    </row>
    <row r="85" spans="1:13" x14ac:dyDescent="0.3">
      <c r="A85">
        <v>401</v>
      </c>
      <c r="B85" t="s">
        <v>107</v>
      </c>
      <c r="C85" t="s">
        <v>158</v>
      </c>
      <c r="D85" t="s">
        <v>163</v>
      </c>
      <c r="H85" t="s">
        <v>78</v>
      </c>
    </row>
    <row r="86" spans="1:13" x14ac:dyDescent="0.3">
      <c r="A86">
        <v>397</v>
      </c>
      <c r="B86" t="s">
        <v>91</v>
      </c>
      <c r="C86" t="s">
        <v>72</v>
      </c>
      <c r="D86" t="s">
        <v>13</v>
      </c>
      <c r="E86">
        <v>298</v>
      </c>
      <c r="F86">
        <v>192</v>
      </c>
      <c r="G86">
        <v>0</v>
      </c>
      <c r="H86" t="s">
        <v>78</v>
      </c>
      <c r="J86" t="s">
        <v>178</v>
      </c>
      <c r="K86">
        <v>146.5</v>
      </c>
      <c r="L86">
        <v>83.5</v>
      </c>
      <c r="M86">
        <v>8.5</v>
      </c>
    </row>
    <row r="87" spans="1:13" x14ac:dyDescent="0.3">
      <c r="A87">
        <v>396</v>
      </c>
      <c r="B87" t="s">
        <v>91</v>
      </c>
      <c r="C87" t="s">
        <v>72</v>
      </c>
      <c r="D87" t="s">
        <v>12</v>
      </c>
      <c r="E87">
        <v>286</v>
      </c>
      <c r="F87">
        <v>184</v>
      </c>
      <c r="G87">
        <v>0</v>
      </c>
      <c r="H87" t="s">
        <v>78</v>
      </c>
      <c r="J87" t="s">
        <v>168</v>
      </c>
      <c r="K87">
        <v>119.25</v>
      </c>
      <c r="L87">
        <v>49.75</v>
      </c>
      <c r="M87">
        <v>7</v>
      </c>
    </row>
    <row r="88" spans="1:13" x14ac:dyDescent="0.3">
      <c r="A88">
        <v>395</v>
      </c>
      <c r="B88" t="s">
        <v>91</v>
      </c>
      <c r="C88" t="s">
        <v>72</v>
      </c>
      <c r="D88" t="s">
        <v>11</v>
      </c>
      <c r="E88">
        <v>274</v>
      </c>
      <c r="F88">
        <v>160</v>
      </c>
      <c r="G88">
        <v>0</v>
      </c>
      <c r="H88" t="s">
        <v>78</v>
      </c>
      <c r="J88" t="s">
        <v>165</v>
      </c>
      <c r="K88">
        <v>209.5</v>
      </c>
      <c r="L88">
        <v>146</v>
      </c>
      <c r="M88">
        <v>48.5</v>
      </c>
    </row>
    <row r="89" spans="1:13" x14ac:dyDescent="0.3">
      <c r="A89">
        <v>394</v>
      </c>
      <c r="B89" t="s">
        <v>91</v>
      </c>
      <c r="C89" t="s">
        <v>72</v>
      </c>
      <c r="D89" t="s">
        <v>10</v>
      </c>
      <c r="E89">
        <v>296</v>
      </c>
      <c r="F89">
        <v>164</v>
      </c>
      <c r="G89">
        <v>0</v>
      </c>
      <c r="H89" t="s">
        <v>78</v>
      </c>
      <c r="J89" t="s">
        <v>172</v>
      </c>
      <c r="K89">
        <v>226.75</v>
      </c>
      <c r="L89">
        <v>109.25</v>
      </c>
      <c r="M89">
        <v>19</v>
      </c>
    </row>
    <row r="90" spans="1:13" x14ac:dyDescent="0.3">
      <c r="A90">
        <v>393</v>
      </c>
      <c r="B90" t="s">
        <v>91</v>
      </c>
      <c r="C90" t="s">
        <v>79</v>
      </c>
      <c r="D90" t="s">
        <v>9</v>
      </c>
      <c r="E90">
        <v>414</v>
      </c>
      <c r="F90">
        <v>238</v>
      </c>
      <c r="G90">
        <v>0</v>
      </c>
      <c r="H90" t="s">
        <v>78</v>
      </c>
      <c r="J90" t="s">
        <v>175</v>
      </c>
      <c r="K90">
        <v>398</v>
      </c>
      <c r="L90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Perfiles03</vt:lpstr>
      <vt:lpstr>Perfiles04</vt:lpstr>
      <vt:lpstr>Perfiles05</vt:lpstr>
      <vt:lpstr>Perfiles06</vt:lpstr>
      <vt:lpstr>Perfiles07</vt:lpstr>
      <vt:lpstr>Perfiles08</vt:lpstr>
      <vt:lpstr>Perfiles09</vt:lpstr>
      <vt:lpstr>API_SETA</vt:lpstr>
      <vt:lpstr>SETA AVAN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Manuel Pérez Lobato</dc:creator>
  <cp:lastModifiedBy>Jesús Manuel Pérez</cp:lastModifiedBy>
  <dcterms:created xsi:type="dcterms:W3CDTF">2019-03-25T11:58:24Z</dcterms:created>
  <dcterms:modified xsi:type="dcterms:W3CDTF">2021-07-14T05:57:37Z</dcterms:modified>
</cp:coreProperties>
</file>