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iam&amp;Mary\Winter\AB testing\"/>
    </mc:Choice>
  </mc:AlternateContent>
  <xr:revisionPtr revIDLastSave="0" documentId="13_ncr:1_{32A65A7A-BD3C-49D1-B2ED-9EE5C667BAE3}" xr6:coauthVersionLast="41" xr6:coauthVersionMax="41" xr10:uidLastSave="{00000000-0000-0000-0000-000000000000}"/>
  <bookViews>
    <workbookView xWindow="-108" yWindow="-108" windowWidth="23256" windowHeight="12576" activeTab="3" xr2:uid="{09F5002F-B2EF-4B7E-90B7-C39E1DC94057}"/>
  </bookViews>
  <sheets>
    <sheet name="Sheet1" sheetId="1" r:id="rId1"/>
    <sheet name="Sheet2" sheetId="2" r:id="rId2"/>
    <sheet name="Final project" sheetId="3" r:id="rId3"/>
    <sheet name="Projec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E23" i="3"/>
  <c r="D25" i="3"/>
  <c r="D26" i="3" s="1"/>
  <c r="D24" i="3"/>
  <c r="D23" i="3"/>
  <c r="D22" i="3"/>
  <c r="D20" i="3"/>
  <c r="G8" i="3"/>
  <c r="G6" i="3"/>
  <c r="H6" i="3"/>
  <c r="S37" i="4"/>
  <c r="S35" i="4"/>
  <c r="S36" i="4" s="1"/>
  <c r="T34" i="4"/>
  <c r="S34" i="4"/>
  <c r="T33" i="4"/>
  <c r="S33" i="4"/>
  <c r="T32" i="4"/>
  <c r="S32" i="4"/>
  <c r="T31" i="4"/>
  <c r="S31" i="4"/>
  <c r="T30" i="4"/>
  <c r="S30" i="4"/>
  <c r="T27" i="4"/>
  <c r="T28" i="4" s="1"/>
  <c r="S28" i="4"/>
  <c r="S27" i="4"/>
  <c r="T26" i="4"/>
  <c r="S26" i="4"/>
  <c r="T3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3" i="4"/>
  <c r="H58" i="4"/>
  <c r="H57" i="4"/>
  <c r="H56" i="4"/>
  <c r="H55" i="4"/>
  <c r="F55" i="4"/>
  <c r="O40" i="4"/>
  <c r="F40" i="4"/>
  <c r="F54" i="4"/>
  <c r="F58" i="4" s="1"/>
  <c r="H54" i="4"/>
  <c r="H40" i="4"/>
  <c r="Q40" i="4"/>
  <c r="H53" i="4"/>
  <c r="F57" i="4"/>
  <c r="F56" i="4"/>
  <c r="F53" i="4"/>
  <c r="D43" i="4"/>
  <c r="D42" i="4"/>
  <c r="D55" i="4" s="1"/>
  <c r="M43" i="4"/>
  <c r="D54" i="4"/>
  <c r="D40" i="4"/>
  <c r="E42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3" i="4"/>
  <c r="M40" i="4"/>
  <c r="H8" i="3"/>
  <c r="D56" i="4"/>
  <c r="C58" i="4"/>
  <c r="B58" i="4"/>
  <c r="B57" i="4"/>
  <c r="C57" i="4"/>
  <c r="C55" i="4"/>
  <c r="C56" i="4"/>
  <c r="B56" i="4"/>
  <c r="B55" i="4"/>
  <c r="C51" i="4"/>
  <c r="C50" i="4"/>
  <c r="C49" i="4"/>
  <c r="B51" i="4"/>
  <c r="B50" i="4"/>
  <c r="B49" i="4"/>
  <c r="H5" i="3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4"/>
  <c r="R40" i="4"/>
  <c r="I40" i="4"/>
  <c r="P40" i="4"/>
  <c r="G40" i="4"/>
  <c r="C48" i="4"/>
  <c r="C47" i="4"/>
  <c r="C46" i="4"/>
  <c r="C45" i="4"/>
  <c r="C44" i="4"/>
  <c r="C43" i="4"/>
  <c r="N40" i="4"/>
  <c r="L40" i="4"/>
  <c r="C40" i="4"/>
  <c r="E40" i="4"/>
  <c r="B48" i="4"/>
  <c r="B47" i="4"/>
  <c r="B46" i="4"/>
  <c r="B45" i="4"/>
  <c r="B44" i="4"/>
  <c r="B43" i="4"/>
  <c r="B42" i="4"/>
  <c r="E14" i="3"/>
  <c r="K40" i="4"/>
  <c r="B40" i="4"/>
  <c r="H7" i="3"/>
  <c r="I7" i="3"/>
  <c r="I8" i="3"/>
  <c r="I5" i="3"/>
  <c r="G14" i="3"/>
  <c r="G5" i="3"/>
  <c r="D14" i="3"/>
  <c r="J4" i="3"/>
  <c r="J3" i="3"/>
  <c r="I6" i="3" l="1"/>
  <c r="D57" i="4"/>
  <c r="D58" i="4"/>
  <c r="C42" i="4"/>
  <c r="E7" i="3"/>
  <c r="E8" i="3"/>
  <c r="E6" i="3"/>
  <c r="G7" i="3"/>
  <c r="F4" i="3"/>
  <c r="K2" i="3"/>
  <c r="F3" i="3"/>
  <c r="L26" i="2"/>
  <c r="L27" i="2"/>
  <c r="L28" i="2"/>
  <c r="L25" i="2"/>
  <c r="N24" i="2"/>
  <c r="M24" i="2"/>
  <c r="N20" i="2"/>
  <c r="N19" i="2"/>
  <c r="M7" i="2"/>
  <c r="M5" i="2"/>
  <c r="M4" i="2"/>
  <c r="N4" i="2"/>
  <c r="O4" i="2"/>
  <c r="P4" i="2" s="1"/>
  <c r="L4" i="2"/>
  <c r="C23" i="2"/>
  <c r="C21" i="2"/>
  <c r="H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4" i="2"/>
  <c r="C22" i="2"/>
  <c r="D31" i="1"/>
  <c r="D32" i="1"/>
  <c r="D30" i="1"/>
  <c r="D29" i="1"/>
  <c r="D24" i="1"/>
  <c r="D26" i="1"/>
  <c r="C28" i="1"/>
  <c r="D21" i="1"/>
  <c r="D20" i="1"/>
  <c r="D15" i="1"/>
  <c r="D17" i="1"/>
  <c r="C19" i="1"/>
  <c r="P21" i="1"/>
  <c r="P20" i="1"/>
  <c r="P22" i="1" s="1"/>
  <c r="P24" i="1" s="1"/>
  <c r="M20" i="1"/>
  <c r="M22" i="1"/>
  <c r="M21" i="1"/>
  <c r="N7" i="1"/>
  <c r="M7" i="1"/>
  <c r="L7" i="1"/>
  <c r="L6" i="1"/>
  <c r="L5" i="1"/>
  <c r="J9" i="1"/>
  <c r="J10" i="1" s="1"/>
  <c r="J8" i="1"/>
  <c r="J7" i="1"/>
  <c r="J6" i="1"/>
  <c r="J5" i="1"/>
  <c r="I10" i="1"/>
  <c r="I7" i="1"/>
  <c r="H10" i="1"/>
  <c r="H7" i="1"/>
  <c r="C6" i="1"/>
  <c r="C26" i="2" l="1"/>
  <c r="C25" i="2"/>
</calcChain>
</file>

<file path=xl/sharedStrings.xml><?xml version="1.0" encoding="utf-8"?>
<sst xmlns="http://schemas.openxmlformats.org/spreadsheetml/2006/main" count="205" uniqueCount="138">
  <si>
    <t>NZ</t>
    <phoneticPr fontId="2" type="noConversion"/>
  </si>
  <si>
    <t>control</t>
    <phoneticPr fontId="2" type="noConversion"/>
  </si>
  <si>
    <t>experiment</t>
    <phoneticPr fontId="2" type="noConversion"/>
  </si>
  <si>
    <t>size</t>
    <phoneticPr fontId="2" type="noConversion"/>
  </si>
  <si>
    <t>click</t>
    <phoneticPr fontId="2" type="noConversion"/>
  </si>
  <si>
    <t>other</t>
    <phoneticPr fontId="2" type="noConversion"/>
  </si>
  <si>
    <t>Global</t>
    <phoneticPr fontId="2" type="noConversion"/>
  </si>
  <si>
    <t>global pool</t>
    <phoneticPr fontId="2" type="noConversion"/>
  </si>
  <si>
    <t>se_gpool</t>
    <phoneticPr fontId="2" type="noConversion"/>
  </si>
  <si>
    <t>Z</t>
    <phoneticPr fontId="2" type="noConversion"/>
  </si>
  <si>
    <t>s</t>
    <phoneticPr fontId="2" type="noConversion"/>
  </si>
  <si>
    <t>actual SE</t>
    <phoneticPr fontId="2" type="noConversion"/>
  </si>
  <si>
    <t>p-hat</t>
    <phoneticPr fontId="2" type="noConversion"/>
  </si>
  <si>
    <t>p-null</t>
    <phoneticPr fontId="2" type="noConversion"/>
  </si>
  <si>
    <t>SE</t>
    <phoneticPr fontId="2" type="noConversion"/>
  </si>
  <si>
    <t>n</t>
    <phoneticPr fontId="2" type="noConversion"/>
  </si>
  <si>
    <t>z-critical</t>
    <phoneticPr fontId="2" type="noConversion"/>
  </si>
  <si>
    <t>ME</t>
    <phoneticPr fontId="2" type="noConversion"/>
  </si>
  <si>
    <t>Control # Clicks</t>
  </si>
  <si>
    <t>Control # Pageviews</t>
  </si>
  <si>
    <t>Control CTR</t>
  </si>
  <si>
    <t>Experiment # Clicks</t>
  </si>
  <si>
    <t>Experiment # Pageviews</t>
  </si>
  <si>
    <t>Experiment CTR</t>
  </si>
  <si>
    <t>Total</t>
  </si>
  <si>
    <t>week 1</t>
    <phoneticPr fontId="2" type="noConversion"/>
  </si>
  <si>
    <t>week 2</t>
    <phoneticPr fontId="2" type="noConversion"/>
  </si>
  <si>
    <t>Emp_SE</t>
    <phoneticPr fontId="2" type="noConversion"/>
  </si>
  <si>
    <t>Emp_n</t>
    <phoneticPr fontId="2" type="noConversion"/>
  </si>
  <si>
    <t>effect_size</t>
    <phoneticPr fontId="2" type="noConversion"/>
  </si>
  <si>
    <t>lower</t>
    <phoneticPr fontId="2" type="noConversion"/>
  </si>
  <si>
    <t>upper</t>
    <phoneticPr fontId="2" type="noConversion"/>
  </si>
  <si>
    <t>k</t>
    <phoneticPr fontId="2" type="noConversion"/>
  </si>
  <si>
    <t>N-control</t>
    <phoneticPr fontId="2" type="noConversion"/>
  </si>
  <si>
    <t>X-control</t>
    <phoneticPr fontId="2" type="noConversion"/>
  </si>
  <si>
    <t>N-exp</t>
    <phoneticPr fontId="2" type="noConversion"/>
  </si>
  <si>
    <t>X-exp</t>
    <phoneticPr fontId="2" type="noConversion"/>
  </si>
  <si>
    <t>New users</t>
    <phoneticPr fontId="2" type="noConversion"/>
  </si>
  <si>
    <t>Experienced</t>
    <phoneticPr fontId="2" type="noConversion"/>
  </si>
  <si>
    <t>Total</t>
    <phoneticPr fontId="2" type="noConversion"/>
  </si>
  <si>
    <t>alpha=0.05</t>
    <phoneticPr fontId="2" type="noConversion"/>
  </si>
  <si>
    <t>alpha=0.0125</t>
    <phoneticPr fontId="2" type="noConversion"/>
  </si>
  <si>
    <t>d-hat</t>
    <phoneticPr fontId="2" type="noConversion"/>
  </si>
  <si>
    <t>Unique cookies to view course overview page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</si>
  <si>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</si>
  <si>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</si>
  <si>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</si>
  <si>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</si>
  <si>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metric</t>
    <phoneticPr fontId="2" type="noConversion"/>
  </si>
  <si>
    <t>number of user-ids to complete checkout and enroll in the free trial divided by number of unique cookies to click the "Start free trial" button.</t>
    <phoneticPr fontId="2" type="noConversion"/>
  </si>
  <si>
    <t>Base line</t>
    <phoneticPr fontId="2" type="noConversion"/>
  </si>
  <si>
    <t>Sample</t>
    <phoneticPr fontId="2" type="noConversion"/>
  </si>
  <si>
    <t>number of user-ids to remain enrolled past the 14-day boundary (and thus make at least one payment) divided by number of user-ids to complete checkout.</t>
    <phoneticPr fontId="2" type="noConversion"/>
  </si>
  <si>
    <t>number of user-ids to remain enrolled past the 14-day boundary (and thus make at least one payment) divided by the number of unique cookies to click the "Start free trial" button.</t>
    <phoneticPr fontId="2" type="noConversion"/>
  </si>
  <si>
    <t>invariant</t>
    <phoneticPr fontId="2" type="noConversion"/>
  </si>
  <si>
    <t>decrease</t>
    <phoneticPr fontId="2" type="noConversion"/>
  </si>
  <si>
    <t>Hypothesis</t>
    <phoneticPr fontId="2" type="noConversion"/>
  </si>
  <si>
    <t>increase</t>
    <phoneticPr fontId="2" type="noConversion"/>
  </si>
  <si>
    <t>?decrease</t>
    <phoneticPr fontId="2" type="noConversion"/>
  </si>
  <si>
    <t>d_min</t>
    <phoneticPr fontId="2" type="noConversion"/>
  </si>
  <si>
    <t>Unique cookies to click "Start free trial" per day:</t>
    <phoneticPr fontId="2" type="noConversion"/>
  </si>
  <si>
    <t>Number of UserIDs=Enrollments per day:</t>
    <phoneticPr fontId="2" type="noConversion"/>
  </si>
  <si>
    <t>d_min: relative</t>
    <phoneticPr fontId="2" type="noConversion"/>
  </si>
  <si>
    <t>SE</t>
    <phoneticPr fontId="2" type="noConversion"/>
  </si>
  <si>
    <t>Total pageview</t>
    <phoneticPr fontId="2" type="noConversion"/>
  </si>
  <si>
    <t>days required</t>
    <phoneticPr fontId="2" type="noConversion"/>
  </si>
  <si>
    <t>critical z-score</t>
    <phoneticPr fontId="2" type="noConversion"/>
  </si>
  <si>
    <t>lower</t>
    <phoneticPr fontId="2" type="noConversion"/>
  </si>
  <si>
    <t>upper</t>
    <phoneticPr fontId="2" type="noConversion"/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</si>
  <si>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</si>
  <si>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</si>
  <si>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</si>
  <si>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</si>
  <si>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</si>
  <si>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</si>
  <si>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</si>
  <si>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</si>
  <si>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</si>
  <si>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</si>
  <si>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</si>
  <si>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</si>
  <si>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</si>
  <si>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</si>
  <si>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</si>
  <si>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</si>
  <si>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</si>
  <si>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</si>
  <si>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</si>
  <si>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</si>
  <si>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</si>
  <si>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</si>
  <si>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</si>
  <si>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</si>
  <si>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</si>
  <si>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</si>
  <si>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</si>
  <si>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</si>
  <si>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</si>
  <si>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</si>
  <si>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</si>
  <si>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</si>
  <si>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</si>
  <si>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</si>
  <si>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</si>
  <si>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</si>
  <si>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</si>
  <si>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</si>
  <si>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</si>
  <si>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</si>
  <si>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</si>
  <si>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</si>
  <si>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  <phoneticPr fontId="2" type="noConversion"/>
  </si>
  <si>
    <t>Experiment</t>
    <phoneticPr fontId="2" type="noConversion"/>
  </si>
  <si>
    <t>Divert %</t>
    <phoneticPr fontId="2" type="noConversion"/>
  </si>
  <si>
    <t>mean</t>
    <phoneticPr fontId="2" type="noConversion"/>
  </si>
  <si>
    <t>Z-score</t>
    <phoneticPr fontId="2" type="noConversion"/>
  </si>
  <si>
    <t>Z-critical(95%)</t>
    <phoneticPr fontId="2" type="noConversion"/>
  </si>
  <si>
    <t>CTR</t>
    <phoneticPr fontId="2" type="noConversion"/>
  </si>
  <si>
    <t>fraction-upper</t>
    <phoneticPr fontId="2" type="noConversion"/>
  </si>
  <si>
    <t>fraction-lower</t>
    <phoneticPr fontId="2" type="noConversion"/>
  </si>
  <si>
    <t>observed</t>
    <phoneticPr fontId="2" type="noConversion"/>
  </si>
  <si>
    <t>Enroll/Click</t>
    <phoneticPr fontId="2" type="noConversion"/>
  </si>
  <si>
    <t>Pay/Click</t>
    <phoneticPr fontId="2" type="noConversion"/>
  </si>
  <si>
    <t>observed diff</t>
    <phoneticPr fontId="2" type="noConversion"/>
  </si>
  <si>
    <t>pooled prob</t>
    <phoneticPr fontId="2" type="noConversion"/>
  </si>
  <si>
    <t>Sign test: exp-cont</t>
    <phoneticPr fontId="2" type="noConversion"/>
  </si>
  <si>
    <t>count_neg</t>
    <phoneticPr fontId="2" type="noConversion"/>
  </si>
  <si>
    <t>count_ttl</t>
    <phoneticPr fontId="2" type="noConversion"/>
  </si>
  <si>
    <t>obs_diff</t>
    <phoneticPr fontId="2" type="noConversion"/>
  </si>
  <si>
    <t>h_a</t>
    <phoneticPr fontId="2" type="noConversion"/>
  </si>
  <si>
    <t>h_0</t>
    <phoneticPr fontId="2" type="noConversion"/>
  </si>
  <si>
    <t>z_score</t>
    <phoneticPr fontId="2" type="noConversion"/>
  </si>
  <si>
    <t>p_value</t>
    <phoneticPr fontId="2" type="noConversion"/>
  </si>
  <si>
    <t>z(1-alpha/2)</t>
    <phoneticPr fontId="2" type="noConversion"/>
  </si>
  <si>
    <t>z(1-beta)</t>
    <phoneticPr fontId="2" type="noConversion"/>
  </si>
  <si>
    <t>sd1</t>
    <phoneticPr fontId="2" type="noConversion"/>
  </si>
  <si>
    <t>sd2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</si>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</sst>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(* #,##0.0000_);_(* \(#,##0.0000\);_(* &quot;-&quot;??_);_(@_)"/>
    <numFmt numFmtId="177" formatCode="0.00000"/>
    <numFmt numFmtId="178" formatCode="0.0000"/>
    <numFmt numFmtId="185" formatCode="0.000000"/>
    <numFmt numFmtId="201" formatCode="0.0000_ "/>
  </numFmts>
  <fonts count="7" x14ac:knownFonts="1">
    <font>
      <sz val="10"/>
      <color theme="1"/>
      <name val="Calibri"/>
      <family val="2"/>
      <charset val="134"/>
    </font>
    <font>
      <sz val="10"/>
      <color theme="1"/>
      <name val="Calibri"/>
      <family val="2"/>
      <charset val="134"/>
    </font>
    <font>
      <sz val="9"/>
      <name val="Calibri"/>
      <family val="2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8"/>
      <name val="Calibri"/>
      <family val="2"/>
      <charset val="134"/>
    </font>
    <font>
      <sz val="10"/>
      <color theme="7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0" fontId="0" fillId="2" borderId="0" xfId="0" applyFill="1">
      <alignment vertical="center"/>
    </xf>
    <xf numFmtId="185" fontId="0" fillId="0" borderId="0" xfId="0" applyNumberFormat="1">
      <alignment vertical="center"/>
    </xf>
    <xf numFmtId="201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553754</xdr:colOff>
      <xdr:row>12</xdr:row>
      <xdr:rowOff>60960</xdr:rowOff>
    </xdr:from>
    <xdr:to>
      <xdr:col>16</xdr:col>
      <xdr:colOff>303728</xdr:colOff>
      <xdr:row>26</xdr:row>
      <xdr:rowOff>155689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7E766-4DF1-4D5D-BB6C-F1E191F5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34" y="2164080"/>
          <a:ext cx="5236374" cy="254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3BA9-3D4A-4228-BB83-5A6B6B541EBE}">
  <dimension ref="A4:P32"/>
  <sheetViews>
    <sheetView topLeftCell="A4" workbookViewId="0">
      <selection activeCell="D32" sqref="D32"/>
    </sheetView>
  </sheetViews>
  <sheetFormatPr defaultRowHeight="13.8" x14ac:dyDescent="0.3"/>
  <sheetData>
    <row r="4" spans="1:14" x14ac:dyDescent="0.3">
      <c r="H4" t="s">
        <v>0</v>
      </c>
      <c r="I4" t="s">
        <v>5</v>
      </c>
      <c r="J4" t="s">
        <v>6</v>
      </c>
      <c r="L4" t="s">
        <v>7</v>
      </c>
      <c r="M4" t="s">
        <v>8</v>
      </c>
    </row>
    <row r="5" spans="1:14" x14ac:dyDescent="0.3">
      <c r="F5" t="s">
        <v>1</v>
      </c>
      <c r="G5" t="s">
        <v>3</v>
      </c>
      <c r="H5">
        <v>6021</v>
      </c>
      <c r="I5">
        <v>50000</v>
      </c>
      <c r="J5">
        <f>H5+I5</f>
        <v>56021</v>
      </c>
      <c r="L5">
        <f>J5+J8</f>
        <v>112000</v>
      </c>
    </row>
    <row r="6" spans="1:14" x14ac:dyDescent="0.3">
      <c r="A6">
        <v>4.1999999999999997E-3</v>
      </c>
      <c r="B6">
        <v>1.2E-2</v>
      </c>
      <c r="C6">
        <f>B6/A6</f>
        <v>2.8571428571428572</v>
      </c>
      <c r="G6" t="s">
        <v>4</v>
      </c>
      <c r="H6">
        <v>302</v>
      </c>
      <c r="I6">
        <v>2500</v>
      </c>
      <c r="J6">
        <f>H6+I6</f>
        <v>2802</v>
      </c>
      <c r="L6">
        <f>J6+J9</f>
        <v>5676</v>
      </c>
    </row>
    <row r="7" spans="1:14" x14ac:dyDescent="0.3">
      <c r="H7" s="1">
        <f>H6/H5</f>
        <v>5.0157781099485134E-2</v>
      </c>
      <c r="I7" s="1">
        <f>I6/I5</f>
        <v>0.05</v>
      </c>
      <c r="J7" s="1">
        <f>J6/J5</f>
        <v>5.0016957926491849E-2</v>
      </c>
      <c r="L7" s="1">
        <f>L6/L5</f>
        <v>5.0678571428571427E-2</v>
      </c>
      <c r="M7" s="2">
        <f>(L7*(1-L7)*(1/J5+1/J8))^0.5</f>
        <v>1.3108102809227253E-3</v>
      </c>
      <c r="N7">
        <f>(J10-J7)/M7</f>
        <v>1.0098512497952803</v>
      </c>
    </row>
    <row r="8" spans="1:14" x14ac:dyDescent="0.3">
      <c r="F8" t="s">
        <v>2</v>
      </c>
      <c r="G8" t="s">
        <v>3</v>
      </c>
      <c r="H8">
        <v>5979</v>
      </c>
      <c r="I8">
        <v>50000</v>
      </c>
      <c r="J8">
        <f>H8+I8</f>
        <v>55979</v>
      </c>
    </row>
    <row r="9" spans="1:14" x14ac:dyDescent="0.3">
      <c r="G9" t="s">
        <v>4</v>
      </c>
      <c r="H9">
        <v>374</v>
      </c>
      <c r="I9">
        <v>2500</v>
      </c>
      <c r="J9">
        <f>H9+I9</f>
        <v>2874</v>
      </c>
    </row>
    <row r="10" spans="1:14" x14ac:dyDescent="0.3">
      <c r="H10" s="1">
        <f>H9/H8</f>
        <v>6.2552266265261752E-2</v>
      </c>
      <c r="I10" s="1">
        <f>I9/I8</f>
        <v>0.05</v>
      </c>
      <c r="J10" s="1">
        <f>J9/J8</f>
        <v>5.1340681326926166E-2</v>
      </c>
    </row>
    <row r="15" spans="1:14" x14ac:dyDescent="0.3">
      <c r="D15">
        <f>(D17*(1-D17)/C19)^0.5</f>
        <v>1.4067658713136236E-3</v>
      </c>
      <c r="E15" t="s">
        <v>14</v>
      </c>
    </row>
    <row r="16" spans="1:14" x14ac:dyDescent="0.3">
      <c r="D16">
        <v>0.5</v>
      </c>
      <c r="E16" t="s">
        <v>13</v>
      </c>
    </row>
    <row r="17" spans="3:16" x14ac:dyDescent="0.3">
      <c r="C17">
        <v>64454</v>
      </c>
      <c r="D17">
        <f>C17/C19</f>
        <v>0.51043778509883431</v>
      </c>
      <c r="E17" t="s">
        <v>12</v>
      </c>
    </row>
    <row r="18" spans="3:16" x14ac:dyDescent="0.3">
      <c r="C18">
        <v>61818</v>
      </c>
    </row>
    <row r="19" spans="3:16" x14ac:dyDescent="0.3">
      <c r="C19">
        <f>C17+C18</f>
        <v>126272</v>
      </c>
      <c r="E19" t="s">
        <v>15</v>
      </c>
      <c r="L19">
        <v>6.2799999999999995E-2</v>
      </c>
      <c r="M19">
        <v>1000</v>
      </c>
      <c r="P19">
        <v>300000</v>
      </c>
    </row>
    <row r="20" spans="3:16" x14ac:dyDescent="0.3">
      <c r="D20">
        <f>M21</f>
        <v>1.9599639845400536</v>
      </c>
      <c r="E20" t="s">
        <v>16</v>
      </c>
      <c r="L20" t="s">
        <v>10</v>
      </c>
      <c r="M20">
        <f>SQRT(M19)*L19</f>
        <v>1.9859103705857419</v>
      </c>
      <c r="O20" t="s">
        <v>11</v>
      </c>
      <c r="P20">
        <f>M20/SQRT(P19)</f>
        <v>3.6257596905108491E-3</v>
      </c>
    </row>
    <row r="21" spans="3:16" x14ac:dyDescent="0.3">
      <c r="D21">
        <f>(D17-D16)/D15</f>
        <v>7.4197031017589374</v>
      </c>
      <c r="L21" t="s">
        <v>9</v>
      </c>
      <c r="M21">
        <f>_xlfn.NORM.S.INV(0.975)</f>
        <v>1.9599639845400536</v>
      </c>
      <c r="P21">
        <f>M21</f>
        <v>1.9599639845400536</v>
      </c>
    </row>
    <row r="22" spans="3:16" x14ac:dyDescent="0.3">
      <c r="M22">
        <f>M20*M21</f>
        <v>3.8923128028726452</v>
      </c>
      <c r="P22">
        <f>P20*P21</f>
        <v>7.1063584099983557E-3</v>
      </c>
    </row>
    <row r="24" spans="3:16" x14ac:dyDescent="0.3">
      <c r="D24">
        <f>(D26*(1-D26)/C28)^0.5</f>
        <v>2.8555096337606269E-3</v>
      </c>
      <c r="E24" t="s">
        <v>14</v>
      </c>
      <c r="P24" s="3">
        <f>_xlfn.NORM.DIST(P22,0.01,P20,TRUE)</f>
        <v>0.21241240981125023</v>
      </c>
    </row>
    <row r="25" spans="3:16" x14ac:dyDescent="0.3">
      <c r="D25">
        <v>0.5</v>
      </c>
      <c r="E25" t="s">
        <v>13</v>
      </c>
    </row>
    <row r="26" spans="3:16" x14ac:dyDescent="0.3">
      <c r="C26">
        <v>15348</v>
      </c>
      <c r="D26">
        <f>C26/C28</f>
        <v>0.50058708414872799</v>
      </c>
    </row>
    <row r="27" spans="3:16" x14ac:dyDescent="0.3">
      <c r="C27">
        <v>15312</v>
      </c>
    </row>
    <row r="28" spans="3:16" x14ac:dyDescent="0.3">
      <c r="C28">
        <f>C26+C27</f>
        <v>30660</v>
      </c>
      <c r="E28" t="s">
        <v>15</v>
      </c>
    </row>
    <row r="29" spans="3:16" x14ac:dyDescent="0.3">
      <c r="D29">
        <f>D20</f>
        <v>1.9599639845400536</v>
      </c>
      <c r="E29" t="s">
        <v>16</v>
      </c>
    </row>
    <row r="30" spans="3:16" x14ac:dyDescent="0.3">
      <c r="D30">
        <f>D29*D24</f>
        <v>5.5966960396779874E-3</v>
      </c>
      <c r="E30" t="s">
        <v>17</v>
      </c>
    </row>
    <row r="31" spans="3:16" x14ac:dyDescent="0.3">
      <c r="D31">
        <f>D25-D30</f>
        <v>0.494403303960322</v>
      </c>
    </row>
    <row r="32" spans="3:16" x14ac:dyDescent="0.3">
      <c r="D32">
        <f>D25+D30</f>
        <v>0.50559669603967794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D09F-E967-49F5-BBAD-BCA246EC5DCD}">
  <dimension ref="A1:P28"/>
  <sheetViews>
    <sheetView workbookViewId="0">
      <selection activeCell="N28" sqref="N28"/>
    </sheetView>
  </sheetViews>
  <sheetFormatPr defaultRowHeight="13.8" x14ac:dyDescent="0.3"/>
  <cols>
    <col min="3" max="3" width="11.44140625" customWidth="1"/>
    <col min="4" max="4" width="7.33203125" bestFit="1" customWidth="1"/>
    <col min="5" max="5" width="13.21875" customWidth="1"/>
    <col min="6" max="6" width="12.33203125" bestFit="1" customWidth="1"/>
    <col min="7" max="7" width="8.109375" bestFit="1" customWidth="1"/>
    <col min="11" max="11" width="10.44140625" customWidth="1"/>
  </cols>
  <sheetData>
    <row r="1" spans="1:16" ht="27" thickBot="1" x14ac:dyDescent="0.3">
      <c r="A1" s="4"/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L1" t="s">
        <v>33</v>
      </c>
      <c r="M1" t="s">
        <v>34</v>
      </c>
      <c r="N1" t="s">
        <v>35</v>
      </c>
      <c r="O1" t="s">
        <v>36</v>
      </c>
    </row>
    <row r="2" spans="1:16" ht="14.4" thickBot="1" x14ac:dyDescent="0.3">
      <c r="A2" s="4" t="s">
        <v>25</v>
      </c>
      <c r="B2" s="5">
        <v>196</v>
      </c>
      <c r="C2" s="5">
        <v>2029</v>
      </c>
      <c r="D2" s="5">
        <v>9.6600000000000005E-2</v>
      </c>
      <c r="E2" s="5">
        <v>179</v>
      </c>
      <c r="F2" s="5">
        <v>1971</v>
      </c>
      <c r="G2" s="5">
        <v>9.0800000000000006E-2</v>
      </c>
      <c r="H2">
        <f>G2-D2</f>
        <v>-5.7999999999999996E-3</v>
      </c>
      <c r="K2" t="s">
        <v>37</v>
      </c>
      <c r="L2">
        <v>200</v>
      </c>
      <c r="M2">
        <v>25</v>
      </c>
      <c r="N2">
        <v>100</v>
      </c>
      <c r="O2">
        <v>15</v>
      </c>
    </row>
    <row r="3" spans="1:16" ht="14.4" thickBot="1" x14ac:dyDescent="0.3">
      <c r="A3" s="4"/>
      <c r="B3" s="5">
        <v>200</v>
      </c>
      <c r="C3" s="5">
        <v>1991</v>
      </c>
      <c r="D3" s="5">
        <v>0.10050000000000001</v>
      </c>
      <c r="E3" s="5">
        <v>208</v>
      </c>
      <c r="F3" s="5">
        <v>2009</v>
      </c>
      <c r="G3" s="5">
        <v>0.10349999999999999</v>
      </c>
      <c r="H3">
        <f t="shared" ref="H3:H15" si="0">G3-D3</f>
        <v>2.9999999999999888E-3</v>
      </c>
      <c r="K3" t="s">
        <v>38</v>
      </c>
      <c r="L3">
        <v>500</v>
      </c>
      <c r="M3">
        <v>9</v>
      </c>
      <c r="N3">
        <v>500</v>
      </c>
      <c r="O3">
        <v>10</v>
      </c>
    </row>
    <row r="4" spans="1:16" ht="14.4" thickBot="1" x14ac:dyDescent="0.3">
      <c r="A4" s="4"/>
      <c r="B4" s="5">
        <v>200</v>
      </c>
      <c r="C4" s="5">
        <v>1951</v>
      </c>
      <c r="D4" s="5">
        <v>0.10249999999999999</v>
      </c>
      <c r="E4" s="5">
        <v>205</v>
      </c>
      <c r="F4" s="5">
        <v>2049</v>
      </c>
      <c r="G4" s="5">
        <v>0.1</v>
      </c>
      <c r="H4">
        <f t="shared" si="0"/>
        <v>-2.4999999999999883E-3</v>
      </c>
      <c r="K4" t="s">
        <v>39</v>
      </c>
      <c r="L4">
        <f>L3+L2</f>
        <v>700</v>
      </c>
      <c r="M4">
        <f t="shared" ref="M4:O4" si="1">M3+M2</f>
        <v>34</v>
      </c>
      <c r="N4">
        <f t="shared" si="1"/>
        <v>600</v>
      </c>
      <c r="O4">
        <f t="shared" si="1"/>
        <v>25</v>
      </c>
      <c r="P4">
        <f>O4/N4</f>
        <v>4.1666666666666664E-2</v>
      </c>
    </row>
    <row r="5" spans="1:16" ht="14.4" thickBot="1" x14ac:dyDescent="0.3">
      <c r="A5" s="4"/>
      <c r="B5" s="5">
        <v>216</v>
      </c>
      <c r="C5" s="5">
        <v>1985</v>
      </c>
      <c r="D5" s="5">
        <v>0.10879999999999999</v>
      </c>
      <c r="E5" s="5">
        <v>175</v>
      </c>
      <c r="F5" s="5">
        <v>2015</v>
      </c>
      <c r="G5" s="5">
        <v>8.6800000000000002E-2</v>
      </c>
      <c r="H5">
        <f t="shared" si="0"/>
        <v>-2.1999999999999992E-2</v>
      </c>
      <c r="M5">
        <f>M4/L4</f>
        <v>4.8571428571428571E-2</v>
      </c>
    </row>
    <row r="6" spans="1:16" ht="14.4" thickBot="1" x14ac:dyDescent="0.3">
      <c r="A6" s="4"/>
      <c r="B6" s="5">
        <v>212</v>
      </c>
      <c r="C6" s="5">
        <v>1973</v>
      </c>
      <c r="D6" s="5">
        <v>0.1075</v>
      </c>
      <c r="E6" s="5">
        <v>191</v>
      </c>
      <c r="F6" s="5">
        <v>2027</v>
      </c>
      <c r="G6" s="5">
        <v>9.4200000000000006E-2</v>
      </c>
      <c r="H6">
        <f t="shared" si="0"/>
        <v>-1.3299999999999992E-2</v>
      </c>
    </row>
    <row r="7" spans="1:16" ht="14.4" thickBot="1" x14ac:dyDescent="0.3">
      <c r="A7" s="4"/>
      <c r="B7" s="5">
        <v>185</v>
      </c>
      <c r="C7" s="5">
        <v>2021</v>
      </c>
      <c r="D7" s="5">
        <v>9.1499999999999998E-2</v>
      </c>
      <c r="E7" s="5">
        <v>291</v>
      </c>
      <c r="F7" s="5">
        <v>1979</v>
      </c>
      <c r="G7" s="5">
        <v>0.14699999999999999</v>
      </c>
      <c r="H7">
        <f t="shared" si="0"/>
        <v>5.5499999999999994E-2</v>
      </c>
      <c r="M7">
        <f>M2/L2</f>
        <v>0.125</v>
      </c>
    </row>
    <row r="8" spans="1:16" ht="14.4" thickBot="1" x14ac:dyDescent="0.3">
      <c r="A8" s="4"/>
      <c r="B8" s="5">
        <v>225</v>
      </c>
      <c r="C8" s="5">
        <v>2041</v>
      </c>
      <c r="D8" s="5">
        <v>0.11020000000000001</v>
      </c>
      <c r="E8" s="5">
        <v>278</v>
      </c>
      <c r="F8" s="5">
        <v>1959</v>
      </c>
      <c r="G8" s="5">
        <v>0.1419</v>
      </c>
      <c r="H8">
        <f t="shared" si="0"/>
        <v>3.1699999999999992E-2</v>
      </c>
    </row>
    <row r="9" spans="1:16" ht="14.4" thickBot="1" x14ac:dyDescent="0.3">
      <c r="A9" s="4" t="s">
        <v>26</v>
      </c>
      <c r="B9" s="5">
        <v>187</v>
      </c>
      <c r="C9" s="5">
        <v>1980</v>
      </c>
      <c r="D9" s="5">
        <v>9.4399999999999998E-2</v>
      </c>
      <c r="E9" s="5">
        <v>216</v>
      </c>
      <c r="F9" s="5">
        <v>2020</v>
      </c>
      <c r="G9" s="5">
        <v>0.1069</v>
      </c>
      <c r="H9">
        <f t="shared" si="0"/>
        <v>1.2499999999999997E-2</v>
      </c>
    </row>
    <row r="10" spans="1:16" ht="14.4" thickBot="1" x14ac:dyDescent="0.3">
      <c r="A10" s="4"/>
      <c r="B10" s="5">
        <v>205</v>
      </c>
      <c r="C10" s="5">
        <v>1951</v>
      </c>
      <c r="D10" s="5">
        <v>0.1051</v>
      </c>
      <c r="E10" s="5">
        <v>225</v>
      </c>
      <c r="F10" s="5">
        <v>2049</v>
      </c>
      <c r="G10" s="5">
        <v>0.10979999999999999</v>
      </c>
      <c r="H10">
        <f t="shared" si="0"/>
        <v>4.6999999999999958E-3</v>
      </c>
    </row>
    <row r="11" spans="1:16" ht="14.4" thickBot="1" x14ac:dyDescent="0.3">
      <c r="A11" s="4"/>
      <c r="B11" s="5">
        <v>211</v>
      </c>
      <c r="C11" s="5">
        <v>1988</v>
      </c>
      <c r="D11" s="5">
        <v>0.1061</v>
      </c>
      <c r="E11" s="5">
        <v>207</v>
      </c>
      <c r="F11" s="5">
        <v>2012</v>
      </c>
      <c r="G11" s="5">
        <v>0.10290000000000001</v>
      </c>
      <c r="H11">
        <f t="shared" si="0"/>
        <v>-3.1999999999999945E-3</v>
      </c>
    </row>
    <row r="12" spans="1:16" ht="14.4" thickBot="1" x14ac:dyDescent="0.3">
      <c r="A12" s="4"/>
      <c r="B12" s="5">
        <v>192</v>
      </c>
      <c r="C12" s="5">
        <v>1977</v>
      </c>
      <c r="D12" s="5">
        <v>9.7100000000000006E-2</v>
      </c>
      <c r="E12" s="5">
        <v>205</v>
      </c>
      <c r="F12" s="5">
        <v>2023</v>
      </c>
      <c r="G12" s="5">
        <v>0.1013</v>
      </c>
      <c r="H12">
        <f t="shared" si="0"/>
        <v>4.1999999999999954E-3</v>
      </c>
    </row>
    <row r="13" spans="1:16" ht="14.4" thickBot="1" x14ac:dyDescent="0.3">
      <c r="A13" s="4"/>
      <c r="B13" s="5">
        <v>196</v>
      </c>
      <c r="C13" s="5">
        <v>2019</v>
      </c>
      <c r="D13" s="5">
        <v>9.7100000000000006E-2</v>
      </c>
      <c r="E13" s="5">
        <v>200</v>
      </c>
      <c r="F13" s="5">
        <v>1981</v>
      </c>
      <c r="G13" s="5">
        <v>0.10100000000000001</v>
      </c>
      <c r="H13">
        <f t="shared" si="0"/>
        <v>3.9000000000000007E-3</v>
      </c>
    </row>
    <row r="14" spans="1:16" ht="14.4" thickBot="1" x14ac:dyDescent="0.3">
      <c r="A14" s="4"/>
      <c r="B14" s="5">
        <v>223</v>
      </c>
      <c r="C14" s="5">
        <v>2035</v>
      </c>
      <c r="D14" s="5">
        <v>0.1096</v>
      </c>
      <c r="E14" s="5">
        <v>297</v>
      </c>
      <c r="F14" s="5">
        <v>1965</v>
      </c>
      <c r="G14" s="5">
        <v>0.15110000000000001</v>
      </c>
      <c r="H14">
        <f t="shared" si="0"/>
        <v>4.1500000000000009E-2</v>
      </c>
    </row>
    <row r="15" spans="1:16" ht="14.4" thickBot="1" x14ac:dyDescent="0.3">
      <c r="A15" s="4"/>
      <c r="B15" s="5">
        <v>192</v>
      </c>
      <c r="C15" s="5">
        <v>2007</v>
      </c>
      <c r="D15" s="5">
        <v>9.5699999999999993E-2</v>
      </c>
      <c r="E15" s="5">
        <v>299</v>
      </c>
      <c r="F15" s="5">
        <v>1993</v>
      </c>
      <c r="G15" s="5">
        <v>0.15</v>
      </c>
      <c r="H15">
        <f t="shared" si="0"/>
        <v>5.4300000000000001E-2</v>
      </c>
    </row>
    <row r="16" spans="1:16" ht="14.4" thickBot="1" x14ac:dyDescent="0.3">
      <c r="A16" s="6" t="s">
        <v>24</v>
      </c>
      <c r="B16" s="7">
        <v>2840</v>
      </c>
      <c r="C16" s="7">
        <v>27948</v>
      </c>
      <c r="D16" s="7">
        <v>0.1016</v>
      </c>
      <c r="E16" s="7">
        <v>3176</v>
      </c>
      <c r="F16" s="7">
        <v>28052</v>
      </c>
      <c r="G16" s="7">
        <v>0.1132</v>
      </c>
    </row>
    <row r="17" spans="2:14" x14ac:dyDescent="0.3">
      <c r="H17">
        <f>COUNTIF(H2:H15,"&gt;0")</f>
        <v>9</v>
      </c>
      <c r="I17">
        <v>14</v>
      </c>
    </row>
    <row r="19" spans="2:14" x14ac:dyDescent="0.3">
      <c r="B19" t="s">
        <v>27</v>
      </c>
      <c r="C19">
        <v>6.1999999999999998E-3</v>
      </c>
      <c r="N19">
        <f>1-0.95^10</f>
        <v>0.4012630607616211</v>
      </c>
    </row>
    <row r="20" spans="2:14" x14ac:dyDescent="0.3">
      <c r="B20" t="s">
        <v>28</v>
      </c>
      <c r="C20">
        <v>5000</v>
      </c>
      <c r="N20">
        <f>1-0.99^10</f>
        <v>9.5617924991195702E-2</v>
      </c>
    </row>
    <row r="21" spans="2:14" x14ac:dyDescent="0.3">
      <c r="B21" t="s">
        <v>32</v>
      </c>
      <c r="C21">
        <f>C19/SQRT(1/C20*2)</f>
        <v>0.31</v>
      </c>
    </row>
    <row r="22" spans="2:14" x14ac:dyDescent="0.3">
      <c r="B22" t="s">
        <v>29</v>
      </c>
      <c r="C22">
        <f>G16-D16</f>
        <v>1.1599999999999999E-2</v>
      </c>
    </row>
    <row r="23" spans="2:14" x14ac:dyDescent="0.3">
      <c r="B23" t="s">
        <v>14</v>
      </c>
      <c r="C23">
        <f>C21*SQRT(1/C16+1/F16)</f>
        <v>2.619982707795742E-3</v>
      </c>
      <c r="M23" t="s">
        <v>40</v>
      </c>
      <c r="N23" t="s">
        <v>41</v>
      </c>
    </row>
    <row r="24" spans="2:14" x14ac:dyDescent="0.3">
      <c r="B24" t="s">
        <v>16</v>
      </c>
      <c r="C24">
        <f>_xlfn.NORM.S.INV(0.975)</f>
        <v>1.9599639845400536</v>
      </c>
      <c r="J24" t="s">
        <v>42</v>
      </c>
      <c r="K24" t="s">
        <v>14</v>
      </c>
      <c r="M24">
        <f>_xlfn.NORM.S.INV(0.975)</f>
        <v>1.9599639845400536</v>
      </c>
      <c r="N24">
        <f>_xlfn.NORM.S.INV((1-0.0125/2))</f>
        <v>2.4977054744123737</v>
      </c>
    </row>
    <row r="25" spans="2:14" x14ac:dyDescent="0.3">
      <c r="B25" t="s">
        <v>30</v>
      </c>
      <c r="C25">
        <f>C22-C23*C24</f>
        <v>6.4649282526026176E-3</v>
      </c>
      <c r="J25">
        <v>0.03</v>
      </c>
      <c r="K25">
        <v>1.2999999999999999E-2</v>
      </c>
      <c r="L25">
        <f>J25/K25</f>
        <v>2.3076923076923079</v>
      </c>
    </row>
    <row r="26" spans="2:14" x14ac:dyDescent="0.3">
      <c r="B26" t="s">
        <v>31</v>
      </c>
      <c r="C26">
        <f>C22+C23*C24</f>
        <v>1.6735071747397381E-2</v>
      </c>
      <c r="J26">
        <v>-0.5</v>
      </c>
      <c r="K26">
        <v>0.21</v>
      </c>
      <c r="L26">
        <f t="shared" ref="L26:L28" si="2">J26/K26</f>
        <v>-2.3809523809523809</v>
      </c>
    </row>
    <row r="27" spans="2:14" x14ac:dyDescent="0.3">
      <c r="J27">
        <v>0.01</v>
      </c>
      <c r="K27">
        <v>4.4999999999999997E-3</v>
      </c>
      <c r="L27">
        <f t="shared" si="2"/>
        <v>2.2222222222222223</v>
      </c>
    </row>
    <row r="28" spans="2:14" x14ac:dyDescent="0.3">
      <c r="J28">
        <v>10</v>
      </c>
      <c r="K28">
        <v>6.85</v>
      </c>
      <c r="L28">
        <f t="shared" si="2"/>
        <v>1.4598540145985401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1C45-3B93-4208-A8BE-5EB1184D0591}">
  <dimension ref="A1:M26"/>
  <sheetViews>
    <sheetView workbookViewId="0">
      <selection activeCell="E23" sqref="E23"/>
    </sheetView>
  </sheetViews>
  <sheetFormatPr defaultRowHeight="13.8" x14ac:dyDescent="0.3"/>
  <cols>
    <col min="2" max="2" width="46.5546875" bestFit="1" customWidth="1"/>
    <col min="3" max="3" width="10.88671875" customWidth="1"/>
    <col min="4" max="4" width="11.6640625" bestFit="1" customWidth="1"/>
    <col min="5" max="5" width="13.5546875" customWidth="1"/>
  </cols>
  <sheetData>
    <row r="1" spans="1:13" x14ac:dyDescent="0.3">
      <c r="C1" t="s">
        <v>59</v>
      </c>
      <c r="D1" t="s">
        <v>50</v>
      </c>
      <c r="E1" t="s">
        <v>62</v>
      </c>
      <c r="F1" t="s">
        <v>51</v>
      </c>
      <c r="G1" t="s">
        <v>63</v>
      </c>
      <c r="H1" t="s">
        <v>67</v>
      </c>
      <c r="I1" t="s">
        <v>68</v>
      </c>
      <c r="L1" t="s">
        <v>56</v>
      </c>
    </row>
    <row r="2" spans="1:13" x14ac:dyDescent="0.3">
      <c r="A2" s="11" t="s">
        <v>54</v>
      </c>
      <c r="B2" t="s">
        <v>43</v>
      </c>
      <c r="C2">
        <v>3000</v>
      </c>
      <c r="D2">
        <v>40000</v>
      </c>
      <c r="F2">
        <v>5000</v>
      </c>
      <c r="K2">
        <f>F2/D2</f>
        <v>0.125</v>
      </c>
    </row>
    <row r="3" spans="1:13" x14ac:dyDescent="0.3">
      <c r="A3" s="11" t="s">
        <v>54</v>
      </c>
      <c r="B3" t="s">
        <v>60</v>
      </c>
      <c r="C3">
        <v>240</v>
      </c>
      <c r="D3">
        <v>3200</v>
      </c>
      <c r="F3">
        <f>F2*D5</f>
        <v>400</v>
      </c>
      <c r="J3">
        <f>F2/F3</f>
        <v>12.5</v>
      </c>
    </row>
    <row r="4" spans="1:13" x14ac:dyDescent="0.3">
      <c r="B4" t="s">
        <v>61</v>
      </c>
      <c r="C4">
        <v>50</v>
      </c>
      <c r="D4">
        <v>660</v>
      </c>
      <c r="F4">
        <f>D4*K2</f>
        <v>82.5</v>
      </c>
      <c r="J4">
        <f>F2/F4</f>
        <v>60.606060606060609</v>
      </c>
    </row>
    <row r="5" spans="1:13" x14ac:dyDescent="0.3">
      <c r="A5" s="11" t="s">
        <v>54</v>
      </c>
      <c r="B5" t="s">
        <v>44</v>
      </c>
      <c r="C5">
        <v>0.01</v>
      </c>
      <c r="D5">
        <v>0.08</v>
      </c>
      <c r="G5" s="10">
        <f>SQRT(D5*(1-D5)/$F$3)</f>
        <v>1.3564659966250536E-2</v>
      </c>
      <c r="H5" s="8">
        <f>D5-G5*$G$14</f>
        <v>5.3413755003616656E-2</v>
      </c>
      <c r="I5" s="8">
        <f>D5+G5*$G$14</f>
        <v>0.10658624499638335</v>
      </c>
    </row>
    <row r="6" spans="1:13" x14ac:dyDescent="0.3">
      <c r="A6" t="s">
        <v>48</v>
      </c>
      <c r="B6" t="s">
        <v>45</v>
      </c>
      <c r="C6">
        <v>0.01</v>
      </c>
      <c r="D6">
        <v>0.20624999999999999</v>
      </c>
      <c r="E6">
        <f>C6/D6</f>
        <v>4.8484848484848492E-2</v>
      </c>
      <c r="G6" s="10">
        <f>SQRT(D6*(1-D6)/$F$3)</f>
        <v>2.0230604137049392E-2</v>
      </c>
      <c r="H6" s="8">
        <f t="shared" ref="H6:H8" si="0">D6-G6*$G$14</f>
        <v>0.16659874450589618</v>
      </c>
      <c r="I6" s="8">
        <f t="shared" ref="I6:I8" si="1">D6+G6*$G$14</f>
        <v>0.2459012554941038</v>
      </c>
      <c r="J6" s="8"/>
      <c r="L6" t="s">
        <v>55</v>
      </c>
      <c r="M6" t="s">
        <v>49</v>
      </c>
    </row>
    <row r="7" spans="1:13" x14ac:dyDescent="0.3">
      <c r="A7" s="14" t="s">
        <v>48</v>
      </c>
      <c r="B7" t="s">
        <v>46</v>
      </c>
      <c r="C7">
        <v>0.01</v>
      </c>
      <c r="D7">
        <v>0.53</v>
      </c>
      <c r="E7">
        <f>C7/D7</f>
        <v>1.8867924528301886E-2</v>
      </c>
      <c r="G7" s="10">
        <f>SQRT(D7*(1-D7)/F4)</f>
        <v>5.4949012178509081E-2</v>
      </c>
      <c r="H7" s="8">
        <f t="shared" si="0"/>
        <v>0.42230191514406945</v>
      </c>
      <c r="I7" s="8">
        <f t="shared" si="1"/>
        <v>0.6376980848559306</v>
      </c>
      <c r="J7" s="8"/>
      <c r="L7" t="s">
        <v>57</v>
      </c>
      <c r="M7" t="s">
        <v>52</v>
      </c>
    </row>
    <row r="8" spans="1:13" x14ac:dyDescent="0.3">
      <c r="A8" t="s">
        <v>48</v>
      </c>
      <c r="B8" t="s">
        <v>47</v>
      </c>
      <c r="C8">
        <v>7.4999999999999997E-3</v>
      </c>
      <c r="D8">
        <v>0.10931250000000001</v>
      </c>
      <c r="E8">
        <f t="shared" ref="E8" si="2">C8/D8</f>
        <v>6.8610634648370486E-2</v>
      </c>
      <c r="G8" s="10">
        <f>SQRT(D8*(1-D8)/F3)</f>
        <v>1.560154458248846E-2</v>
      </c>
      <c r="H8" s="8">
        <f t="shared" si="0"/>
        <v>7.8734034515126644E-2</v>
      </c>
      <c r="I8" s="8">
        <f t="shared" si="1"/>
        <v>0.13989096548487337</v>
      </c>
      <c r="J8" s="8"/>
      <c r="L8" t="s">
        <v>58</v>
      </c>
      <c r="M8" t="s">
        <v>53</v>
      </c>
    </row>
    <row r="13" spans="1:13" x14ac:dyDescent="0.3">
      <c r="C13" t="s">
        <v>113</v>
      </c>
      <c r="D13" t="s">
        <v>64</v>
      </c>
      <c r="E13" t="s">
        <v>65</v>
      </c>
      <c r="G13" t="s">
        <v>66</v>
      </c>
    </row>
    <row r="14" spans="1:13" x14ac:dyDescent="0.3">
      <c r="C14">
        <v>0.45</v>
      </c>
      <c r="D14">
        <f>27413*25</f>
        <v>685325</v>
      </c>
      <c r="E14">
        <f>D14/(D2*C14)</f>
        <v>38.073611111111113</v>
      </c>
      <c r="G14">
        <f>_xlfn.NORM.INV(0.975,0,1)</f>
        <v>1.9599639845400536</v>
      </c>
    </row>
    <row r="16" spans="1:13" x14ac:dyDescent="0.3">
      <c r="D16">
        <v>13583</v>
      </c>
    </row>
    <row r="17" spans="2:5" x14ac:dyDescent="0.3">
      <c r="B17">
        <f>4737771/40000</f>
        <v>118.444275</v>
      </c>
      <c r="E17" s="9"/>
    </row>
    <row r="18" spans="2:5" x14ac:dyDescent="0.3">
      <c r="E18" s="9"/>
    </row>
    <row r="19" spans="2:5" x14ac:dyDescent="0.3">
      <c r="E19" s="9"/>
    </row>
    <row r="20" spans="2:5" x14ac:dyDescent="0.3">
      <c r="D20">
        <f>27413</f>
        <v>27413</v>
      </c>
    </row>
    <row r="22" spans="2:5" x14ac:dyDescent="0.3">
      <c r="C22" t="s">
        <v>133</v>
      </c>
      <c r="D22">
        <f>_xlfn.NORM.S.INV(1-0.05/2)</f>
        <v>1.9599639845400536</v>
      </c>
    </row>
    <row r="23" spans="2:5" x14ac:dyDescent="0.3">
      <c r="C23" t="s">
        <v>134</v>
      </c>
      <c r="D23">
        <f>_xlfn.NORM.S.INV(1-0.2)</f>
        <v>0.84162123357291474</v>
      </c>
      <c r="E23">
        <f>_xlfn.NORM.S.INV(0.2)</f>
        <v>-0.84162123357291452</v>
      </c>
    </row>
    <row r="24" spans="2:5" x14ac:dyDescent="0.3">
      <c r="C24" t="s">
        <v>135</v>
      </c>
      <c r="D24">
        <f>SQRT(D8*(1-D8)+D8*(1-D8))</f>
        <v>0.44127831885047331</v>
      </c>
    </row>
    <row r="25" spans="2:5" x14ac:dyDescent="0.3">
      <c r="C25" t="s">
        <v>136</v>
      </c>
      <c r="D25">
        <f>SQRT(D8*(1-D8)+(D8+C8)*(1-(D8+C8)))</f>
        <v>0.44780645058719287</v>
      </c>
    </row>
    <row r="26" spans="2:5" x14ac:dyDescent="0.3">
      <c r="C26" t="s">
        <v>137</v>
      </c>
      <c r="D26">
        <f>(D22*D24+D23*D25)^2/C8^2</f>
        <v>27413.33789636361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39AA-30FB-4197-9FFD-F9401C3D929F}">
  <dimension ref="A1:T58"/>
  <sheetViews>
    <sheetView tabSelected="1" workbookViewId="0">
      <pane ySplit="2" topLeftCell="A22" activePane="bottomLeft" state="frozen"/>
      <selection pane="bottomLeft" activeCell="F42" sqref="F42"/>
    </sheetView>
  </sheetViews>
  <sheetFormatPr defaultRowHeight="13.8" x14ac:dyDescent="0.3"/>
  <cols>
    <col min="1" max="1" width="11.77734375" bestFit="1" customWidth="1"/>
    <col min="2" max="2" width="12.21875" bestFit="1" customWidth="1"/>
    <col min="3" max="4" width="10.77734375" customWidth="1"/>
    <col min="5" max="5" width="11" bestFit="1" customWidth="1"/>
    <col min="6" max="6" width="11" customWidth="1"/>
    <col min="10" max="10" width="11.77734375" bestFit="1" customWidth="1"/>
    <col min="14" max="14" width="11" bestFit="1" customWidth="1"/>
    <col min="15" max="15" width="11" customWidth="1"/>
    <col min="19" max="19" width="11.44140625" customWidth="1"/>
  </cols>
  <sheetData>
    <row r="1" spans="1:20" x14ac:dyDescent="0.3">
      <c r="A1" t="s">
        <v>111</v>
      </c>
      <c r="J1" t="s">
        <v>112</v>
      </c>
      <c r="S1" t="s">
        <v>125</v>
      </c>
    </row>
    <row r="2" spans="1:20" x14ac:dyDescent="0.3">
      <c r="A2" s="8" t="s">
        <v>69</v>
      </c>
      <c r="B2" t="s">
        <v>70</v>
      </c>
      <c r="C2" t="s">
        <v>71</v>
      </c>
      <c r="D2" t="s">
        <v>117</v>
      </c>
      <c r="E2" t="s">
        <v>72</v>
      </c>
      <c r="F2" t="s">
        <v>121</v>
      </c>
      <c r="G2" t="s">
        <v>73</v>
      </c>
      <c r="H2" t="s">
        <v>122</v>
      </c>
      <c r="J2" t="s">
        <v>69</v>
      </c>
      <c r="K2" t="s">
        <v>70</v>
      </c>
      <c r="L2" t="s">
        <v>71</v>
      </c>
      <c r="M2" t="s">
        <v>117</v>
      </c>
      <c r="N2" t="s">
        <v>72</v>
      </c>
      <c r="O2" t="s">
        <v>121</v>
      </c>
      <c r="P2" t="s">
        <v>73</v>
      </c>
      <c r="Q2" t="s">
        <v>122</v>
      </c>
      <c r="S2" t="s">
        <v>72</v>
      </c>
      <c r="T2" t="s">
        <v>73</v>
      </c>
    </row>
    <row r="3" spans="1:20" x14ac:dyDescent="0.3">
      <c r="A3" t="s">
        <v>74</v>
      </c>
      <c r="B3">
        <v>7723</v>
      </c>
      <c r="C3">
        <v>687</v>
      </c>
      <c r="D3">
        <f>C3/B3</f>
        <v>8.8955069273598336E-2</v>
      </c>
      <c r="E3">
        <v>134</v>
      </c>
      <c r="F3">
        <f>E3/C3</f>
        <v>0.1950509461426492</v>
      </c>
      <c r="G3">
        <v>70</v>
      </c>
      <c r="H3">
        <f>G3/C3</f>
        <v>0.10189228529839883</v>
      </c>
      <c r="J3" t="s">
        <v>74</v>
      </c>
      <c r="K3">
        <v>7716</v>
      </c>
      <c r="L3">
        <v>686</v>
      </c>
      <c r="M3">
        <f>L3/K3</f>
        <v>8.8906168999481602E-2</v>
      </c>
      <c r="N3">
        <v>105</v>
      </c>
      <c r="O3">
        <f>N3/L3</f>
        <v>0.15306122448979592</v>
      </c>
      <c r="P3">
        <v>34</v>
      </c>
      <c r="Q3">
        <f>P3/L3</f>
        <v>4.9562682215743441E-2</v>
      </c>
      <c r="S3">
        <f>O3-F3</f>
        <v>-4.1989721652853279E-2</v>
      </c>
      <c r="T3">
        <f>Q3-H3</f>
        <v>-5.2329603082655392E-2</v>
      </c>
    </row>
    <row r="4" spans="1:20" x14ac:dyDescent="0.3">
      <c r="A4" t="s">
        <v>75</v>
      </c>
      <c r="B4">
        <v>9102</v>
      </c>
      <c r="C4">
        <v>779</v>
      </c>
      <c r="D4">
        <f t="shared" ref="D4:D39" si="0">C4/B4</f>
        <v>8.5585585585585586E-2</v>
      </c>
      <c r="E4">
        <v>147</v>
      </c>
      <c r="F4">
        <f t="shared" ref="F4:F25" si="1">E4/C4</f>
        <v>0.18870346598202825</v>
      </c>
      <c r="G4">
        <v>70</v>
      </c>
      <c r="H4">
        <f t="shared" ref="H4:H25" si="2">G4/C4</f>
        <v>8.9858793324775352E-2</v>
      </c>
      <c r="J4" t="s">
        <v>75</v>
      </c>
      <c r="K4">
        <v>9288</v>
      </c>
      <c r="L4">
        <v>785</v>
      </c>
      <c r="M4">
        <f t="shared" ref="M4:M39" si="3">L4/K4</f>
        <v>8.4517657192075796E-2</v>
      </c>
      <c r="N4">
        <v>116</v>
      </c>
      <c r="O4">
        <f t="shared" ref="O4:O25" si="4">N4/L4</f>
        <v>0.14777070063694267</v>
      </c>
      <c r="P4">
        <v>91</v>
      </c>
      <c r="Q4">
        <f t="shared" ref="Q4:Q25" si="5">P4/L4</f>
        <v>0.11592356687898089</v>
      </c>
      <c r="S4">
        <f t="shared" ref="S4:U25" si="6">O4-F4</f>
        <v>-4.0932765345085581E-2</v>
      </c>
      <c r="T4">
        <f>Q4-H4</f>
        <v>2.6064773554205542E-2</v>
      </c>
    </row>
    <row r="5" spans="1:20" x14ac:dyDescent="0.3">
      <c r="A5" t="s">
        <v>76</v>
      </c>
      <c r="B5">
        <v>10511</v>
      </c>
      <c r="C5">
        <v>909</v>
      </c>
      <c r="D5">
        <f t="shared" si="0"/>
        <v>8.6480829607078299E-2</v>
      </c>
      <c r="E5">
        <v>167</v>
      </c>
      <c r="F5">
        <f t="shared" si="1"/>
        <v>0.18371837183718373</v>
      </c>
      <c r="G5">
        <v>95</v>
      </c>
      <c r="H5">
        <f t="shared" si="2"/>
        <v>0.10451045104510451</v>
      </c>
      <c r="J5" t="s">
        <v>76</v>
      </c>
      <c r="K5">
        <v>10480</v>
      </c>
      <c r="L5">
        <v>884</v>
      </c>
      <c r="M5">
        <f t="shared" si="3"/>
        <v>8.4351145038167943E-2</v>
      </c>
      <c r="N5">
        <v>145</v>
      </c>
      <c r="O5">
        <f t="shared" si="4"/>
        <v>0.16402714932126697</v>
      </c>
      <c r="P5">
        <v>79</v>
      </c>
      <c r="Q5">
        <f t="shared" si="5"/>
        <v>8.9366515837104074E-2</v>
      </c>
      <c r="S5">
        <f t="shared" si="6"/>
        <v>-1.9691222515916762E-2</v>
      </c>
      <c r="T5">
        <f>Q5-H5</f>
        <v>-1.5143935208000434E-2</v>
      </c>
    </row>
    <row r="6" spans="1:20" x14ac:dyDescent="0.3">
      <c r="A6" t="s">
        <v>77</v>
      </c>
      <c r="B6">
        <v>9871</v>
      </c>
      <c r="C6">
        <v>836</v>
      </c>
      <c r="D6">
        <f t="shared" si="0"/>
        <v>8.4692533684530447E-2</v>
      </c>
      <c r="E6">
        <v>156</v>
      </c>
      <c r="F6">
        <f t="shared" si="1"/>
        <v>0.18660287081339713</v>
      </c>
      <c r="G6">
        <v>105</v>
      </c>
      <c r="H6">
        <f t="shared" si="2"/>
        <v>0.1255980861244019</v>
      </c>
      <c r="J6" t="s">
        <v>77</v>
      </c>
      <c r="K6">
        <v>9867</v>
      </c>
      <c r="L6">
        <v>827</v>
      </c>
      <c r="M6">
        <f t="shared" si="3"/>
        <v>8.3814735988649039E-2</v>
      </c>
      <c r="N6">
        <v>138</v>
      </c>
      <c r="O6">
        <f t="shared" si="4"/>
        <v>0.16686819830713423</v>
      </c>
      <c r="P6">
        <v>92</v>
      </c>
      <c r="Q6">
        <f t="shared" si="5"/>
        <v>0.11124546553808948</v>
      </c>
      <c r="S6">
        <f t="shared" si="6"/>
        <v>-1.9734672506262901E-2</v>
      </c>
      <c r="T6">
        <f>Q6-H6</f>
        <v>-1.4352620586312426E-2</v>
      </c>
    </row>
    <row r="7" spans="1:20" x14ac:dyDescent="0.3">
      <c r="A7" t="s">
        <v>78</v>
      </c>
      <c r="B7">
        <v>10014</v>
      </c>
      <c r="C7">
        <v>837</v>
      </c>
      <c r="D7">
        <f t="shared" si="0"/>
        <v>8.3582983822648296E-2</v>
      </c>
      <c r="E7">
        <v>163</v>
      </c>
      <c r="F7">
        <f t="shared" si="1"/>
        <v>0.19474313022700118</v>
      </c>
      <c r="G7">
        <v>64</v>
      </c>
      <c r="H7">
        <f t="shared" si="2"/>
        <v>7.6463560334528072E-2</v>
      </c>
      <c r="J7" t="s">
        <v>78</v>
      </c>
      <c r="K7">
        <v>9793</v>
      </c>
      <c r="L7">
        <v>832</v>
      </c>
      <c r="M7">
        <f t="shared" si="3"/>
        <v>8.4958643929337288E-2</v>
      </c>
      <c r="N7">
        <v>140</v>
      </c>
      <c r="O7">
        <f t="shared" si="4"/>
        <v>0.16826923076923078</v>
      </c>
      <c r="P7">
        <v>94</v>
      </c>
      <c r="Q7">
        <f t="shared" si="5"/>
        <v>0.11298076923076923</v>
      </c>
      <c r="S7">
        <f t="shared" si="6"/>
        <v>-2.64738994577704E-2</v>
      </c>
      <c r="T7">
        <f>Q7-H7</f>
        <v>3.651720889624116E-2</v>
      </c>
    </row>
    <row r="8" spans="1:20" x14ac:dyDescent="0.3">
      <c r="A8" t="s">
        <v>79</v>
      </c>
      <c r="B8">
        <v>9670</v>
      </c>
      <c r="C8">
        <v>823</v>
      </c>
      <c r="D8">
        <f t="shared" si="0"/>
        <v>8.5108583247156158E-2</v>
      </c>
      <c r="E8">
        <v>138</v>
      </c>
      <c r="F8">
        <f t="shared" si="1"/>
        <v>0.16767922235722965</v>
      </c>
      <c r="G8">
        <v>82</v>
      </c>
      <c r="H8">
        <f t="shared" si="2"/>
        <v>9.9635479951397321E-2</v>
      </c>
      <c r="J8" t="s">
        <v>79</v>
      </c>
      <c r="K8">
        <v>9500</v>
      </c>
      <c r="L8">
        <v>788</v>
      </c>
      <c r="M8">
        <f t="shared" si="3"/>
        <v>8.2947368421052631E-2</v>
      </c>
      <c r="N8">
        <v>129</v>
      </c>
      <c r="O8">
        <f t="shared" si="4"/>
        <v>0.16370558375634517</v>
      </c>
      <c r="P8">
        <v>61</v>
      </c>
      <c r="Q8">
        <f t="shared" si="5"/>
        <v>7.7411167512690351E-2</v>
      </c>
      <c r="S8">
        <f t="shared" si="6"/>
        <v>-3.9736386008844826E-3</v>
      </c>
      <c r="T8">
        <f>Q8-H8</f>
        <v>-2.222431243870697E-2</v>
      </c>
    </row>
    <row r="9" spans="1:20" x14ac:dyDescent="0.3">
      <c r="A9" t="s">
        <v>80</v>
      </c>
      <c r="B9">
        <v>9008</v>
      </c>
      <c r="C9">
        <v>748</v>
      </c>
      <c r="D9">
        <f t="shared" si="0"/>
        <v>8.3037300177619899E-2</v>
      </c>
      <c r="E9">
        <v>146</v>
      </c>
      <c r="F9">
        <f t="shared" si="1"/>
        <v>0.19518716577540107</v>
      </c>
      <c r="G9">
        <v>76</v>
      </c>
      <c r="H9">
        <f t="shared" si="2"/>
        <v>0.10160427807486631</v>
      </c>
      <c r="J9" t="s">
        <v>80</v>
      </c>
      <c r="K9">
        <v>9088</v>
      </c>
      <c r="L9">
        <v>780</v>
      </c>
      <c r="M9">
        <f t="shared" si="3"/>
        <v>8.5827464788732391E-2</v>
      </c>
      <c r="N9">
        <v>127</v>
      </c>
      <c r="O9">
        <f t="shared" si="4"/>
        <v>0.16282051282051282</v>
      </c>
      <c r="P9">
        <v>44</v>
      </c>
      <c r="Q9">
        <f t="shared" si="5"/>
        <v>5.6410256410256411E-2</v>
      </c>
      <c r="S9">
        <f t="shared" si="6"/>
        <v>-3.2366652954888248E-2</v>
      </c>
      <c r="T9">
        <f>Q9-H9</f>
        <v>-4.5194021664609903E-2</v>
      </c>
    </row>
    <row r="10" spans="1:20" x14ac:dyDescent="0.3">
      <c r="A10" t="s">
        <v>81</v>
      </c>
      <c r="B10">
        <v>7434</v>
      </c>
      <c r="C10">
        <v>632</v>
      </c>
      <c r="D10">
        <f t="shared" si="0"/>
        <v>8.5014796879203658E-2</v>
      </c>
      <c r="E10">
        <v>110</v>
      </c>
      <c r="F10">
        <f t="shared" si="1"/>
        <v>0.17405063291139242</v>
      </c>
      <c r="G10">
        <v>70</v>
      </c>
      <c r="H10">
        <f t="shared" si="2"/>
        <v>0.11075949367088607</v>
      </c>
      <c r="J10" t="s">
        <v>81</v>
      </c>
      <c r="K10">
        <v>7664</v>
      </c>
      <c r="L10">
        <v>652</v>
      </c>
      <c r="M10">
        <f t="shared" si="3"/>
        <v>8.5073068893528184E-2</v>
      </c>
      <c r="N10">
        <v>94</v>
      </c>
      <c r="O10">
        <f t="shared" si="4"/>
        <v>0.14417177914110429</v>
      </c>
      <c r="P10">
        <v>62</v>
      </c>
      <c r="Q10">
        <f t="shared" si="5"/>
        <v>9.5092024539877307E-2</v>
      </c>
      <c r="S10">
        <f t="shared" si="6"/>
        <v>-2.9878853770288122E-2</v>
      </c>
      <c r="T10">
        <f>Q10-H10</f>
        <v>-1.5667469131008763E-2</v>
      </c>
    </row>
    <row r="11" spans="1:20" x14ac:dyDescent="0.3">
      <c r="A11" t="s">
        <v>82</v>
      </c>
      <c r="B11">
        <v>8459</v>
      </c>
      <c r="C11">
        <v>691</v>
      </c>
      <c r="D11">
        <f t="shared" si="0"/>
        <v>8.1688142806478306E-2</v>
      </c>
      <c r="E11">
        <v>131</v>
      </c>
      <c r="F11">
        <f t="shared" si="1"/>
        <v>0.18958031837916064</v>
      </c>
      <c r="G11">
        <v>60</v>
      </c>
      <c r="H11">
        <f t="shared" si="2"/>
        <v>8.6830680173661356E-2</v>
      </c>
      <c r="J11" t="s">
        <v>82</v>
      </c>
      <c r="K11">
        <v>8434</v>
      </c>
      <c r="L11">
        <v>697</v>
      </c>
      <c r="M11">
        <f t="shared" si="3"/>
        <v>8.2641688404078734E-2</v>
      </c>
      <c r="N11">
        <v>120</v>
      </c>
      <c r="O11">
        <f t="shared" si="4"/>
        <v>0.17216642754662842</v>
      </c>
      <c r="P11">
        <v>77</v>
      </c>
      <c r="Q11">
        <f t="shared" si="5"/>
        <v>0.11047345767575323</v>
      </c>
      <c r="S11">
        <f t="shared" si="6"/>
        <v>-1.7413890832532225E-2</v>
      </c>
      <c r="T11">
        <f>Q11-H11</f>
        <v>2.3642777502091872E-2</v>
      </c>
    </row>
    <row r="12" spans="1:20" x14ac:dyDescent="0.3">
      <c r="A12" t="s">
        <v>83</v>
      </c>
      <c r="B12">
        <v>10667</v>
      </c>
      <c r="C12">
        <v>861</v>
      </c>
      <c r="D12">
        <f t="shared" si="0"/>
        <v>8.0716227617886938E-2</v>
      </c>
      <c r="E12">
        <v>165</v>
      </c>
      <c r="F12">
        <f t="shared" si="1"/>
        <v>0.19163763066202091</v>
      </c>
      <c r="G12">
        <v>97</v>
      </c>
      <c r="H12">
        <f t="shared" si="2"/>
        <v>0.11265969802555169</v>
      </c>
      <c r="J12" t="s">
        <v>83</v>
      </c>
      <c r="K12">
        <v>10496</v>
      </c>
      <c r="L12">
        <v>860</v>
      </c>
      <c r="M12">
        <f t="shared" si="3"/>
        <v>8.1935975609756101E-2</v>
      </c>
      <c r="N12">
        <v>153</v>
      </c>
      <c r="O12">
        <f t="shared" si="4"/>
        <v>0.17790697674418604</v>
      </c>
      <c r="P12">
        <v>98</v>
      </c>
      <c r="Q12">
        <f t="shared" si="5"/>
        <v>0.11395348837209303</v>
      </c>
      <c r="S12">
        <f t="shared" si="6"/>
        <v>-1.3730653917834873E-2</v>
      </c>
      <c r="T12">
        <f>Q12-H12</f>
        <v>1.2937903465413403E-3</v>
      </c>
    </row>
    <row r="13" spans="1:20" x14ac:dyDescent="0.3">
      <c r="A13" t="s">
        <v>84</v>
      </c>
      <c r="B13">
        <v>10660</v>
      </c>
      <c r="C13">
        <v>867</v>
      </c>
      <c r="D13">
        <f t="shared" si="0"/>
        <v>8.1332082551594742E-2</v>
      </c>
      <c r="E13">
        <v>196</v>
      </c>
      <c r="F13">
        <f t="shared" si="1"/>
        <v>0.22606689734717417</v>
      </c>
      <c r="G13">
        <v>105</v>
      </c>
      <c r="H13">
        <f t="shared" si="2"/>
        <v>0.12110726643598616</v>
      </c>
      <c r="J13" t="s">
        <v>84</v>
      </c>
      <c r="K13">
        <v>10551</v>
      </c>
      <c r="L13">
        <v>864</v>
      </c>
      <c r="M13">
        <f t="shared" si="3"/>
        <v>8.1887972704009104E-2</v>
      </c>
      <c r="N13">
        <v>143</v>
      </c>
      <c r="O13">
        <f t="shared" si="4"/>
        <v>0.16550925925925927</v>
      </c>
      <c r="P13">
        <v>71</v>
      </c>
      <c r="Q13">
        <f t="shared" si="5"/>
        <v>8.217592592592593E-2</v>
      </c>
      <c r="S13">
        <f t="shared" si="6"/>
        <v>-6.0557638087914895E-2</v>
      </c>
      <c r="T13">
        <f>Q13-H13</f>
        <v>-3.8931340510060225E-2</v>
      </c>
    </row>
    <row r="14" spans="1:20" x14ac:dyDescent="0.3">
      <c r="A14" t="s">
        <v>85</v>
      </c>
      <c r="B14">
        <v>9947</v>
      </c>
      <c r="C14">
        <v>838</v>
      </c>
      <c r="D14">
        <f t="shared" si="0"/>
        <v>8.4246506484367142E-2</v>
      </c>
      <c r="E14">
        <v>162</v>
      </c>
      <c r="F14">
        <f t="shared" si="1"/>
        <v>0.19331742243436753</v>
      </c>
      <c r="G14">
        <v>92</v>
      </c>
      <c r="H14">
        <f t="shared" si="2"/>
        <v>0.10978520286396182</v>
      </c>
      <c r="J14" t="s">
        <v>85</v>
      </c>
      <c r="K14">
        <v>9737</v>
      </c>
      <c r="L14">
        <v>801</v>
      </c>
      <c r="M14">
        <f t="shared" si="3"/>
        <v>8.2263530861661702E-2</v>
      </c>
      <c r="N14">
        <v>128</v>
      </c>
      <c r="O14">
        <f t="shared" si="4"/>
        <v>0.15980024968789014</v>
      </c>
      <c r="P14">
        <v>70</v>
      </c>
      <c r="Q14">
        <f t="shared" si="5"/>
        <v>8.7390761548064924E-2</v>
      </c>
      <c r="S14">
        <f t="shared" si="6"/>
        <v>-3.3517172746477392E-2</v>
      </c>
      <c r="T14">
        <f>Q14-H14</f>
        <v>-2.2394441315896893E-2</v>
      </c>
    </row>
    <row r="15" spans="1:20" x14ac:dyDescent="0.3">
      <c r="A15" t="s">
        <v>86</v>
      </c>
      <c r="B15">
        <v>8324</v>
      </c>
      <c r="C15">
        <v>665</v>
      </c>
      <c r="D15">
        <f t="shared" si="0"/>
        <v>7.9889476213358956E-2</v>
      </c>
      <c r="E15">
        <v>127</v>
      </c>
      <c r="F15">
        <f t="shared" si="1"/>
        <v>0.19097744360902255</v>
      </c>
      <c r="G15">
        <v>56</v>
      </c>
      <c r="H15">
        <f t="shared" si="2"/>
        <v>8.4210526315789472E-2</v>
      </c>
      <c r="J15" t="s">
        <v>86</v>
      </c>
      <c r="K15">
        <v>8176</v>
      </c>
      <c r="L15">
        <v>642</v>
      </c>
      <c r="M15">
        <f t="shared" si="3"/>
        <v>7.8522504892367909E-2</v>
      </c>
      <c r="N15">
        <v>122</v>
      </c>
      <c r="O15">
        <f t="shared" si="4"/>
        <v>0.19003115264797507</v>
      </c>
      <c r="P15">
        <v>68</v>
      </c>
      <c r="Q15">
        <f t="shared" si="5"/>
        <v>0.1059190031152648</v>
      </c>
      <c r="S15">
        <f t="shared" si="6"/>
        <v>-9.4629096104748012E-4</v>
      </c>
      <c r="T15">
        <f>Q15-H15</f>
        <v>2.1708476799475324E-2</v>
      </c>
    </row>
    <row r="16" spans="1:20" x14ac:dyDescent="0.3">
      <c r="A16" t="s">
        <v>87</v>
      </c>
      <c r="B16">
        <v>9434</v>
      </c>
      <c r="C16">
        <v>673</v>
      </c>
      <c r="D16">
        <f t="shared" si="0"/>
        <v>7.1337714649141404E-2</v>
      </c>
      <c r="E16">
        <v>220</v>
      </c>
      <c r="F16">
        <f t="shared" si="1"/>
        <v>0.32689450222882616</v>
      </c>
      <c r="G16">
        <v>122</v>
      </c>
      <c r="H16">
        <f t="shared" si="2"/>
        <v>0.1812778603268945</v>
      </c>
      <c r="J16" t="s">
        <v>87</v>
      </c>
      <c r="K16">
        <v>9402</v>
      </c>
      <c r="L16">
        <v>697</v>
      </c>
      <c r="M16">
        <f t="shared" si="3"/>
        <v>7.413316315677515E-2</v>
      </c>
      <c r="N16">
        <v>194</v>
      </c>
      <c r="O16">
        <f t="shared" si="4"/>
        <v>0.27833572453371591</v>
      </c>
      <c r="P16">
        <v>94</v>
      </c>
      <c r="Q16">
        <f t="shared" si="5"/>
        <v>0.13486370157819225</v>
      </c>
      <c r="S16">
        <f t="shared" si="6"/>
        <v>-4.8558777695110245E-2</v>
      </c>
      <c r="T16">
        <f>Q16-H16</f>
        <v>-4.641415874870225E-2</v>
      </c>
    </row>
    <row r="17" spans="1:20" x14ac:dyDescent="0.3">
      <c r="A17" t="s">
        <v>88</v>
      </c>
      <c r="B17">
        <v>8687</v>
      </c>
      <c r="C17">
        <v>691</v>
      </c>
      <c r="D17">
        <f t="shared" si="0"/>
        <v>7.954414642569356E-2</v>
      </c>
      <c r="E17">
        <v>176</v>
      </c>
      <c r="F17">
        <f t="shared" si="1"/>
        <v>0.25470332850940663</v>
      </c>
      <c r="G17">
        <v>128</v>
      </c>
      <c r="H17">
        <f t="shared" si="2"/>
        <v>0.18523878437047755</v>
      </c>
      <c r="J17" t="s">
        <v>88</v>
      </c>
      <c r="K17">
        <v>8669</v>
      </c>
      <c r="L17">
        <v>669</v>
      </c>
      <c r="M17">
        <f t="shared" si="3"/>
        <v>7.7171530741723379E-2</v>
      </c>
      <c r="N17">
        <v>127</v>
      </c>
      <c r="O17">
        <f t="shared" si="4"/>
        <v>0.18983557548579971</v>
      </c>
      <c r="P17">
        <v>81</v>
      </c>
      <c r="Q17">
        <f t="shared" si="5"/>
        <v>0.1210762331838565</v>
      </c>
      <c r="S17">
        <f t="shared" si="6"/>
        <v>-6.4867753023606922E-2</v>
      </c>
      <c r="T17">
        <f>Q17-H17</f>
        <v>-6.416255118662105E-2</v>
      </c>
    </row>
    <row r="18" spans="1:20" x14ac:dyDescent="0.3">
      <c r="A18" t="s">
        <v>89</v>
      </c>
      <c r="B18">
        <v>8896</v>
      </c>
      <c r="C18">
        <v>708</v>
      </c>
      <c r="D18">
        <f t="shared" si="0"/>
        <v>7.9586330935251803E-2</v>
      </c>
      <c r="E18">
        <v>161</v>
      </c>
      <c r="F18">
        <f t="shared" si="1"/>
        <v>0.22740112994350281</v>
      </c>
      <c r="G18">
        <v>104</v>
      </c>
      <c r="H18">
        <f t="shared" si="2"/>
        <v>0.14689265536723164</v>
      </c>
      <c r="J18" t="s">
        <v>89</v>
      </c>
      <c r="K18">
        <v>8881</v>
      </c>
      <c r="L18">
        <v>693</v>
      </c>
      <c r="M18">
        <f t="shared" si="3"/>
        <v>7.8031753180948085E-2</v>
      </c>
      <c r="N18">
        <v>153</v>
      </c>
      <c r="O18">
        <f t="shared" si="4"/>
        <v>0.22077922077922077</v>
      </c>
      <c r="P18">
        <v>101</v>
      </c>
      <c r="Q18">
        <f t="shared" si="5"/>
        <v>0.14574314574314573</v>
      </c>
      <c r="S18">
        <f t="shared" si="6"/>
        <v>-6.6219091642820416E-3</v>
      </c>
      <c r="T18">
        <f>Q18-H18</f>
        <v>-1.1495096240859148E-3</v>
      </c>
    </row>
    <row r="19" spans="1:20" x14ac:dyDescent="0.3">
      <c r="A19" t="s">
        <v>90</v>
      </c>
      <c r="B19">
        <v>9535</v>
      </c>
      <c r="C19">
        <v>759</v>
      </c>
      <c r="D19">
        <f t="shared" si="0"/>
        <v>7.960146827477714E-2</v>
      </c>
      <c r="E19">
        <v>233</v>
      </c>
      <c r="F19">
        <f t="shared" si="1"/>
        <v>0.30698287220026349</v>
      </c>
      <c r="G19">
        <v>124</v>
      </c>
      <c r="H19">
        <f t="shared" si="2"/>
        <v>0.16337285902503293</v>
      </c>
      <c r="J19" t="s">
        <v>90</v>
      </c>
      <c r="K19">
        <v>9655</v>
      </c>
      <c r="L19">
        <v>771</v>
      </c>
      <c r="M19">
        <f t="shared" si="3"/>
        <v>7.9854997410668052E-2</v>
      </c>
      <c r="N19">
        <v>213</v>
      </c>
      <c r="O19">
        <f t="shared" si="4"/>
        <v>0.27626459143968873</v>
      </c>
      <c r="P19">
        <v>119</v>
      </c>
      <c r="Q19">
        <f t="shared" si="5"/>
        <v>0.15434500648508431</v>
      </c>
      <c r="S19">
        <f t="shared" si="6"/>
        <v>-3.0718280760574757E-2</v>
      </c>
      <c r="T19">
        <f>Q19-H19</f>
        <v>-9.0278525399486165E-3</v>
      </c>
    </row>
    <row r="20" spans="1:20" x14ac:dyDescent="0.3">
      <c r="A20" t="s">
        <v>91</v>
      </c>
      <c r="B20">
        <v>9363</v>
      </c>
      <c r="C20">
        <v>736</v>
      </c>
      <c r="D20">
        <f t="shared" si="0"/>
        <v>7.8607283990174096E-2</v>
      </c>
      <c r="E20">
        <v>154</v>
      </c>
      <c r="F20">
        <f t="shared" si="1"/>
        <v>0.20923913043478262</v>
      </c>
      <c r="G20">
        <v>91</v>
      </c>
      <c r="H20">
        <f t="shared" si="2"/>
        <v>0.12364130434782608</v>
      </c>
      <c r="J20" t="s">
        <v>91</v>
      </c>
      <c r="K20">
        <v>9396</v>
      </c>
      <c r="L20">
        <v>736</v>
      </c>
      <c r="M20">
        <f t="shared" si="3"/>
        <v>7.833120476798637E-2</v>
      </c>
      <c r="N20">
        <v>162</v>
      </c>
      <c r="O20">
        <f t="shared" si="4"/>
        <v>0.22010869565217392</v>
      </c>
      <c r="P20">
        <v>120</v>
      </c>
      <c r="Q20">
        <f t="shared" si="5"/>
        <v>0.16304347826086957</v>
      </c>
      <c r="S20">
        <f t="shared" si="6"/>
        <v>1.0869565217391297E-2</v>
      </c>
      <c r="T20">
        <f>Q20-H20</f>
        <v>3.9402173913043487E-2</v>
      </c>
    </row>
    <row r="21" spans="1:20" x14ac:dyDescent="0.3">
      <c r="A21" t="s">
        <v>92</v>
      </c>
      <c r="B21">
        <v>9327</v>
      </c>
      <c r="C21">
        <v>739</v>
      </c>
      <c r="D21">
        <f t="shared" si="0"/>
        <v>7.9232336228154815E-2</v>
      </c>
      <c r="E21">
        <v>196</v>
      </c>
      <c r="F21">
        <f t="shared" si="1"/>
        <v>0.26522327469553453</v>
      </c>
      <c r="G21">
        <v>86</v>
      </c>
      <c r="H21">
        <f t="shared" si="2"/>
        <v>0.11637347767253045</v>
      </c>
      <c r="J21" t="s">
        <v>92</v>
      </c>
      <c r="K21">
        <v>9262</v>
      </c>
      <c r="L21">
        <v>727</v>
      </c>
      <c r="M21">
        <f t="shared" si="3"/>
        <v>7.8492766141222192E-2</v>
      </c>
      <c r="N21">
        <v>201</v>
      </c>
      <c r="O21">
        <f t="shared" si="4"/>
        <v>0.27647867950481431</v>
      </c>
      <c r="P21">
        <v>96</v>
      </c>
      <c r="Q21">
        <f t="shared" si="5"/>
        <v>0.13204951856946354</v>
      </c>
      <c r="S21">
        <f t="shared" si="6"/>
        <v>1.1255404809279779E-2</v>
      </c>
      <c r="T21">
        <f>Q21-H21</f>
        <v>1.5676040896933086E-2</v>
      </c>
    </row>
    <row r="22" spans="1:20" x14ac:dyDescent="0.3">
      <c r="A22" t="s">
        <v>93</v>
      </c>
      <c r="B22">
        <v>9345</v>
      </c>
      <c r="C22">
        <v>734</v>
      </c>
      <c r="D22">
        <f t="shared" si="0"/>
        <v>7.854467629748528E-2</v>
      </c>
      <c r="E22">
        <v>167</v>
      </c>
      <c r="F22">
        <f t="shared" si="1"/>
        <v>0.22752043596730245</v>
      </c>
      <c r="G22">
        <v>75</v>
      </c>
      <c r="H22">
        <f t="shared" si="2"/>
        <v>0.10217983651226158</v>
      </c>
      <c r="J22" t="s">
        <v>93</v>
      </c>
      <c r="K22">
        <v>9308</v>
      </c>
      <c r="L22">
        <v>728</v>
      </c>
      <c r="M22">
        <f t="shared" si="3"/>
        <v>7.8212290502793297E-2</v>
      </c>
      <c r="N22">
        <v>207</v>
      </c>
      <c r="O22">
        <f t="shared" si="4"/>
        <v>0.28434065934065933</v>
      </c>
      <c r="P22">
        <v>67</v>
      </c>
      <c r="Q22">
        <f t="shared" si="5"/>
        <v>9.2032967032967039E-2</v>
      </c>
      <c r="S22">
        <f t="shared" si="6"/>
        <v>5.6820223373356876E-2</v>
      </c>
      <c r="T22">
        <f>Q22-H22</f>
        <v>-1.0146869479294537E-2</v>
      </c>
    </row>
    <row r="23" spans="1:20" x14ac:dyDescent="0.3">
      <c r="A23" t="s">
        <v>94</v>
      </c>
      <c r="B23">
        <v>8890</v>
      </c>
      <c r="C23">
        <v>706</v>
      </c>
      <c r="D23">
        <f t="shared" si="0"/>
        <v>7.9415073115860518E-2</v>
      </c>
      <c r="E23">
        <v>174</v>
      </c>
      <c r="F23">
        <f t="shared" si="1"/>
        <v>0.24645892351274787</v>
      </c>
      <c r="G23">
        <v>101</v>
      </c>
      <c r="H23">
        <f t="shared" si="2"/>
        <v>0.14305949008498584</v>
      </c>
      <c r="J23" t="s">
        <v>94</v>
      </c>
      <c r="K23">
        <v>8715</v>
      </c>
      <c r="L23">
        <v>722</v>
      </c>
      <c r="M23">
        <f t="shared" si="3"/>
        <v>8.2845668387837065E-2</v>
      </c>
      <c r="N23">
        <v>182</v>
      </c>
      <c r="O23">
        <f t="shared" si="4"/>
        <v>0.25207756232686979</v>
      </c>
      <c r="P23">
        <v>123</v>
      </c>
      <c r="Q23">
        <f t="shared" si="5"/>
        <v>0.17036011080332411</v>
      </c>
      <c r="S23">
        <f t="shared" si="6"/>
        <v>5.6186388141219179E-3</v>
      </c>
      <c r="T23">
        <f>Q23-H23</f>
        <v>2.7300620718338275E-2</v>
      </c>
    </row>
    <row r="24" spans="1:20" x14ac:dyDescent="0.3">
      <c r="A24" t="s">
        <v>95</v>
      </c>
      <c r="B24">
        <v>8460</v>
      </c>
      <c r="C24">
        <v>681</v>
      </c>
      <c r="D24">
        <f t="shared" si="0"/>
        <v>8.0496453900709225E-2</v>
      </c>
      <c r="E24">
        <v>156</v>
      </c>
      <c r="F24">
        <f t="shared" si="1"/>
        <v>0.22907488986784141</v>
      </c>
      <c r="G24">
        <v>93</v>
      </c>
      <c r="H24">
        <f t="shared" si="2"/>
        <v>0.13656387665198239</v>
      </c>
      <c r="J24" t="s">
        <v>95</v>
      </c>
      <c r="K24">
        <v>8448</v>
      </c>
      <c r="L24">
        <v>695</v>
      </c>
      <c r="M24">
        <f t="shared" si="3"/>
        <v>8.2267992424242431E-2</v>
      </c>
      <c r="N24">
        <v>142</v>
      </c>
      <c r="O24">
        <f t="shared" si="4"/>
        <v>0.20431654676258992</v>
      </c>
      <c r="P24">
        <v>100</v>
      </c>
      <c r="Q24">
        <f t="shared" si="5"/>
        <v>0.14388489208633093</v>
      </c>
      <c r="S24">
        <f t="shared" si="6"/>
        <v>-2.475834310525149E-2</v>
      </c>
      <c r="T24">
        <f>Q24-H24</f>
        <v>7.3210154343485434E-3</v>
      </c>
    </row>
    <row r="25" spans="1:20" x14ac:dyDescent="0.3">
      <c r="A25" t="s">
        <v>96</v>
      </c>
      <c r="B25">
        <v>8836</v>
      </c>
      <c r="C25">
        <v>693</v>
      </c>
      <c r="D25">
        <f t="shared" si="0"/>
        <v>7.8429153463105472E-2</v>
      </c>
      <c r="E25">
        <v>206</v>
      </c>
      <c r="F25">
        <f t="shared" si="1"/>
        <v>0.29725829725829728</v>
      </c>
      <c r="G25">
        <v>67</v>
      </c>
      <c r="H25">
        <f t="shared" si="2"/>
        <v>9.6681096681096687E-2</v>
      </c>
      <c r="J25" t="s">
        <v>96</v>
      </c>
      <c r="K25">
        <v>8836</v>
      </c>
      <c r="L25">
        <v>724</v>
      </c>
      <c r="M25">
        <f t="shared" si="3"/>
        <v>8.1937528293345399E-2</v>
      </c>
      <c r="N25">
        <v>182</v>
      </c>
      <c r="O25">
        <f t="shared" si="4"/>
        <v>0.25138121546961328</v>
      </c>
      <c r="P25">
        <v>103</v>
      </c>
      <c r="Q25">
        <f t="shared" si="5"/>
        <v>0.14226519337016574</v>
      </c>
      <c r="S25">
        <f t="shared" si="6"/>
        <v>-4.5877081788683993E-2</v>
      </c>
      <c r="T25">
        <f>Q25-H25</f>
        <v>4.5584096689069056E-2</v>
      </c>
    </row>
    <row r="26" spans="1:20" x14ac:dyDescent="0.3">
      <c r="A26" t="s">
        <v>97</v>
      </c>
      <c r="B26">
        <v>9437</v>
      </c>
      <c r="C26">
        <v>788</v>
      </c>
      <c r="D26">
        <f t="shared" si="0"/>
        <v>8.3501112641729366E-2</v>
      </c>
      <c r="J26" t="s">
        <v>97</v>
      </c>
      <c r="K26">
        <v>9359</v>
      </c>
      <c r="L26">
        <v>789</v>
      </c>
      <c r="M26">
        <f t="shared" si="3"/>
        <v>8.4303878619510636E-2</v>
      </c>
      <c r="R26" t="s">
        <v>126</v>
      </c>
      <c r="S26">
        <f>COUNTIF(S3:S25,"&lt;0")</f>
        <v>19</v>
      </c>
      <c r="T26">
        <f>COUNTIF(T3:T25,"&lt;0")</f>
        <v>13</v>
      </c>
    </row>
    <row r="27" spans="1:20" x14ac:dyDescent="0.3">
      <c r="A27" t="s">
        <v>98</v>
      </c>
      <c r="B27">
        <v>9420</v>
      </c>
      <c r="C27">
        <v>781</v>
      </c>
      <c r="D27">
        <f t="shared" si="0"/>
        <v>8.2908704883227172E-2</v>
      </c>
      <c r="J27" t="s">
        <v>98</v>
      </c>
      <c r="K27">
        <v>9427</v>
      </c>
      <c r="L27">
        <v>743</v>
      </c>
      <c r="M27">
        <f t="shared" si="3"/>
        <v>7.8816166330752099E-2</v>
      </c>
      <c r="R27" t="s">
        <v>127</v>
      </c>
      <c r="S27">
        <f>COUNT(S3:S25)</f>
        <v>23</v>
      </c>
      <c r="T27">
        <f>COUNT(T3:T25)</f>
        <v>23</v>
      </c>
    </row>
    <row r="28" spans="1:20" x14ac:dyDescent="0.3">
      <c r="A28" t="s">
        <v>99</v>
      </c>
      <c r="B28">
        <v>9570</v>
      </c>
      <c r="C28">
        <v>805</v>
      </c>
      <c r="D28">
        <f t="shared" si="0"/>
        <v>8.4117032392894461E-2</v>
      </c>
      <c r="J28" t="s">
        <v>99</v>
      </c>
      <c r="K28">
        <v>9633</v>
      </c>
      <c r="L28">
        <v>808</v>
      </c>
      <c r="M28">
        <f t="shared" si="3"/>
        <v>8.3878334890480646E-2</v>
      </c>
      <c r="R28" s="15" t="s">
        <v>129</v>
      </c>
      <c r="S28" s="15">
        <f>S26/S27</f>
        <v>0.82608695652173914</v>
      </c>
      <c r="T28" s="15">
        <f>T26/T27</f>
        <v>0.56521739130434778</v>
      </c>
    </row>
    <row r="29" spans="1:20" x14ac:dyDescent="0.3">
      <c r="A29" t="s">
        <v>100</v>
      </c>
      <c r="B29">
        <v>9921</v>
      </c>
      <c r="C29">
        <v>830</v>
      </c>
      <c r="D29">
        <f t="shared" si="0"/>
        <v>8.3660921278096961E-2</v>
      </c>
      <c r="J29" t="s">
        <v>100</v>
      </c>
      <c r="K29">
        <v>9842</v>
      </c>
      <c r="L29">
        <v>831</v>
      </c>
      <c r="M29">
        <f t="shared" si="3"/>
        <v>8.4434058118268651E-2</v>
      </c>
      <c r="R29" s="15" t="s">
        <v>130</v>
      </c>
      <c r="S29" s="15">
        <v>0.5</v>
      </c>
      <c r="T29" s="15">
        <v>0.5</v>
      </c>
    </row>
    <row r="30" spans="1:20" x14ac:dyDescent="0.3">
      <c r="A30" t="s">
        <v>101</v>
      </c>
      <c r="B30">
        <v>9424</v>
      </c>
      <c r="C30">
        <v>781</v>
      </c>
      <c r="D30">
        <f t="shared" si="0"/>
        <v>8.2873514431239387E-2</v>
      </c>
      <c r="J30" t="s">
        <v>101</v>
      </c>
      <c r="K30">
        <v>9272</v>
      </c>
      <c r="L30">
        <v>767</v>
      </c>
      <c r="M30">
        <f t="shared" si="3"/>
        <v>8.2722174288179462E-2</v>
      </c>
      <c r="R30" s="15" t="s">
        <v>128</v>
      </c>
      <c r="S30" s="15">
        <f>S28-S29</f>
        <v>0.32608695652173914</v>
      </c>
      <c r="T30" s="15">
        <f>T28-T29</f>
        <v>6.5217391304347783E-2</v>
      </c>
    </row>
    <row r="31" spans="1:20" x14ac:dyDescent="0.3">
      <c r="A31" t="s">
        <v>102</v>
      </c>
      <c r="B31">
        <v>9010</v>
      </c>
      <c r="C31">
        <v>756</v>
      </c>
      <c r="D31">
        <f t="shared" si="0"/>
        <v>8.390677025527192E-2</v>
      </c>
      <c r="J31" t="s">
        <v>102</v>
      </c>
      <c r="K31">
        <v>8969</v>
      </c>
      <c r="L31">
        <v>760</v>
      </c>
      <c r="M31">
        <f t="shared" si="3"/>
        <v>8.4736313970342286E-2</v>
      </c>
      <c r="R31" s="15" t="s">
        <v>14</v>
      </c>
      <c r="S31" s="15">
        <f>SQRT(S29*(1-S29)/S27)</f>
        <v>0.10425720702853739</v>
      </c>
      <c r="T31" s="15">
        <f>SQRT(T29*(1-T29)/T27)</f>
        <v>0.10425720702853739</v>
      </c>
    </row>
    <row r="32" spans="1:20" x14ac:dyDescent="0.3">
      <c r="A32" t="s">
        <v>103</v>
      </c>
      <c r="B32">
        <v>9656</v>
      </c>
      <c r="C32">
        <v>825</v>
      </c>
      <c r="D32">
        <f t="shared" si="0"/>
        <v>8.5439105219552614E-2</v>
      </c>
      <c r="J32" t="s">
        <v>103</v>
      </c>
      <c r="K32">
        <v>9697</v>
      </c>
      <c r="L32">
        <v>850</v>
      </c>
      <c r="M32">
        <f t="shared" si="3"/>
        <v>8.7655976075074762E-2</v>
      </c>
      <c r="R32" s="15" t="s">
        <v>131</v>
      </c>
      <c r="S32" s="15">
        <f>S30/S31</f>
        <v>3.1277162108561214</v>
      </c>
      <c r="T32" s="15">
        <f>T30/T31</f>
        <v>0.62554324217122381</v>
      </c>
    </row>
    <row r="33" spans="1:20" x14ac:dyDescent="0.3">
      <c r="A33" t="s">
        <v>104</v>
      </c>
      <c r="B33">
        <v>10419</v>
      </c>
      <c r="C33">
        <v>874</v>
      </c>
      <c r="D33">
        <f t="shared" si="0"/>
        <v>8.3885209713024281E-2</v>
      </c>
      <c r="J33" t="s">
        <v>104</v>
      </c>
      <c r="K33">
        <v>10445</v>
      </c>
      <c r="L33">
        <v>851</v>
      </c>
      <c r="M33">
        <f t="shared" si="3"/>
        <v>8.1474389660124463E-2</v>
      </c>
      <c r="R33" t="s">
        <v>132</v>
      </c>
      <c r="S33" s="8">
        <f>_xlfn.BINOM.DIST.RANGE(S27,S29,S26)</f>
        <v>1.0555982589721675E-3</v>
      </c>
      <c r="T33" s="8">
        <f>_xlfn.BINOM.DIST.RANGE(T27,T29,T26)</f>
        <v>0.13638329505920405</v>
      </c>
    </row>
    <row r="34" spans="1:20" x14ac:dyDescent="0.3">
      <c r="A34" t="s">
        <v>105</v>
      </c>
      <c r="B34">
        <v>9880</v>
      </c>
      <c r="C34">
        <v>830</v>
      </c>
      <c r="D34">
        <f t="shared" si="0"/>
        <v>8.4008097165991905E-2</v>
      </c>
      <c r="J34" t="s">
        <v>105</v>
      </c>
      <c r="K34">
        <v>9931</v>
      </c>
      <c r="L34">
        <v>831</v>
      </c>
      <c r="M34">
        <f t="shared" si="3"/>
        <v>8.3677373879770423E-2</v>
      </c>
      <c r="S34">
        <f>_xlfn.NORM.S.DIST(S32,FALSE)</f>
        <v>2.9967021418240676E-3</v>
      </c>
      <c r="T34">
        <f>_xlfn.NORM.S.DIST(T32,FALSE)</f>
        <v>0.32804951975927454</v>
      </c>
    </row>
    <row r="35" spans="1:20" x14ac:dyDescent="0.3">
      <c r="A35" t="s">
        <v>106</v>
      </c>
      <c r="B35">
        <v>10134</v>
      </c>
      <c r="C35">
        <v>801</v>
      </c>
      <c r="D35">
        <f t="shared" si="0"/>
        <v>7.9040852575488457E-2</v>
      </c>
      <c r="J35" t="s">
        <v>106</v>
      </c>
      <c r="K35">
        <v>10042</v>
      </c>
      <c r="L35">
        <v>802</v>
      </c>
      <c r="M35">
        <f t="shared" si="3"/>
        <v>7.9864568810993825E-2</v>
      </c>
      <c r="S35">
        <f>_xlfn.BINOM.DIST(19,23,0.5,TRUE)</f>
        <v>0.999755859375</v>
      </c>
    </row>
    <row r="36" spans="1:20" x14ac:dyDescent="0.3">
      <c r="A36" t="s">
        <v>107</v>
      </c>
      <c r="B36">
        <v>9717</v>
      </c>
      <c r="C36">
        <v>814</v>
      </c>
      <c r="D36">
        <f t="shared" si="0"/>
        <v>8.3770711124832767E-2</v>
      </c>
      <c r="J36" t="s">
        <v>107</v>
      </c>
      <c r="K36">
        <v>9721</v>
      </c>
      <c r="L36">
        <v>829</v>
      </c>
      <c r="M36">
        <f t="shared" si="3"/>
        <v>8.5279292253883351E-2</v>
      </c>
      <c r="S36">
        <f>1-S35</f>
        <v>2.44140625E-4</v>
      </c>
    </row>
    <row r="37" spans="1:20" x14ac:dyDescent="0.3">
      <c r="A37" t="s">
        <v>108</v>
      </c>
      <c r="B37">
        <v>9192</v>
      </c>
      <c r="C37">
        <v>735</v>
      </c>
      <c r="D37">
        <f t="shared" si="0"/>
        <v>7.9960835509138378E-2</v>
      </c>
      <c r="J37" t="s">
        <v>108</v>
      </c>
      <c r="K37">
        <v>9304</v>
      </c>
      <c r="L37">
        <v>770</v>
      </c>
      <c r="M37">
        <f t="shared" si="3"/>
        <v>8.2760103181427347E-2</v>
      </c>
      <c r="S37">
        <f>_xlfn.BINOM.DIST(4,23,0.5,TRUE)</f>
        <v>1.2997388839721682E-3</v>
      </c>
    </row>
    <row r="38" spans="1:20" x14ac:dyDescent="0.3">
      <c r="A38" t="s">
        <v>109</v>
      </c>
      <c r="B38">
        <v>8630</v>
      </c>
      <c r="C38">
        <v>743</v>
      </c>
      <c r="D38">
        <f t="shared" si="0"/>
        <v>8.6095017381228267E-2</v>
      </c>
      <c r="J38" t="s">
        <v>109</v>
      </c>
      <c r="K38">
        <v>8668</v>
      </c>
      <c r="L38">
        <v>724</v>
      </c>
      <c r="M38">
        <f t="shared" si="3"/>
        <v>8.3525611444393175E-2</v>
      </c>
    </row>
    <row r="39" spans="1:20" x14ac:dyDescent="0.3">
      <c r="A39" t="s">
        <v>110</v>
      </c>
      <c r="B39">
        <v>8970</v>
      </c>
      <c r="C39">
        <v>722</v>
      </c>
      <c r="D39">
        <f t="shared" si="0"/>
        <v>8.0490523968784838E-2</v>
      </c>
      <c r="J39" t="s">
        <v>110</v>
      </c>
      <c r="K39">
        <v>8988</v>
      </c>
      <c r="L39">
        <v>710</v>
      </c>
      <c r="M39">
        <f t="shared" si="3"/>
        <v>7.8994214508233199E-2</v>
      </c>
    </row>
    <row r="40" spans="1:20" x14ac:dyDescent="0.3">
      <c r="B40">
        <f>SUM(B3:B39)</f>
        <v>345543</v>
      </c>
      <c r="C40">
        <f>SUM(C3:C39)</f>
        <v>28378</v>
      </c>
      <c r="D40" s="12">
        <f>C40/B40</f>
        <v>8.2125813574576823E-2</v>
      </c>
      <c r="E40">
        <f>SUM(E3:E39)</f>
        <v>3785</v>
      </c>
      <c r="F40">
        <f>E40/SUM(C3:C25)</f>
        <v>0.2188746891805933</v>
      </c>
      <c r="G40">
        <f>SUM(G3:G39)</f>
        <v>2033</v>
      </c>
      <c r="H40">
        <f>G40/SUM(C3:C25)</f>
        <v>0.11756201931417337</v>
      </c>
      <c r="I40">
        <f>G40/C40</f>
        <v>7.1640002819085211E-2</v>
      </c>
      <c r="K40">
        <f>SUM(K3:K39)</f>
        <v>344660</v>
      </c>
      <c r="L40">
        <f>SUM(L3:L39)</f>
        <v>28325</v>
      </c>
      <c r="M40" s="12">
        <f>L40/K40</f>
        <v>8.2182440666163759E-2</v>
      </c>
      <c r="N40">
        <f>SUM(N3:N39)</f>
        <v>3423</v>
      </c>
      <c r="O40">
        <f>N40/SUM(L3:L25)</f>
        <v>0.19831981460023174</v>
      </c>
      <c r="P40">
        <f>SUM(P3:P39)</f>
        <v>1945</v>
      </c>
      <c r="Q40">
        <f>P40/SUM(L3:L25)</f>
        <v>0.1126882966396292</v>
      </c>
      <c r="R40">
        <f>P40/K40</f>
        <v>5.6432426159113329E-3</v>
      </c>
    </row>
    <row r="42" spans="1:20" x14ac:dyDescent="0.3">
      <c r="A42" t="s">
        <v>39</v>
      </c>
      <c r="B42">
        <f>B40+K40</f>
        <v>690203</v>
      </c>
      <c r="C42">
        <f>C40+L40</f>
        <v>56703</v>
      </c>
      <c r="D42" s="12">
        <f>C42/B42</f>
        <v>8.2154090897895257E-2</v>
      </c>
      <c r="E42">
        <f>E40+N40</f>
        <v>7208</v>
      </c>
    </row>
    <row r="43" spans="1:20" x14ac:dyDescent="0.3">
      <c r="A43" t="s">
        <v>114</v>
      </c>
      <c r="B43">
        <f>B42/2</f>
        <v>345101.5</v>
      </c>
      <c r="C43">
        <f>C42/2</f>
        <v>28351.5</v>
      </c>
      <c r="D43" s="12">
        <f>C40/B40</f>
        <v>8.2125813574576823E-2</v>
      </c>
      <c r="M43" s="12">
        <f>L40/K40</f>
        <v>8.2182440666163759E-2</v>
      </c>
    </row>
    <row r="44" spans="1:20" x14ac:dyDescent="0.3">
      <c r="A44" t="s">
        <v>14</v>
      </c>
      <c r="B44">
        <f>SQRT(0.5*(1-0.5)*B42)</f>
        <v>415.39228447336382</v>
      </c>
      <c r="C44">
        <f>SQRT(0.5*(1-0.5)*C42)</f>
        <v>119.06195866018668</v>
      </c>
    </row>
    <row r="45" spans="1:20" x14ac:dyDescent="0.3">
      <c r="A45" t="s">
        <v>115</v>
      </c>
      <c r="B45">
        <f>(B40-B43)/B44</f>
        <v>1.0628507473597775</v>
      </c>
      <c r="C45">
        <f>(C40-C43)/C44</f>
        <v>0.22257319044812068</v>
      </c>
    </row>
    <row r="46" spans="1:20" x14ac:dyDescent="0.3">
      <c r="A46" t="s">
        <v>116</v>
      </c>
      <c r="B46">
        <f>_xlfn.NORM.S.INV(0.975)</f>
        <v>1.9599639845400536</v>
      </c>
      <c r="C46">
        <f>_xlfn.NORM.S.INV(0.975)</f>
        <v>1.9599639845400536</v>
      </c>
    </row>
    <row r="47" spans="1:20" x14ac:dyDescent="0.3">
      <c r="A47" t="s">
        <v>31</v>
      </c>
      <c r="B47">
        <f>B43+B44*B46</f>
        <v>345915.65391702362</v>
      </c>
      <c r="C47">
        <f>C43+C44*C46</f>
        <v>28584.857150902764</v>
      </c>
    </row>
    <row r="48" spans="1:20" x14ac:dyDescent="0.3">
      <c r="A48" t="s">
        <v>30</v>
      </c>
      <c r="B48" s="8">
        <f>B43-B44*B46</f>
        <v>344287.34608297638</v>
      </c>
      <c r="C48" s="8">
        <f>C43-C44*C46</f>
        <v>28118.142849097236</v>
      </c>
    </row>
    <row r="49" spans="1:8" x14ac:dyDescent="0.3">
      <c r="A49" t="s">
        <v>118</v>
      </c>
      <c r="B49" s="8">
        <f>B47/B42</f>
        <v>0.50117958617540581</v>
      </c>
      <c r="C49" s="8">
        <f>C47/C42</f>
        <v>0.50411542865285375</v>
      </c>
    </row>
    <row r="50" spans="1:8" x14ac:dyDescent="0.3">
      <c r="A50" t="s">
        <v>119</v>
      </c>
      <c r="B50" s="8">
        <f>B48/B42</f>
        <v>0.49882041382459419</v>
      </c>
      <c r="C50" s="8">
        <f>C48/C42</f>
        <v>0.49588457134714631</v>
      </c>
    </row>
    <row r="51" spans="1:8" x14ac:dyDescent="0.3">
      <c r="A51" t="s">
        <v>120</v>
      </c>
      <c r="B51" s="8">
        <f>B40/B42</f>
        <v>0.50063966688061334</v>
      </c>
      <c r="C51" s="8">
        <f>C40/C42</f>
        <v>0.50046734740666277</v>
      </c>
    </row>
    <row r="52" spans="1:8" x14ac:dyDescent="0.3">
      <c r="B52" s="8"/>
      <c r="C52" s="8"/>
    </row>
    <row r="53" spans="1:8" x14ac:dyDescent="0.3">
      <c r="A53" t="s">
        <v>124</v>
      </c>
      <c r="B53" s="8"/>
      <c r="C53" s="8"/>
      <c r="F53">
        <f>(E40+N40)/SUM(C3:C25,L3:L25)</f>
        <v>0.20860706740369866</v>
      </c>
      <c r="H53">
        <f>(G40+P40)/SUM(C3:C25,L3:L25)</f>
        <v>0.11512748531241861</v>
      </c>
    </row>
    <row r="54" spans="1:8" x14ac:dyDescent="0.3">
      <c r="A54" t="s">
        <v>123</v>
      </c>
      <c r="B54" s="8"/>
      <c r="C54" s="8"/>
      <c r="D54" s="13">
        <f>M43-D43</f>
        <v>5.6627091586936018E-5</v>
      </c>
      <c r="F54">
        <f>O40-F40</f>
        <v>-2.0554874580361565E-2</v>
      </c>
      <c r="H54">
        <f>Q40-H40</f>
        <v>-4.8737226745441675E-3</v>
      </c>
    </row>
    <row r="55" spans="1:8" x14ac:dyDescent="0.3">
      <c r="A55" t="s">
        <v>14</v>
      </c>
      <c r="B55" s="8">
        <f>SQRT(0.5*0.5/B42)</f>
        <v>6.0184074029432473E-4</v>
      </c>
      <c r="C55" s="8">
        <f>SQRT(0.5*0.5/C42)</f>
        <v>2.0997470796992519E-3</v>
      </c>
      <c r="D55">
        <f>SQRT(D42*(1-D42)*(1/B40+1/K40))</f>
        <v>6.6106081563872224E-4</v>
      </c>
      <c r="F55">
        <f>SQRT(F53*(1-F53)*(1/SUM(C3:C25)+1/SUM(L3:L25)))</f>
        <v>4.3716753852259364E-3</v>
      </c>
      <c r="H55">
        <f>SQRT(H53*(1-H53)*(1/SUM(C3:C25)+1/SUM(L3:L25)))</f>
        <v>3.4341335129324238E-3</v>
      </c>
    </row>
    <row r="56" spans="1:8" x14ac:dyDescent="0.3">
      <c r="A56" t="s">
        <v>116</v>
      </c>
      <c r="B56">
        <f>_xlfn.NORM.S.INV(0.975)</f>
        <v>1.9599639845400536</v>
      </c>
      <c r="C56">
        <f>_xlfn.NORM.S.INV(0.975)</f>
        <v>1.9599639845400536</v>
      </c>
      <c r="D56">
        <f>_xlfn.NORM.S.INV(0.975)</f>
        <v>1.9599639845400536</v>
      </c>
      <c r="F56">
        <f>_xlfn.NORM.S.INV(0.975)</f>
        <v>1.9599639845400536</v>
      </c>
      <c r="H56">
        <f>_xlfn.NORM.S.INV(0.975)</f>
        <v>1.9599639845400536</v>
      </c>
    </row>
    <row r="57" spans="1:8" x14ac:dyDescent="0.3">
      <c r="B57" s="8">
        <f>0.5+B56*B55</f>
        <v>0.50117958617540581</v>
      </c>
      <c r="C57" s="8">
        <f>0.5+C56*C55</f>
        <v>0.50411542865285364</v>
      </c>
      <c r="D57" s="8">
        <f>D54+D55*D56</f>
        <v>1.3522824818295038E-3</v>
      </c>
      <c r="E57" s="8"/>
      <c r="F57" s="8">
        <f>F54+F55*F56</f>
        <v>-1.1986548273218465E-2</v>
      </c>
      <c r="H57" s="8">
        <f>H54+H55*H56</f>
        <v>1.8570553289053975E-3</v>
      </c>
    </row>
    <row r="58" spans="1:8" x14ac:dyDescent="0.3">
      <c r="B58" s="8">
        <f>0.5-B56*B55</f>
        <v>0.49882041382459419</v>
      </c>
      <c r="C58" s="8">
        <f>0.5-C56*C55</f>
        <v>0.49588457134714631</v>
      </c>
      <c r="D58" s="8">
        <f>D54-D55*D56</f>
        <v>-1.2390282986556318E-3</v>
      </c>
      <c r="F58" s="8">
        <f>F54-F55*F56</f>
        <v>-2.9123200887504665E-2</v>
      </c>
      <c r="H58" s="8">
        <f>H54-H55*H56</f>
        <v>-1.1604500677993733E-2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 project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 Chen</dc:creator>
  <cp:lastModifiedBy>Yixi Chen</cp:lastModifiedBy>
  <dcterms:created xsi:type="dcterms:W3CDTF">2020-01-09T16:35:56Z</dcterms:created>
  <dcterms:modified xsi:type="dcterms:W3CDTF">2020-01-14T22:04:55Z</dcterms:modified>
</cp:coreProperties>
</file>