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>
    <definedName name="blocks_per_day">Sheet1!$N$5</definedName>
  </definedNames>
  <calcPr/>
</workbook>
</file>

<file path=xl/sharedStrings.xml><?xml version="1.0" encoding="utf-8"?>
<sst xmlns="http://schemas.openxmlformats.org/spreadsheetml/2006/main" count="76" uniqueCount="34">
  <si>
    <t>dash v0.13.0.0 masternode earnings estimater</t>
  </si>
  <si>
    <t>reload the sheet if calc's don't complete - it pulls the latest network data</t>
  </si>
  <si>
    <t>legend:</t>
  </si>
  <si>
    <t>editable</t>
  </si>
  <si>
    <t>loaded</t>
  </si>
  <si>
    <t>calculated</t>
  </si>
  <si>
    <t>my node count</t>
  </si>
  <si>
    <t>% of network</t>
  </si>
  <si>
    <t>blocks per day</t>
  </si>
  <si>
    <t>Btc Usd</t>
  </si>
  <si>
    <t>Dash Btc</t>
  </si>
  <si>
    <t>Mn Count Enabled</t>
  </si>
  <si>
    <t># masternodes</t>
  </si>
  <si>
    <t>DASH/BTC</t>
  </si>
  <si>
    <t>DASH/USD</t>
  </si>
  <si>
    <t>BTC/USD</t>
  </si>
  <si>
    <t>USD value of nodes</t>
  </si>
  <si>
    <t>date*</t>
  </si>
  <si>
    <t>event</t>
  </si>
  <si>
    <t>block height</t>
  </si>
  <si>
    <t>min. block reward</t>
  </si>
  <si>
    <t>min. mn  block reward</t>
  </si>
  <si>
    <t>total mn min. DASH/day</t>
  </si>
  <si>
    <t>ROI/yr</t>
  </si>
  <si>
    <t xml:space="preserve">DASH/day </t>
  </si>
  <si>
    <t>DASH/mth</t>
  </si>
  <si>
    <t>USD/mth</t>
  </si>
  <si>
    <t>masternode share
(50% of the 90% generated)</t>
  </si>
  <si>
    <t>mn % increase</t>
  </si>
  <si>
    <t>7% decrease</t>
  </si>
  <si>
    <t>10% decrease</t>
  </si>
  <si>
    <t>7.14% decrease</t>
  </si>
  <si>
    <t>* dates are approximate</t>
  </si>
  <si>
    <t>7.14% decrease is annual (383 days) coin generation reduction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</si>
</sst>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0.000%"/>
    <numFmt numFmtId="165" formatCode="&quot;$&quot;#,##0.00"/>
    <numFmt numFmtId="166" formatCode="0.00000000"/>
    <numFmt numFmtId="167" formatCode="[$$-409]#,##0.00;[RED]\-[$$-409]#,##0.00"/>
    <numFmt numFmtId="168" formatCode="0.000"/>
    <numFmt numFmtId="169" formatCode="MM/DD/YY"/>
  </numFmts>
  <fonts count="7">
    <font>
      <sz val="10.0"/>
      <color rgb="FF000000"/>
      <name val="Arial"/>
    </font>
    <font>
      <b/>
      <sz val="12.0"/>
      <name val="Arial"/>
    </font>
    <font>
      <sz val="10.0"/>
      <name val="Arial"/>
    </font>
    <font>
      <b/>
      <i/>
      <sz val="9.0"/>
      <color rgb="FFFF0000"/>
      <name val="Arial"/>
    </font>
    <font/>
    <font>
      <color rgb="FF000000"/>
    </font>
    <font>
      <sz val="10.0"/>
      <color rgb="FFB2B2B2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33FF99"/>
        <bgColor rgb="FF33FF99"/>
      </patternFill>
    </fill>
    <fill>
      <patternFill patternType="solid">
        <fgColor rgb="FFFF9900"/>
        <bgColor rgb="FFFF9900"/>
      </patternFill>
    </fill>
    <fill>
      <patternFill patternType="solid">
        <fgColor rgb="FF9999FF"/>
        <bgColor rgb="FF9999FF"/>
      </patternFill>
    </fill>
    <fill>
      <patternFill patternType="solid">
        <fgColor rgb="FFDDDDDD"/>
        <bgColor rgb="FFDDDDDD"/>
      </patternFill>
    </fill>
    <fill>
      <patternFill patternType="solid">
        <fgColor rgb="FF666666"/>
        <bgColor rgb="FF666666"/>
      </patternFill>
    </fill>
    <fill>
      <patternFill patternType="solid">
        <fgColor rgb="FF99CCFF"/>
        <bgColor rgb="FF99CCFF"/>
      </patternFill>
    </fill>
    <fill>
      <patternFill patternType="solid">
        <fgColor rgb="FF999999"/>
        <bgColor rgb="FF999999"/>
      </patternFill>
    </fill>
  </fills>
  <borders count="19">
    <border/>
    <border>
      <left/>
      <top/>
      <bottom/>
    </border>
    <border>
      <top/>
      <bottom/>
    </border>
    <border>
      <left/>
      <right/>
      <top/>
      <bottom/>
    </border>
    <border>
      <left/>
      <top/>
    </border>
    <border>
      <right/>
      <top/>
    </border>
    <border>
      <left/>
    </border>
    <border>
      <right/>
    </border>
    <border>
      <right/>
      <top/>
      <bottom/>
    </border>
    <border>
      <left/>
      <bottom/>
    </border>
    <border>
      <right/>
      <bottom/>
    </border>
    <border>
      <left style="thick">
        <color rgb="FF000000"/>
      </left>
      <right/>
      <top style="thick">
        <color rgb="FF000000"/>
      </top>
      <bottom style="thick">
        <color rgb="FF000000"/>
      </bottom>
    </border>
    <border>
      <left/>
      <right/>
      <top style="thick">
        <color rgb="FF000000"/>
      </top>
      <bottom style="thick">
        <color rgb="FF000000"/>
      </bottom>
    </border>
    <border>
      <left/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/>
      <top/>
      <bottom/>
    </border>
    <border>
      <left/>
      <right style="thick">
        <color rgb="FF000000"/>
      </right>
      <top/>
      <bottom/>
    </border>
    <border>
      <left style="thick">
        <color rgb="FF000000"/>
      </left>
      <right/>
      <top/>
      <bottom style="thick">
        <color rgb="FF000000"/>
      </bottom>
    </border>
    <border>
      <left/>
      <right/>
      <top/>
      <bottom style="thick">
        <color rgb="FF000000"/>
      </bottom>
    </border>
    <border>
      <left/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8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0" fillId="2" fontId="2" numFmtId="0" xfId="0" applyAlignment="1" applyFont="1">
      <alignment shrinkToFit="0" vertical="bottom" wrapText="0"/>
    </xf>
    <xf borderId="1" fillId="2" fontId="3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readingOrder="0" shrinkToFit="0" vertical="bottom" wrapText="0"/>
    </xf>
    <xf borderId="2" fillId="2" fontId="2" numFmtId="0" xfId="0" applyAlignment="1" applyBorder="1" applyFont="1">
      <alignment horizontal="right" readingOrder="0" shrinkToFit="0" vertical="bottom" wrapText="0"/>
    </xf>
    <xf borderId="3" fillId="3" fontId="2" numFmtId="0" xfId="0" applyAlignment="1" applyBorder="1" applyFill="1" applyFont="1">
      <alignment horizontal="center" readingOrder="0" shrinkToFit="0" vertical="bottom" wrapText="0"/>
    </xf>
    <xf borderId="3" fillId="4" fontId="2" numFmtId="3" xfId="0" applyAlignment="1" applyBorder="1" applyFill="1" applyFont="1" applyNumberFormat="1">
      <alignment horizontal="center" readingOrder="0" shrinkToFit="0" vertical="bottom" wrapText="0"/>
    </xf>
    <xf borderId="3" fillId="5" fontId="2" numFmtId="0" xfId="0" applyAlignment="1" applyBorder="1" applyFill="1" applyFont="1">
      <alignment horizontal="center" readingOrder="0" shrinkToFit="0" vertical="bottom" wrapText="0"/>
    </xf>
    <xf borderId="0" fillId="0" fontId="4" numFmtId="0" xfId="0" applyFont="1"/>
    <xf borderId="3" fillId="6" fontId="2" numFmtId="0" xfId="0" applyAlignment="1" applyBorder="1" applyFill="1" applyFont="1">
      <alignment shrinkToFit="0" vertical="bottom" wrapText="0"/>
    </xf>
    <xf borderId="3" fillId="3" fontId="2" numFmtId="0" xfId="0" applyAlignment="1" applyBorder="1" applyFont="1">
      <alignment horizontal="right" readingOrder="0" shrinkToFit="0" vertical="bottom" wrapText="0"/>
    </xf>
    <xf borderId="3" fillId="2" fontId="2" numFmtId="0" xfId="0" applyAlignment="1" applyBorder="1" applyFont="1">
      <alignment horizontal="right" shrinkToFit="0" vertical="bottom" wrapText="0"/>
    </xf>
    <xf borderId="3" fillId="6" fontId="2" numFmtId="0" xfId="0" applyAlignment="1" applyBorder="1" applyFont="1">
      <alignment horizontal="right" shrinkToFit="0" vertical="bottom" wrapText="0"/>
    </xf>
    <xf borderId="3" fillId="5" fontId="2" numFmtId="164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shrinkToFit="0" vertical="bottom" wrapText="0"/>
    </xf>
    <xf borderId="5" fillId="0" fontId="4" numFmtId="0" xfId="0" applyBorder="1" applyFont="1"/>
    <xf borderId="3" fillId="2" fontId="2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0" fillId="0" fontId="5" numFmtId="165" xfId="0" applyFont="1" applyNumberFormat="1"/>
    <xf borderId="0" fillId="0" fontId="5" numFmtId="0" xfId="0" applyFont="1"/>
    <xf borderId="3" fillId="4" fontId="2" numFmtId="3" xfId="0" applyAlignment="1" applyBorder="1" applyFont="1" applyNumberFormat="1">
      <alignment horizontal="right" readingOrder="0" shrinkToFit="0" vertical="bottom" wrapText="0"/>
    </xf>
    <xf borderId="6" fillId="0" fontId="4" numFmtId="0" xfId="0" applyBorder="1" applyFont="1"/>
    <xf borderId="7" fillId="0" fontId="4" numFmtId="0" xfId="0" applyBorder="1" applyFont="1"/>
    <xf borderId="0" fillId="0" fontId="5" numFmtId="166" xfId="0" applyAlignment="1" applyFont="1" applyNumberFormat="1">
      <alignment horizontal="right"/>
    </xf>
    <xf borderId="3" fillId="4" fontId="2" numFmtId="166" xfId="0" applyAlignment="1" applyBorder="1" applyFont="1" applyNumberFormat="1">
      <alignment horizontal="right" readingOrder="0" shrinkToFit="0" vertical="bottom" wrapText="0"/>
    </xf>
    <xf borderId="3" fillId="5" fontId="2" numFmtId="167" xfId="0" applyAlignment="1" applyBorder="1" applyFont="1" applyNumberFormat="1">
      <alignment shrinkToFit="0" vertical="bottom" wrapText="0"/>
    </xf>
    <xf borderId="3" fillId="4" fontId="2" numFmtId="165" xfId="0" applyAlignment="1" applyBorder="1" applyFont="1" applyNumberFormat="1">
      <alignment horizontal="right" readingOrder="0" shrinkToFit="0" vertical="bottom" wrapText="0"/>
    </xf>
    <xf borderId="1" fillId="6" fontId="2" numFmtId="0" xfId="0" applyAlignment="1" applyBorder="1" applyFont="1">
      <alignment horizontal="right" shrinkToFit="0" vertical="bottom" wrapText="0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11" fillId="2" fontId="2" numFmtId="0" xfId="0" applyAlignment="1" applyBorder="1" applyFont="1">
      <alignment horizontal="right" shrinkToFit="0" vertical="bottom" wrapText="0"/>
    </xf>
    <xf borderId="12" fillId="2" fontId="2" numFmtId="0" xfId="0" applyAlignment="1" applyBorder="1" applyFont="1">
      <alignment horizontal="center" shrinkToFit="0" vertical="center" wrapText="1"/>
    </xf>
    <xf borderId="12" fillId="2" fontId="2" numFmtId="0" xfId="0" applyAlignment="1" applyBorder="1" applyFont="1">
      <alignment horizontal="right" shrinkToFit="0" vertical="bottom" wrapText="1"/>
    </xf>
    <xf borderId="12" fillId="2" fontId="2" numFmtId="168" xfId="0" applyAlignment="1" applyBorder="1" applyFont="1" applyNumberFormat="1">
      <alignment horizontal="center" shrinkToFit="0" vertical="center" wrapText="1"/>
    </xf>
    <xf borderId="13" fillId="2" fontId="2" numFmtId="168" xfId="0" applyAlignment="1" applyBorder="1" applyFont="1" applyNumberFormat="1">
      <alignment horizontal="center" shrinkToFit="0" vertical="center" wrapText="1"/>
    </xf>
    <xf borderId="12" fillId="2" fontId="2" numFmtId="0" xfId="0" applyAlignment="1" applyBorder="1" applyFont="1">
      <alignment horizontal="right" readingOrder="0" shrinkToFit="0" vertical="bottom" wrapText="1"/>
    </xf>
    <xf borderId="14" fillId="7" fontId="6" numFmtId="169" xfId="0" applyAlignment="1" applyBorder="1" applyFill="1" applyFont="1" applyNumberFormat="1">
      <alignment shrinkToFit="0" vertical="bottom" wrapText="0"/>
    </xf>
    <xf borderId="3" fillId="7" fontId="6" numFmtId="0" xfId="0" applyAlignment="1" applyBorder="1" applyFont="1">
      <alignment horizontal="right" shrinkToFit="0" vertical="bottom" wrapText="0"/>
    </xf>
    <xf borderId="3" fillId="7" fontId="6" numFmtId="0" xfId="0" applyAlignment="1" applyBorder="1" applyFont="1">
      <alignment shrinkToFit="0" vertical="bottom" wrapText="0"/>
    </xf>
    <xf borderId="3" fillId="7" fontId="6" numFmtId="166" xfId="0" applyAlignment="1" applyBorder="1" applyFont="1" applyNumberFormat="1">
      <alignment shrinkToFit="0" vertical="bottom" wrapText="0"/>
    </xf>
    <xf borderId="3" fillId="7" fontId="6" numFmtId="1" xfId="0" applyAlignment="1" applyBorder="1" applyFont="1" applyNumberFormat="1">
      <alignment shrinkToFit="0" vertical="bottom" wrapText="0"/>
    </xf>
    <xf borderId="3" fillId="7" fontId="6" numFmtId="10" xfId="0" applyAlignment="1" applyBorder="1" applyFont="1" applyNumberFormat="1">
      <alignment shrinkToFit="0" vertical="bottom" wrapText="0"/>
    </xf>
    <xf borderId="3" fillId="7" fontId="6" numFmtId="168" xfId="0" applyAlignment="1" applyBorder="1" applyFont="1" applyNumberFormat="1">
      <alignment shrinkToFit="0" vertical="bottom" wrapText="0"/>
    </xf>
    <xf borderId="15" fillId="7" fontId="6" numFmtId="167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14" fillId="8" fontId="0" numFmtId="169" xfId="0" applyAlignment="1" applyBorder="1" applyFill="1" applyFont="1" applyNumberFormat="1">
      <alignment shrinkToFit="0" vertical="bottom" wrapText="0"/>
    </xf>
    <xf borderId="3" fillId="8" fontId="0" numFmtId="0" xfId="0" applyAlignment="1" applyBorder="1" applyFont="1">
      <alignment horizontal="right" shrinkToFit="0" vertical="bottom" wrapText="0"/>
    </xf>
    <xf borderId="3" fillId="8" fontId="0" numFmtId="0" xfId="0" applyAlignment="1" applyBorder="1" applyFont="1">
      <alignment shrinkToFit="0" vertical="bottom" wrapText="0"/>
    </xf>
    <xf borderId="3" fillId="8" fontId="0" numFmtId="166" xfId="0" applyAlignment="1" applyBorder="1" applyFont="1" applyNumberFormat="1">
      <alignment shrinkToFit="0" vertical="bottom" wrapText="0"/>
    </xf>
    <xf borderId="3" fillId="8" fontId="0" numFmtId="1" xfId="0" applyAlignment="1" applyBorder="1" applyFont="1" applyNumberFormat="1">
      <alignment shrinkToFit="0" vertical="bottom" wrapText="0"/>
    </xf>
    <xf borderId="3" fillId="8" fontId="0" numFmtId="10" xfId="0" applyAlignment="1" applyBorder="1" applyFont="1" applyNumberFormat="1">
      <alignment shrinkToFit="0" vertical="bottom" wrapText="0"/>
    </xf>
    <xf borderId="3" fillId="8" fontId="0" numFmtId="168" xfId="0" applyAlignment="1" applyBorder="1" applyFont="1" applyNumberFormat="1">
      <alignment shrinkToFit="0" vertical="bottom" wrapText="0"/>
    </xf>
    <xf borderId="15" fillId="8" fontId="0" numFmtId="167" xfId="0" applyAlignment="1" applyBorder="1" applyFont="1" applyNumberFormat="1">
      <alignment shrinkToFit="0" vertical="bottom" wrapText="0"/>
    </xf>
    <xf borderId="14" fillId="8" fontId="2" numFmtId="169" xfId="0" applyAlignment="1" applyBorder="1" applyFont="1" applyNumberFormat="1">
      <alignment shrinkToFit="0" vertical="bottom" wrapText="0"/>
    </xf>
    <xf borderId="3" fillId="8" fontId="2" numFmtId="0" xfId="0" applyAlignment="1" applyBorder="1" applyFont="1">
      <alignment horizontal="right" shrinkToFit="0" vertical="bottom" wrapText="0"/>
    </xf>
    <xf borderId="3" fillId="8" fontId="2" numFmtId="0" xfId="0" applyAlignment="1" applyBorder="1" applyFont="1">
      <alignment shrinkToFit="0" vertical="bottom" wrapText="0"/>
    </xf>
    <xf borderId="3" fillId="8" fontId="2" numFmtId="166" xfId="0" applyAlignment="1" applyBorder="1" applyFont="1" applyNumberFormat="1">
      <alignment shrinkToFit="0" vertical="bottom" wrapText="0"/>
    </xf>
    <xf borderId="3" fillId="8" fontId="2" numFmtId="1" xfId="0" applyAlignment="1" applyBorder="1" applyFont="1" applyNumberFormat="1">
      <alignment shrinkToFit="0" vertical="bottom" wrapText="0"/>
    </xf>
    <xf borderId="3" fillId="8" fontId="2" numFmtId="10" xfId="0" applyAlignment="1" applyBorder="1" applyFont="1" applyNumberFormat="1">
      <alignment shrinkToFit="0" vertical="bottom" wrapText="0"/>
    </xf>
    <xf borderId="3" fillId="8" fontId="2" numFmtId="168" xfId="0" applyAlignment="1" applyBorder="1" applyFont="1" applyNumberFormat="1">
      <alignment shrinkToFit="0" vertical="bottom" wrapText="0"/>
    </xf>
    <xf borderId="15" fillId="8" fontId="2" numFmtId="167" xfId="0" applyAlignment="1" applyBorder="1" applyFont="1" applyNumberFormat="1">
      <alignment shrinkToFit="0" vertical="bottom" wrapText="0"/>
    </xf>
    <xf borderId="3" fillId="9" fontId="2" numFmtId="10" xfId="0" applyAlignment="1" applyBorder="1" applyFill="1" applyFont="1" applyNumberFormat="1">
      <alignment shrinkToFit="0" vertical="bottom" wrapText="0"/>
    </xf>
    <xf borderId="14" fillId="9" fontId="2" numFmtId="169" xfId="0" applyAlignment="1" applyBorder="1" applyFont="1" applyNumberFormat="1">
      <alignment shrinkToFit="0" vertical="bottom" wrapText="0"/>
    </xf>
    <xf borderId="3" fillId="9" fontId="2" numFmtId="0" xfId="0" applyAlignment="1" applyBorder="1" applyFont="1">
      <alignment horizontal="right" shrinkToFit="0" vertical="bottom" wrapText="0"/>
    </xf>
    <xf borderId="3" fillId="9" fontId="2" numFmtId="0" xfId="0" applyAlignment="1" applyBorder="1" applyFont="1">
      <alignment shrinkToFit="0" vertical="bottom" wrapText="0"/>
    </xf>
    <xf borderId="3" fillId="9" fontId="2" numFmtId="166" xfId="0" applyAlignment="1" applyBorder="1" applyFont="1" applyNumberFormat="1">
      <alignment shrinkToFit="0" vertical="bottom" wrapText="0"/>
    </xf>
    <xf borderId="3" fillId="9" fontId="2" numFmtId="1" xfId="0" applyAlignment="1" applyBorder="1" applyFont="1" applyNumberFormat="1">
      <alignment shrinkToFit="0" vertical="bottom" wrapText="0"/>
    </xf>
    <xf borderId="3" fillId="9" fontId="2" numFmtId="168" xfId="0" applyAlignment="1" applyBorder="1" applyFont="1" applyNumberFormat="1">
      <alignment shrinkToFit="0" vertical="bottom" wrapText="0"/>
    </xf>
    <xf borderId="15" fillId="9" fontId="2" numFmtId="167" xfId="0" applyAlignment="1" applyBorder="1" applyFont="1" applyNumberFormat="1">
      <alignment shrinkToFit="0" vertical="bottom" wrapText="0"/>
    </xf>
    <xf borderId="16" fillId="9" fontId="2" numFmtId="169" xfId="0" applyAlignment="1" applyBorder="1" applyFont="1" applyNumberFormat="1">
      <alignment shrinkToFit="0" vertical="bottom" wrapText="0"/>
    </xf>
    <xf borderId="17" fillId="9" fontId="2" numFmtId="0" xfId="0" applyAlignment="1" applyBorder="1" applyFont="1">
      <alignment horizontal="right" shrinkToFit="0" vertical="bottom" wrapText="0"/>
    </xf>
    <xf borderId="17" fillId="9" fontId="2" numFmtId="0" xfId="0" applyAlignment="1" applyBorder="1" applyFont="1">
      <alignment shrinkToFit="0" vertical="bottom" wrapText="0"/>
    </xf>
    <xf borderId="17" fillId="9" fontId="2" numFmtId="166" xfId="0" applyAlignment="1" applyBorder="1" applyFont="1" applyNumberFormat="1">
      <alignment shrinkToFit="0" vertical="bottom" wrapText="0"/>
    </xf>
    <xf borderId="17" fillId="9" fontId="2" numFmtId="1" xfId="0" applyAlignment="1" applyBorder="1" applyFont="1" applyNumberFormat="1">
      <alignment shrinkToFit="0" vertical="bottom" wrapText="0"/>
    </xf>
    <xf borderId="17" fillId="9" fontId="2" numFmtId="10" xfId="0" applyAlignment="1" applyBorder="1" applyFont="1" applyNumberFormat="1">
      <alignment shrinkToFit="0" vertical="bottom" wrapText="0"/>
    </xf>
    <xf borderId="17" fillId="9" fontId="2" numFmtId="168" xfId="0" applyAlignment="1" applyBorder="1" applyFont="1" applyNumberFormat="1">
      <alignment shrinkToFit="0" vertical="bottom" wrapText="0"/>
    </xf>
    <xf borderId="18" fillId="9" fontId="2" numFmtId="167" xfId="0" applyAlignment="1" applyBorder="1" applyFont="1" applyNumberFormat="1">
      <alignment shrinkToFit="0" vertical="bottom" wrapText="0"/>
    </xf>
    <xf borderId="1" fillId="2" fontId="2" numFmtId="0" xfId="0" applyAlignment="1" applyBorder="1" applyFont="1">
      <alignment shrinkToFit="0" vertical="bottom" wrapText="0"/>
    </xf>
    <xf borderId="2" fillId="0" fontId="4" numFmtId="0" xfId="0" applyBorder="1" applyFont="1"/>
    <xf borderId="1" fillId="2" fontId="2" numFmtId="0" xfId="0" applyAlignment="1" applyBorder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4.43" defaultRowHeight="15.0"/>
  <cols>
    <col customWidth="1" min="1" max="1" width="13.29"/>
    <col customWidth="1" min="2" max="2" width="15.71"/>
    <col customWidth="1" min="3" max="3" width="11.0"/>
    <col customWidth="1" min="4" max="4" width="11.14"/>
    <col customWidth="1" min="5" max="5" width="13.86"/>
    <col customWidth="1" min="6" max="7" width="11.43"/>
    <col customWidth="1" min="8" max="8" width="10.86"/>
    <col customWidth="1" min="9" max="9" width="11.57"/>
    <col customWidth="1" min="10" max="10" width="13.14"/>
    <col customWidth="1" hidden="1" min="11" max="13" width="10.86"/>
    <col customWidth="1" hidden="1" min="14" max="14" width="21.29"/>
    <col customWidth="1" hidden="1" min="15" max="15" width="10.86"/>
    <col customWidth="1" hidden="1" min="16" max="16" width="20.29"/>
    <col customWidth="1" hidden="1" min="17" max="24" width="10.86"/>
    <col customWidth="1" hidden="1" min="25" max="26" width="8.71"/>
    <col customWidth="1" min="27" max="45" width="8.71"/>
  </cols>
  <sheetData>
    <row r="1" ht="12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12.75" customHeight="1">
      <c r="A2" s="3" t="s">
        <v>1</v>
      </c>
      <c r="B2" s="4"/>
      <c r="C2" s="4"/>
      <c r="D2" s="4"/>
      <c r="E2" s="4"/>
      <c r="F2" s="5" t="s">
        <v>2</v>
      </c>
      <c r="G2" s="6" t="s">
        <v>3</v>
      </c>
      <c r="H2" s="7" t="s">
        <v>4</v>
      </c>
      <c r="I2" s="8" t="s">
        <v>5</v>
      </c>
      <c r="J2" s="2"/>
    </row>
    <row r="3" ht="12.75" customHeight="1">
      <c r="A3" s="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</row>
    <row r="4" ht="12.75" customHeight="1">
      <c r="A4" s="10" t="s">
        <v>6</v>
      </c>
      <c r="B4" s="11">
        <v>1.0</v>
      </c>
      <c r="C4" s="12"/>
      <c r="D4" s="13" t="s">
        <v>7</v>
      </c>
      <c r="E4" s="14">
        <f>B4/B5</f>
        <v>0.000210748156</v>
      </c>
      <c r="F4" s="15"/>
      <c r="G4" s="16"/>
      <c r="H4" s="17"/>
      <c r="I4" s="17"/>
      <c r="J4" s="17"/>
      <c r="N4" s="18" t="s">
        <v>8</v>
      </c>
      <c r="P4" s="19" t="str">
        <f>ImportJSON("https://stats.masternode.me/network-report/latest/json?_=245364","/raw/mn_count_enabled,/raw/dash_btc,/raw/btc_usd,/raw/avg_blocktimes/2019/mn_per","noInherit,noTruncate" )</f>
        <v>Avg Blocktimes 2019 Mn Per</v>
      </c>
      <c r="Q4" s="20" t="s">
        <v>9</v>
      </c>
      <c r="R4" s="20" t="s">
        <v>10</v>
      </c>
      <c r="S4" s="20" t="s">
        <v>11</v>
      </c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</row>
    <row r="5" ht="12.75" customHeight="1">
      <c r="A5" s="10" t="s">
        <v>12</v>
      </c>
      <c r="B5" s="21">
        <f>S5</f>
        <v>4745</v>
      </c>
      <c r="C5" s="17"/>
      <c r="D5" s="17"/>
      <c r="E5" s="17"/>
      <c r="F5" s="22"/>
      <c r="G5" s="23"/>
      <c r="H5" s="17"/>
      <c r="I5" s="17"/>
      <c r="J5" s="17"/>
      <c r="N5" s="17">
        <f>(1440/P5)</f>
        <v>548.3555388</v>
      </c>
      <c r="P5" s="24">
        <v>2.62603347282889</v>
      </c>
      <c r="Q5" s="20">
        <v>3490.38810879</v>
      </c>
      <c r="R5" s="20">
        <v>0.01933806</v>
      </c>
      <c r="S5" s="20">
        <v>4745.0</v>
      </c>
      <c r="T5" s="20"/>
      <c r="U5" s="20"/>
      <c r="V5" s="20"/>
      <c r="W5" s="20"/>
      <c r="X5" s="20"/>
      <c r="Y5" s="20"/>
      <c r="Z5" s="20"/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</row>
    <row r="6" ht="12.75" customHeight="1">
      <c r="A6" s="10" t="s">
        <v>13</v>
      </c>
      <c r="B6" s="25">
        <f>R5</f>
        <v>0.01933806</v>
      </c>
      <c r="C6" s="12"/>
      <c r="D6" s="13" t="s">
        <v>14</v>
      </c>
      <c r="E6" s="26">
        <f>$B$7*B6</f>
        <v>67.49733467</v>
      </c>
      <c r="F6" s="22"/>
      <c r="G6" s="23"/>
      <c r="H6" s="17"/>
      <c r="I6" s="17"/>
      <c r="J6" s="17"/>
    </row>
    <row r="7" ht="12.75" customHeight="1">
      <c r="A7" s="10" t="s">
        <v>15</v>
      </c>
      <c r="B7" s="27">
        <f>Q5</f>
        <v>3490.388109</v>
      </c>
      <c r="C7" s="28" t="s">
        <v>16</v>
      </c>
      <c r="D7" s="29"/>
      <c r="E7" s="26">
        <f>B4*1000*B6*B7</f>
        <v>67497.33467</v>
      </c>
      <c r="F7" s="30"/>
      <c r="G7" s="31"/>
      <c r="H7" s="17"/>
      <c r="I7" s="17"/>
      <c r="J7" s="17"/>
    </row>
    <row r="8" ht="12.75" hidden="1" customHeight="1"/>
    <row r="9" ht="12.75" customHeight="1">
      <c r="A9" s="32" t="s">
        <v>17</v>
      </c>
      <c r="B9" s="33" t="s">
        <v>18</v>
      </c>
      <c r="C9" s="33" t="s">
        <v>19</v>
      </c>
      <c r="D9" s="34" t="s">
        <v>20</v>
      </c>
      <c r="E9" s="34" t="s">
        <v>21</v>
      </c>
      <c r="F9" s="34" t="s">
        <v>22</v>
      </c>
      <c r="G9" s="33" t="s">
        <v>23</v>
      </c>
      <c r="H9" s="35" t="s">
        <v>24</v>
      </c>
      <c r="I9" s="35" t="s">
        <v>25</v>
      </c>
      <c r="J9" s="36" t="s">
        <v>26</v>
      </c>
      <c r="N9" s="37" t="s">
        <v>27</v>
      </c>
    </row>
    <row r="10" ht="12.75" hidden="1" customHeight="1">
      <c r="A10" s="38">
        <v>41936.0</v>
      </c>
      <c r="B10" s="39" t="s">
        <v>28</v>
      </c>
      <c r="C10" s="40">
        <v>158000.0</v>
      </c>
      <c r="D10" s="41">
        <v>5.0</v>
      </c>
      <c r="E10" s="41">
        <f t="shared" ref="E10:E55" si="1">D10*N10</f>
        <v>1.25</v>
      </c>
      <c r="F10" s="42">
        <f t="shared" ref="F10:F21" si="2">576*D10*N10</f>
        <v>720</v>
      </c>
      <c r="G10" s="43">
        <f t="shared" ref="G10:G21" si="3">((1/B$5)*576*(D10*$N10)*365)/1000</f>
        <v>0.05538461538</v>
      </c>
      <c r="H10" s="44">
        <f t="shared" ref="H10:H55" si="4">$F10/B$5*$B$4</f>
        <v>0.1517386723</v>
      </c>
      <c r="I10" s="44">
        <f t="shared" ref="I10:I55" si="5">H10*365/12</f>
        <v>4.615384615</v>
      </c>
      <c r="J10" s="45">
        <f t="shared" ref="J10:J55" si="6">I10*$E$6</f>
        <v>311.52616</v>
      </c>
      <c r="N10" s="43">
        <v>0.25</v>
      </c>
    </row>
    <row r="11" ht="12.75" hidden="1" customHeight="1">
      <c r="A11" s="38">
        <v>41968.0</v>
      </c>
      <c r="B11" s="39" t="s">
        <v>28</v>
      </c>
      <c r="C11" s="40">
        <f>$C$10+((576*30)*1)</f>
        <v>175280</v>
      </c>
      <c r="D11" s="41">
        <f t="shared" ref="D11:D13" si="7">D10</f>
        <v>5</v>
      </c>
      <c r="E11" s="41">
        <f t="shared" si="1"/>
        <v>1.5</v>
      </c>
      <c r="F11" s="42">
        <f t="shared" si="2"/>
        <v>864</v>
      </c>
      <c r="G11" s="43">
        <f t="shared" si="3"/>
        <v>0.06646153846</v>
      </c>
      <c r="H11" s="44">
        <f t="shared" si="4"/>
        <v>0.1820864067</v>
      </c>
      <c r="I11" s="44">
        <f t="shared" si="5"/>
        <v>5.538461538</v>
      </c>
      <c r="J11" s="45">
        <f t="shared" si="6"/>
        <v>373.831392</v>
      </c>
      <c r="N11" s="43">
        <v>0.3</v>
      </c>
    </row>
    <row r="12" ht="12.75" hidden="1" customHeight="1">
      <c r="A12" s="38">
        <v>41999.0</v>
      </c>
      <c r="B12" s="39" t="s">
        <v>28</v>
      </c>
      <c r="C12" s="40">
        <f>$C$10+((576*30)*2)</f>
        <v>192560</v>
      </c>
      <c r="D12" s="41">
        <f t="shared" si="7"/>
        <v>5</v>
      </c>
      <c r="E12" s="41">
        <f t="shared" si="1"/>
        <v>1.75</v>
      </c>
      <c r="F12" s="42">
        <f t="shared" si="2"/>
        <v>1008</v>
      </c>
      <c r="G12" s="43">
        <f t="shared" si="3"/>
        <v>0.07753846154</v>
      </c>
      <c r="H12" s="44">
        <f t="shared" si="4"/>
        <v>0.2124341412</v>
      </c>
      <c r="I12" s="44">
        <f t="shared" si="5"/>
        <v>6.461538462</v>
      </c>
      <c r="J12" s="45">
        <f t="shared" si="6"/>
        <v>436.136624</v>
      </c>
      <c r="N12" s="43">
        <v>0.35</v>
      </c>
    </row>
    <row r="13" ht="12.75" hidden="1" customHeight="1">
      <c r="A13" s="38">
        <v>42030.0</v>
      </c>
      <c r="B13" s="39" t="s">
        <v>28</v>
      </c>
      <c r="C13" s="40">
        <f>$C$10+((576*30)*3)</f>
        <v>209840</v>
      </c>
      <c r="D13" s="41">
        <f t="shared" si="7"/>
        <v>5</v>
      </c>
      <c r="E13" s="41">
        <f t="shared" si="1"/>
        <v>1.875</v>
      </c>
      <c r="F13" s="42">
        <f t="shared" si="2"/>
        <v>1080</v>
      </c>
      <c r="G13" s="43">
        <f t="shared" si="3"/>
        <v>0.08307692308</v>
      </c>
      <c r="H13" s="44">
        <f t="shared" si="4"/>
        <v>0.2276080084</v>
      </c>
      <c r="I13" s="44">
        <f t="shared" si="5"/>
        <v>6.923076923</v>
      </c>
      <c r="J13" s="45">
        <f t="shared" si="6"/>
        <v>467.28924</v>
      </c>
      <c r="N13" s="43">
        <v>0.375</v>
      </c>
    </row>
    <row r="14" ht="12.75" hidden="1" customHeight="1">
      <c r="A14" s="38">
        <v>42048.0</v>
      </c>
      <c r="B14" s="39" t="s">
        <v>29</v>
      </c>
      <c r="C14" s="40">
        <f>210240 * 1</f>
        <v>210240</v>
      </c>
      <c r="D14" s="41">
        <f>D13-(D13/14)</f>
        <v>4.642857143</v>
      </c>
      <c r="E14" s="41">
        <f t="shared" si="1"/>
        <v>1.741071429</v>
      </c>
      <c r="F14" s="42">
        <f t="shared" si="2"/>
        <v>1002.857143</v>
      </c>
      <c r="G14" s="43">
        <f t="shared" si="3"/>
        <v>0.07714285714</v>
      </c>
      <c r="H14" s="44">
        <f t="shared" si="4"/>
        <v>0.2113502935</v>
      </c>
      <c r="I14" s="44">
        <f t="shared" si="5"/>
        <v>6.428571429</v>
      </c>
      <c r="J14" s="45">
        <f t="shared" si="6"/>
        <v>433.9114372</v>
      </c>
      <c r="N14" s="43">
        <v>0.375</v>
      </c>
    </row>
    <row r="15" ht="12.75" hidden="1" customHeight="1">
      <c r="A15" s="38">
        <v>42062.0</v>
      </c>
      <c r="B15" s="39" t="s">
        <v>28</v>
      </c>
      <c r="C15" s="40">
        <f>$C$10+((576*30)*4)</f>
        <v>227120</v>
      </c>
      <c r="D15" s="41">
        <f t="shared" ref="D15:D19" si="8">D14</f>
        <v>4.642857143</v>
      </c>
      <c r="E15" s="41">
        <f t="shared" si="1"/>
        <v>1.857142857</v>
      </c>
      <c r="F15" s="42">
        <f t="shared" si="2"/>
        <v>1069.714286</v>
      </c>
      <c r="G15" s="43">
        <f t="shared" si="3"/>
        <v>0.08228571429</v>
      </c>
      <c r="H15" s="44">
        <f t="shared" si="4"/>
        <v>0.2254403131</v>
      </c>
      <c r="I15" s="44">
        <f t="shared" si="5"/>
        <v>6.857142857</v>
      </c>
      <c r="J15" s="45">
        <f t="shared" si="6"/>
        <v>462.8388663</v>
      </c>
      <c r="N15" s="43">
        <v>0.4</v>
      </c>
    </row>
    <row r="16" ht="12.75" hidden="1" customHeight="1">
      <c r="A16" s="38">
        <v>42093.0</v>
      </c>
      <c r="B16" s="39" t="s">
        <v>28</v>
      </c>
      <c r="C16" s="40">
        <f>$C$10+((576*30)*5)</f>
        <v>244400</v>
      </c>
      <c r="D16" s="41">
        <f t="shared" si="8"/>
        <v>4.642857143</v>
      </c>
      <c r="E16" s="41">
        <f t="shared" si="1"/>
        <v>1.973214286</v>
      </c>
      <c r="F16" s="42">
        <f t="shared" si="2"/>
        <v>1136.571429</v>
      </c>
      <c r="G16" s="43">
        <f t="shared" si="3"/>
        <v>0.08742857143</v>
      </c>
      <c r="H16" s="44">
        <f t="shared" si="4"/>
        <v>0.2395303327</v>
      </c>
      <c r="I16" s="44">
        <f t="shared" si="5"/>
        <v>7.285714286</v>
      </c>
      <c r="J16" s="45">
        <f t="shared" si="6"/>
        <v>491.7662955</v>
      </c>
      <c r="N16" s="43">
        <v>0.425</v>
      </c>
    </row>
    <row r="17" ht="12.75" hidden="1" customHeight="1">
      <c r="A17" s="38">
        <v>42125.0</v>
      </c>
      <c r="B17" s="39" t="s">
        <v>28</v>
      </c>
      <c r="C17" s="40">
        <f>$C$10+((576*30)*6)</f>
        <v>261680</v>
      </c>
      <c r="D17" s="41">
        <f t="shared" si="8"/>
        <v>4.642857143</v>
      </c>
      <c r="E17" s="41">
        <f t="shared" si="1"/>
        <v>2.089285714</v>
      </c>
      <c r="F17" s="42">
        <f t="shared" si="2"/>
        <v>1203.428571</v>
      </c>
      <c r="G17" s="43">
        <f t="shared" si="3"/>
        <v>0.09257142857</v>
      </c>
      <c r="H17" s="44">
        <f t="shared" si="4"/>
        <v>0.2536203523</v>
      </c>
      <c r="I17" s="44">
        <f t="shared" si="5"/>
        <v>7.714285714</v>
      </c>
      <c r="J17" s="45">
        <f t="shared" si="6"/>
        <v>520.6937246</v>
      </c>
      <c r="N17" s="43">
        <v>0.45</v>
      </c>
    </row>
    <row r="18" ht="12.75" hidden="1" customHeight="1">
      <c r="A18" s="38">
        <v>42156.0</v>
      </c>
      <c r="B18" s="39" t="s">
        <v>28</v>
      </c>
      <c r="C18" s="40">
        <f>$C$10+((576*30)*7)</f>
        <v>278960</v>
      </c>
      <c r="D18" s="41">
        <f t="shared" si="8"/>
        <v>4.642857143</v>
      </c>
      <c r="E18" s="41">
        <f t="shared" si="1"/>
        <v>2.205357143</v>
      </c>
      <c r="F18" s="42">
        <f t="shared" si="2"/>
        <v>1270.285714</v>
      </c>
      <c r="G18" s="43">
        <f t="shared" si="3"/>
        <v>0.09771428571</v>
      </c>
      <c r="H18" s="44">
        <f t="shared" si="4"/>
        <v>0.2677103718</v>
      </c>
      <c r="I18" s="44">
        <f t="shared" si="5"/>
        <v>8.142857143</v>
      </c>
      <c r="J18" s="45">
        <f t="shared" si="6"/>
        <v>549.6211538</v>
      </c>
      <c r="N18" s="43">
        <v>0.475</v>
      </c>
    </row>
    <row r="19" ht="12.75" hidden="1" customHeight="1">
      <c r="A19" s="38">
        <v>42219.0</v>
      </c>
      <c r="B19" s="39" t="s">
        <v>28</v>
      </c>
      <c r="C19" s="40">
        <f>$C$10+((576*30)*9)</f>
        <v>313520</v>
      </c>
      <c r="D19" s="41">
        <f t="shared" si="8"/>
        <v>4.642857143</v>
      </c>
      <c r="E19" s="41">
        <f t="shared" si="1"/>
        <v>2.321428571</v>
      </c>
      <c r="F19" s="42">
        <f t="shared" si="2"/>
        <v>1337.142857</v>
      </c>
      <c r="G19" s="43">
        <f t="shared" si="3"/>
        <v>0.1028571429</v>
      </c>
      <c r="H19" s="44">
        <f t="shared" si="4"/>
        <v>0.2818003914</v>
      </c>
      <c r="I19" s="44">
        <f t="shared" si="5"/>
        <v>8.571428571</v>
      </c>
      <c r="J19" s="45">
        <f t="shared" si="6"/>
        <v>578.5485829</v>
      </c>
      <c r="N19" s="43">
        <v>0.5</v>
      </c>
    </row>
    <row r="20" ht="12.75" hidden="1" customHeight="1">
      <c r="A20" s="38">
        <v>42253.0</v>
      </c>
      <c r="B20" s="39" t="s">
        <v>30</v>
      </c>
      <c r="C20" s="40">
        <v>328008.0</v>
      </c>
      <c r="D20" s="41">
        <f>D19 - (D19/10)</f>
        <v>4.178571429</v>
      </c>
      <c r="E20" s="41">
        <f t="shared" si="1"/>
        <v>2.089285714</v>
      </c>
      <c r="F20" s="42">
        <f t="shared" si="2"/>
        <v>1203.428571</v>
      </c>
      <c r="G20" s="43">
        <f t="shared" si="3"/>
        <v>0.09257142857</v>
      </c>
      <c r="H20" s="44">
        <f t="shared" si="4"/>
        <v>0.2536203523</v>
      </c>
      <c r="I20" s="44">
        <f t="shared" si="5"/>
        <v>7.714285714</v>
      </c>
      <c r="J20" s="45">
        <f t="shared" si="6"/>
        <v>520.6937246</v>
      </c>
      <c r="N20" s="43">
        <v>0.5</v>
      </c>
    </row>
    <row r="21" ht="12.75" hidden="1" customHeight="1">
      <c r="A21" s="38">
        <v>42415.0</v>
      </c>
      <c r="B21" s="39" t="s">
        <v>31</v>
      </c>
      <c r="C21" s="40">
        <f>210240*2</f>
        <v>420480</v>
      </c>
      <c r="D21" s="41">
        <f t="shared" ref="D21:D55" si="9">D20-(D20/14)</f>
        <v>3.880102041</v>
      </c>
      <c r="E21" s="41">
        <f t="shared" si="1"/>
        <v>1.94005102</v>
      </c>
      <c r="F21" s="42">
        <f t="shared" si="2"/>
        <v>1117.469388</v>
      </c>
      <c r="G21" s="43">
        <f t="shared" si="3"/>
        <v>0.08595918367</v>
      </c>
      <c r="H21" s="44">
        <f t="shared" si="4"/>
        <v>0.2355046128</v>
      </c>
      <c r="I21" s="44">
        <f t="shared" si="5"/>
        <v>7.163265306</v>
      </c>
      <c r="J21" s="45">
        <f t="shared" si="6"/>
        <v>483.5013157</v>
      </c>
      <c r="N21" s="43">
        <v>0.5</v>
      </c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</row>
    <row r="22" ht="12.75" hidden="1" customHeight="1">
      <c r="A22" s="47">
        <f t="shared" ref="A22:A55" si="10">A21+365.25+18</f>
        <v>42798.25</v>
      </c>
      <c r="B22" s="48" t="s">
        <v>31</v>
      </c>
      <c r="C22" s="49">
        <f t="shared" ref="C22:C55" si="11">C21+210240</f>
        <v>630720</v>
      </c>
      <c r="D22" s="50">
        <f t="shared" si="9"/>
        <v>3.602951895</v>
      </c>
      <c r="E22" s="50">
        <f t="shared" si="1"/>
        <v>1.801475948</v>
      </c>
      <c r="F22" s="51">
        <f>(blocks_per_day)*D22*N22</f>
        <v>987.8493139</v>
      </c>
      <c r="G22" s="52">
        <f>((1/B$5)*blocks_per_day*(E22)*365)/1000</f>
        <v>0.07598840876</v>
      </c>
      <c r="H22" s="53">
        <f t="shared" si="4"/>
        <v>0.2081874213</v>
      </c>
      <c r="I22" s="53">
        <f t="shared" si="5"/>
        <v>6.332367397</v>
      </c>
      <c r="J22" s="54">
        <f t="shared" si="6"/>
        <v>427.4179214</v>
      </c>
      <c r="N22" s="52">
        <v>0.5</v>
      </c>
    </row>
    <row r="23" ht="12.75" customHeight="1">
      <c r="A23" s="55">
        <f t="shared" si="10"/>
        <v>43181.5</v>
      </c>
      <c r="B23" s="56" t="s">
        <v>31</v>
      </c>
      <c r="C23" s="57">
        <f t="shared" si="11"/>
        <v>840960</v>
      </c>
      <c r="D23" s="58">
        <f t="shared" si="9"/>
        <v>3.345598188</v>
      </c>
      <c r="E23" s="58">
        <f t="shared" si="1"/>
        <v>1.672799094</v>
      </c>
      <c r="F23" s="59">
        <f>(blocks_per_day)*D23*N23</f>
        <v>917.2886486</v>
      </c>
      <c r="G23" s="60">
        <f>((1/B$5)*blocks_per_day*(E23)*365)/1000</f>
        <v>0.07056066528</v>
      </c>
      <c r="H23" s="61">
        <f t="shared" si="4"/>
        <v>0.1933168912</v>
      </c>
      <c r="I23" s="61">
        <f t="shared" si="5"/>
        <v>5.88005544</v>
      </c>
      <c r="J23" s="62">
        <f t="shared" si="6"/>
        <v>396.8880699</v>
      </c>
      <c r="N23" s="63">
        <v>0.5</v>
      </c>
    </row>
    <row r="24" ht="12.75" customHeight="1">
      <c r="A24" s="64">
        <f t="shared" si="10"/>
        <v>43564.75</v>
      </c>
      <c r="B24" s="65" t="s">
        <v>31</v>
      </c>
      <c r="C24" s="66">
        <f t="shared" si="11"/>
        <v>1051200</v>
      </c>
      <c r="D24" s="67">
        <f t="shared" si="9"/>
        <v>3.106626889</v>
      </c>
      <c r="E24" s="67">
        <f t="shared" si="1"/>
        <v>1.553313445</v>
      </c>
      <c r="F24" s="68">
        <f>(blocks_per_day)*D24*N24</f>
        <v>851.7680309</v>
      </c>
      <c r="G24" s="63">
        <f>((1/B$5)*blocks_per_day*(E24)*365)/1000</f>
        <v>0.06552061776</v>
      </c>
      <c r="H24" s="69">
        <f t="shared" si="4"/>
        <v>0.1795085418</v>
      </c>
      <c r="I24" s="69">
        <f t="shared" si="5"/>
        <v>5.46005148</v>
      </c>
      <c r="J24" s="70">
        <f t="shared" si="6"/>
        <v>368.5389221</v>
      </c>
      <c r="N24" s="63">
        <v>0.5</v>
      </c>
    </row>
    <row r="25" ht="12.75" customHeight="1">
      <c r="A25" s="64">
        <f t="shared" si="10"/>
        <v>43948</v>
      </c>
      <c r="B25" s="65" t="s">
        <v>31</v>
      </c>
      <c r="C25" s="66">
        <f t="shared" si="11"/>
        <v>1261440</v>
      </c>
      <c r="D25" s="67">
        <f t="shared" si="9"/>
        <v>2.884724968</v>
      </c>
      <c r="E25" s="67">
        <f t="shared" si="1"/>
        <v>1.442362484</v>
      </c>
      <c r="F25" s="68">
        <f>(blocks_per_day)*D25*N25</f>
        <v>790.9274572</v>
      </c>
      <c r="G25" s="63">
        <f>((1/B$5)*blocks_per_day*(E25)*365)/1000</f>
        <v>0.06084057363</v>
      </c>
      <c r="H25" s="69">
        <f t="shared" si="4"/>
        <v>0.1666865031</v>
      </c>
      <c r="I25" s="69">
        <f t="shared" si="5"/>
        <v>5.070047803</v>
      </c>
      <c r="J25" s="70">
        <f t="shared" si="6"/>
        <v>342.2147133</v>
      </c>
      <c r="N25" s="63">
        <v>0.5</v>
      </c>
    </row>
    <row r="26" ht="12.75" customHeight="1">
      <c r="A26" s="64">
        <f t="shared" si="10"/>
        <v>44331.25</v>
      </c>
      <c r="B26" s="65" t="s">
        <v>31</v>
      </c>
      <c r="C26" s="66">
        <f t="shared" si="11"/>
        <v>1471680</v>
      </c>
      <c r="D26" s="67">
        <f t="shared" si="9"/>
        <v>2.678673185</v>
      </c>
      <c r="E26" s="67">
        <f t="shared" si="1"/>
        <v>1.339336592</v>
      </c>
      <c r="F26" s="68">
        <f>(blocks_per_day)*D26*N26</f>
        <v>734.4326389</v>
      </c>
      <c r="G26" s="63">
        <f>((1/B$5)*blocks_per_day*(E26)*365)/1000</f>
        <v>0.05649481837</v>
      </c>
      <c r="H26" s="69">
        <f t="shared" si="4"/>
        <v>0.1547803243</v>
      </c>
      <c r="I26" s="69">
        <f t="shared" si="5"/>
        <v>4.707901531</v>
      </c>
      <c r="J26" s="70">
        <f t="shared" si="6"/>
        <v>317.7708052</v>
      </c>
      <c r="N26" s="63">
        <v>0.5</v>
      </c>
    </row>
    <row r="27" ht="12.75" customHeight="1">
      <c r="A27" s="64">
        <f t="shared" si="10"/>
        <v>44714.5</v>
      </c>
      <c r="B27" s="65" t="s">
        <v>31</v>
      </c>
      <c r="C27" s="66">
        <f t="shared" si="11"/>
        <v>1681920</v>
      </c>
      <c r="D27" s="67">
        <f t="shared" si="9"/>
        <v>2.487339386</v>
      </c>
      <c r="E27" s="67">
        <f t="shared" si="1"/>
        <v>1.243669693</v>
      </c>
      <c r="F27" s="68">
        <f>(blocks_per_day)*D27*N27</f>
        <v>681.9731647</v>
      </c>
      <c r="G27" s="63">
        <f>((1/B$5)*blocks_per_day*(E27)*365)/1000</f>
        <v>0.0524594742</v>
      </c>
      <c r="H27" s="69">
        <f t="shared" si="4"/>
        <v>0.1437245869</v>
      </c>
      <c r="I27" s="69">
        <f t="shared" si="5"/>
        <v>4.37162285</v>
      </c>
      <c r="J27" s="70">
        <f t="shared" si="6"/>
        <v>295.0728906</v>
      </c>
      <c r="N27" s="63">
        <v>0.5</v>
      </c>
    </row>
    <row r="28" ht="12.75" customHeight="1">
      <c r="A28" s="64">
        <f t="shared" si="10"/>
        <v>45097.75</v>
      </c>
      <c r="B28" s="65" t="s">
        <v>31</v>
      </c>
      <c r="C28" s="66">
        <f t="shared" si="11"/>
        <v>1892160</v>
      </c>
      <c r="D28" s="67">
        <f t="shared" si="9"/>
        <v>2.309672287</v>
      </c>
      <c r="E28" s="67">
        <f t="shared" si="1"/>
        <v>1.154836144</v>
      </c>
      <c r="F28" s="68">
        <f>(blocks_per_day)*D28*N28</f>
        <v>633.2607958</v>
      </c>
      <c r="G28" s="63">
        <f>((1/B$5)*blocks_per_day*(E28)*365)/1000</f>
        <v>0.0487123689</v>
      </c>
      <c r="H28" s="69">
        <f t="shared" si="4"/>
        <v>0.1334585449</v>
      </c>
      <c r="I28" s="69">
        <f t="shared" si="5"/>
        <v>4.059364075</v>
      </c>
      <c r="J28" s="70">
        <f t="shared" si="6"/>
        <v>273.9962555</v>
      </c>
      <c r="N28" s="63">
        <v>0.5</v>
      </c>
    </row>
    <row r="29" ht="12.75" customHeight="1">
      <c r="A29" s="64">
        <f t="shared" si="10"/>
        <v>45481</v>
      </c>
      <c r="B29" s="65" t="s">
        <v>31</v>
      </c>
      <c r="C29" s="66">
        <f t="shared" si="11"/>
        <v>2102400</v>
      </c>
      <c r="D29" s="67">
        <f t="shared" si="9"/>
        <v>2.144695695</v>
      </c>
      <c r="E29" s="67">
        <f t="shared" si="1"/>
        <v>1.072347848</v>
      </c>
      <c r="F29" s="68">
        <f>(blocks_per_day)*D29*N29</f>
        <v>588.0278818</v>
      </c>
      <c r="G29" s="63">
        <f>((1/B$5)*blocks_per_day*(E29)*365)/1000</f>
        <v>0.04523291398</v>
      </c>
      <c r="H29" s="69">
        <f t="shared" si="4"/>
        <v>0.1239257917</v>
      </c>
      <c r="I29" s="69">
        <f t="shared" si="5"/>
        <v>3.769409499</v>
      </c>
      <c r="J29" s="70">
        <f t="shared" si="6"/>
        <v>254.4250944</v>
      </c>
      <c r="N29" s="63">
        <v>0.5</v>
      </c>
    </row>
    <row r="30" ht="12.75" customHeight="1">
      <c r="A30" s="64">
        <f t="shared" si="10"/>
        <v>45864.25</v>
      </c>
      <c r="B30" s="65" t="s">
        <v>31</v>
      </c>
      <c r="C30" s="66">
        <f t="shared" si="11"/>
        <v>2312640</v>
      </c>
      <c r="D30" s="67">
        <f t="shared" si="9"/>
        <v>1.991503145</v>
      </c>
      <c r="E30" s="67">
        <f t="shared" si="1"/>
        <v>0.9957515727</v>
      </c>
      <c r="F30" s="68">
        <f>(blocks_per_day)*D30*N30</f>
        <v>546.0258902</v>
      </c>
      <c r="G30" s="63">
        <f>((1/B$5)*blocks_per_day*(E30)*365)/1000</f>
        <v>0.04200199156</v>
      </c>
      <c r="H30" s="69">
        <f t="shared" si="4"/>
        <v>0.1150739495</v>
      </c>
      <c r="I30" s="69">
        <f t="shared" si="5"/>
        <v>3.500165963</v>
      </c>
      <c r="J30" s="70">
        <f t="shared" si="6"/>
        <v>236.2518734</v>
      </c>
      <c r="N30" s="63">
        <v>0.5</v>
      </c>
    </row>
    <row r="31" ht="12.75" customHeight="1">
      <c r="A31" s="64">
        <f t="shared" si="10"/>
        <v>46247.5</v>
      </c>
      <c r="B31" s="65" t="s">
        <v>31</v>
      </c>
      <c r="C31" s="66">
        <f t="shared" si="11"/>
        <v>2522880</v>
      </c>
      <c r="D31" s="67">
        <f t="shared" si="9"/>
        <v>1.849252921</v>
      </c>
      <c r="E31" s="67">
        <f t="shared" si="1"/>
        <v>0.9246264604</v>
      </c>
      <c r="F31" s="68">
        <f>(blocks_per_day)*D31*N31</f>
        <v>507.0240409</v>
      </c>
      <c r="G31" s="63">
        <f>((1/B$5)*blocks_per_day*(E31)*365)/1000</f>
        <v>0.0390018493</v>
      </c>
      <c r="H31" s="69">
        <f t="shared" si="4"/>
        <v>0.1068543816</v>
      </c>
      <c r="I31" s="69">
        <f t="shared" si="5"/>
        <v>3.250154108</v>
      </c>
      <c r="J31" s="70">
        <f t="shared" si="6"/>
        <v>219.3767396</v>
      </c>
      <c r="N31" s="63">
        <v>0.5</v>
      </c>
    </row>
    <row r="32" ht="12.75" customHeight="1">
      <c r="A32" s="64">
        <f t="shared" si="10"/>
        <v>46630.75</v>
      </c>
      <c r="B32" s="65" t="s">
        <v>31</v>
      </c>
      <c r="C32" s="66">
        <f t="shared" si="11"/>
        <v>2733120</v>
      </c>
      <c r="D32" s="67">
        <f t="shared" si="9"/>
        <v>1.717163426</v>
      </c>
      <c r="E32" s="67">
        <f t="shared" si="1"/>
        <v>0.8585817132</v>
      </c>
      <c r="F32" s="68">
        <f>(blocks_per_day)*D32*N32</f>
        <v>470.808038</v>
      </c>
      <c r="G32" s="63">
        <f>((1/B$5)*blocks_per_day*(E32)*365)/1000</f>
        <v>0.03621600292</v>
      </c>
      <c r="H32" s="69">
        <f t="shared" si="4"/>
        <v>0.09922192581</v>
      </c>
      <c r="I32" s="69">
        <f t="shared" si="5"/>
        <v>3.018000244</v>
      </c>
      <c r="J32" s="70">
        <f t="shared" si="6"/>
        <v>203.7069725</v>
      </c>
      <c r="N32" s="63">
        <v>0.5</v>
      </c>
    </row>
    <row r="33" ht="12.75" customHeight="1">
      <c r="A33" s="64">
        <f t="shared" si="10"/>
        <v>47014</v>
      </c>
      <c r="B33" s="65" t="s">
        <v>31</v>
      </c>
      <c r="C33" s="66">
        <f t="shared" si="11"/>
        <v>2943360</v>
      </c>
      <c r="D33" s="67">
        <f t="shared" si="9"/>
        <v>1.594508896</v>
      </c>
      <c r="E33" s="67">
        <f t="shared" si="1"/>
        <v>0.797254448</v>
      </c>
      <c r="F33" s="68">
        <f>(blocks_per_day)*D33*N33</f>
        <v>437.1788924</v>
      </c>
      <c r="G33" s="63">
        <f>((1/B$5)*blocks_per_day*(E33)*365)/1000</f>
        <v>0.03362914557</v>
      </c>
      <c r="H33" s="69">
        <f t="shared" si="4"/>
        <v>0.0921346454</v>
      </c>
      <c r="I33" s="69">
        <f t="shared" si="5"/>
        <v>2.802428798</v>
      </c>
      <c r="J33" s="70">
        <f t="shared" si="6"/>
        <v>189.1564744</v>
      </c>
      <c r="N33" s="63">
        <v>0.5</v>
      </c>
    </row>
    <row r="34" ht="12.75" customHeight="1">
      <c r="A34" s="64">
        <f t="shared" si="10"/>
        <v>47397.25</v>
      </c>
      <c r="B34" s="65" t="s">
        <v>31</v>
      </c>
      <c r="C34" s="66">
        <f t="shared" si="11"/>
        <v>3153600</v>
      </c>
      <c r="D34" s="67">
        <f t="shared" si="9"/>
        <v>1.480615403</v>
      </c>
      <c r="E34" s="67">
        <f t="shared" si="1"/>
        <v>0.7403077017</v>
      </c>
      <c r="F34" s="68">
        <f>(blocks_per_day)*D34*N34</f>
        <v>405.9518287</v>
      </c>
      <c r="G34" s="63">
        <f>((1/B$5)*blocks_per_day*(E34)*365)/1000</f>
        <v>0.03122706374</v>
      </c>
      <c r="H34" s="69">
        <f t="shared" si="4"/>
        <v>0.0855535993</v>
      </c>
      <c r="I34" s="69">
        <f t="shared" si="5"/>
        <v>2.602255312</v>
      </c>
      <c r="J34" s="70">
        <f t="shared" si="6"/>
        <v>175.6452977</v>
      </c>
      <c r="N34" s="63">
        <v>0.5</v>
      </c>
    </row>
    <row r="35" ht="12.75" customHeight="1">
      <c r="A35" s="64">
        <f t="shared" si="10"/>
        <v>47780.5</v>
      </c>
      <c r="B35" s="65" t="s">
        <v>31</v>
      </c>
      <c r="C35" s="66">
        <f t="shared" si="11"/>
        <v>3363840</v>
      </c>
      <c r="D35" s="67">
        <f t="shared" si="9"/>
        <v>1.37485716</v>
      </c>
      <c r="E35" s="67">
        <f t="shared" si="1"/>
        <v>0.6874285802</v>
      </c>
      <c r="F35" s="68">
        <f>(blocks_per_day)*D35*N35</f>
        <v>376.9552695</v>
      </c>
      <c r="G35" s="63">
        <f>((1/B$5)*blocks_per_day*(E35)*365)/1000</f>
        <v>0.02899655919</v>
      </c>
      <c r="H35" s="69">
        <f t="shared" si="4"/>
        <v>0.07944262792</v>
      </c>
      <c r="I35" s="69">
        <f t="shared" si="5"/>
        <v>2.416379933</v>
      </c>
      <c r="J35" s="70">
        <f t="shared" si="6"/>
        <v>163.099205</v>
      </c>
      <c r="N35" s="63">
        <v>0.5</v>
      </c>
    </row>
    <row r="36" ht="12.75" customHeight="1">
      <c r="A36" s="64">
        <f t="shared" si="10"/>
        <v>48163.75</v>
      </c>
      <c r="B36" s="65" t="s">
        <v>31</v>
      </c>
      <c r="C36" s="66">
        <f t="shared" si="11"/>
        <v>3574080</v>
      </c>
      <c r="D36" s="67">
        <f t="shared" si="9"/>
        <v>1.276653077</v>
      </c>
      <c r="E36" s="67">
        <f t="shared" si="1"/>
        <v>0.6383265387</v>
      </c>
      <c r="F36" s="68">
        <f>(blocks_per_day)*D36*N36</f>
        <v>350.0298931</v>
      </c>
      <c r="G36" s="63">
        <f>((1/B$5)*blocks_per_day*(E36)*365)/1000</f>
        <v>0.02692537639</v>
      </c>
      <c r="H36" s="69">
        <f t="shared" si="4"/>
        <v>0.0737681545</v>
      </c>
      <c r="I36" s="69">
        <f t="shared" si="5"/>
        <v>2.243781366</v>
      </c>
      <c r="J36" s="70">
        <f t="shared" si="6"/>
        <v>151.4492618</v>
      </c>
      <c r="N36" s="63">
        <v>0.5</v>
      </c>
    </row>
    <row r="37" ht="12.75" customHeight="1">
      <c r="A37" s="64">
        <f t="shared" si="10"/>
        <v>48547</v>
      </c>
      <c r="B37" s="65" t="s">
        <v>31</v>
      </c>
      <c r="C37" s="66">
        <f t="shared" si="11"/>
        <v>3784320</v>
      </c>
      <c r="D37" s="67">
        <f t="shared" si="9"/>
        <v>1.185463572</v>
      </c>
      <c r="E37" s="67">
        <f t="shared" si="1"/>
        <v>0.592731786</v>
      </c>
      <c r="F37" s="68">
        <f>(blocks_per_day)*D37*N37</f>
        <v>325.0277579</v>
      </c>
      <c r="G37" s="63">
        <f>((1/B$5)*blocks_per_day*(E37)*365)/1000</f>
        <v>0.02500213522</v>
      </c>
      <c r="H37" s="69">
        <f t="shared" si="4"/>
        <v>0.06849900061</v>
      </c>
      <c r="I37" s="69">
        <f t="shared" si="5"/>
        <v>2.083511268</v>
      </c>
      <c r="J37" s="70">
        <f t="shared" si="6"/>
        <v>140.6314574</v>
      </c>
      <c r="N37" s="63">
        <v>0.5</v>
      </c>
    </row>
    <row r="38" ht="12.75" customHeight="1">
      <c r="A38" s="64">
        <f t="shared" si="10"/>
        <v>48930.25</v>
      </c>
      <c r="B38" s="65" t="s">
        <v>31</v>
      </c>
      <c r="C38" s="66">
        <f t="shared" si="11"/>
        <v>3994560</v>
      </c>
      <c r="D38" s="67">
        <f t="shared" si="9"/>
        <v>1.100787602</v>
      </c>
      <c r="E38" s="67">
        <f t="shared" si="1"/>
        <v>0.5503938012</v>
      </c>
      <c r="F38" s="68">
        <f>(blocks_per_day)*D38*N38</f>
        <v>301.8114895</v>
      </c>
      <c r="G38" s="63">
        <f>((1/B$5)*blocks_per_day*(E38)*365)/1000</f>
        <v>0.02321626842</v>
      </c>
      <c r="H38" s="69">
        <f t="shared" si="4"/>
        <v>0.06360621485</v>
      </c>
      <c r="I38" s="69">
        <f t="shared" si="5"/>
        <v>1.934689035</v>
      </c>
      <c r="J38" s="70">
        <f t="shared" si="6"/>
        <v>130.5863533</v>
      </c>
      <c r="N38" s="63">
        <v>0.5</v>
      </c>
    </row>
    <row r="39" ht="12.75" customHeight="1">
      <c r="A39" s="64">
        <f t="shared" si="10"/>
        <v>49313.5</v>
      </c>
      <c r="B39" s="65" t="s">
        <v>31</v>
      </c>
      <c r="C39" s="66">
        <f t="shared" si="11"/>
        <v>4204800</v>
      </c>
      <c r="D39" s="67">
        <f t="shared" si="9"/>
        <v>1.022159917</v>
      </c>
      <c r="E39" s="67">
        <f t="shared" si="1"/>
        <v>0.5110799583</v>
      </c>
      <c r="F39" s="68">
        <f>(blocks_per_day)*D39*N39</f>
        <v>280.2535259</v>
      </c>
      <c r="G39" s="63">
        <f>((1/B$5)*blocks_per_day*(E39)*365)/1000</f>
        <v>0.02155796353</v>
      </c>
      <c r="H39" s="69">
        <f t="shared" si="4"/>
        <v>0.05906291379</v>
      </c>
      <c r="I39" s="69">
        <f t="shared" si="5"/>
        <v>1.796496961</v>
      </c>
      <c r="J39" s="70">
        <f t="shared" si="6"/>
        <v>121.2587566</v>
      </c>
      <c r="N39" s="63">
        <v>0.5</v>
      </c>
    </row>
    <row r="40" ht="12.75" customHeight="1">
      <c r="A40" s="64">
        <f t="shared" si="10"/>
        <v>49696.75</v>
      </c>
      <c r="B40" s="65" t="s">
        <v>31</v>
      </c>
      <c r="C40" s="66">
        <f t="shared" si="11"/>
        <v>4415040</v>
      </c>
      <c r="D40" s="67">
        <f t="shared" si="9"/>
        <v>0.949148494</v>
      </c>
      <c r="E40" s="67">
        <f t="shared" si="1"/>
        <v>0.474574247</v>
      </c>
      <c r="F40" s="68">
        <f>(blocks_per_day)*D40*N40</f>
        <v>260.2354169</v>
      </c>
      <c r="G40" s="63">
        <f>((1/B$5)*blocks_per_day*(E40)*365)/1000</f>
        <v>0.02001810899</v>
      </c>
      <c r="H40" s="69">
        <f t="shared" si="4"/>
        <v>0.05484413423</v>
      </c>
      <c r="I40" s="69">
        <f t="shared" si="5"/>
        <v>1.66817575</v>
      </c>
      <c r="J40" s="70">
        <f t="shared" si="6"/>
        <v>112.5974169</v>
      </c>
      <c r="N40" s="63">
        <v>0.5</v>
      </c>
    </row>
    <row r="41" ht="12.75" customHeight="1">
      <c r="A41" s="64">
        <f t="shared" si="10"/>
        <v>50080</v>
      </c>
      <c r="B41" s="65" t="s">
        <v>31</v>
      </c>
      <c r="C41" s="66">
        <f t="shared" si="11"/>
        <v>4625280</v>
      </c>
      <c r="D41" s="67">
        <f t="shared" si="9"/>
        <v>0.881352173</v>
      </c>
      <c r="E41" s="67">
        <f t="shared" si="1"/>
        <v>0.4406760865</v>
      </c>
      <c r="F41" s="68">
        <f>(blocks_per_day)*D41*N41</f>
        <v>241.6471729</v>
      </c>
      <c r="G41" s="63">
        <f>((1/B$5)*blocks_per_day*(E41)*365)/1000</f>
        <v>0.01858824407</v>
      </c>
      <c r="H41" s="69">
        <f t="shared" si="4"/>
        <v>0.05092669607</v>
      </c>
      <c r="I41" s="69">
        <f t="shared" si="5"/>
        <v>1.549020339</v>
      </c>
      <c r="J41" s="70">
        <f t="shared" si="6"/>
        <v>104.5547442</v>
      </c>
      <c r="N41" s="63">
        <v>0.5</v>
      </c>
    </row>
    <row r="42" ht="12.75" customHeight="1">
      <c r="A42" s="64">
        <f t="shared" si="10"/>
        <v>50463.25</v>
      </c>
      <c r="B42" s="65" t="s">
        <v>31</v>
      </c>
      <c r="C42" s="66">
        <f t="shared" si="11"/>
        <v>4835520</v>
      </c>
      <c r="D42" s="67">
        <f t="shared" si="9"/>
        <v>0.8183984463</v>
      </c>
      <c r="E42" s="67">
        <f t="shared" si="1"/>
        <v>0.4091992232</v>
      </c>
      <c r="F42" s="68">
        <f>(blocks_per_day)*D42*N42</f>
        <v>224.3866605</v>
      </c>
      <c r="G42" s="63">
        <f>((1/B$5)*blocks_per_day*(E42)*365)/1000</f>
        <v>0.01726051235</v>
      </c>
      <c r="H42" s="69">
        <f t="shared" si="4"/>
        <v>0.04728907492</v>
      </c>
      <c r="I42" s="69">
        <f t="shared" si="5"/>
        <v>1.438376029</v>
      </c>
      <c r="J42" s="70">
        <f t="shared" si="6"/>
        <v>97.08654821</v>
      </c>
      <c r="N42" s="63">
        <v>0.5</v>
      </c>
    </row>
    <row r="43" ht="12.75" customHeight="1">
      <c r="A43" s="64">
        <f t="shared" si="10"/>
        <v>50846.5</v>
      </c>
      <c r="B43" s="65" t="s">
        <v>31</v>
      </c>
      <c r="C43" s="66">
        <f t="shared" si="11"/>
        <v>5045760</v>
      </c>
      <c r="D43" s="67">
        <f t="shared" si="9"/>
        <v>0.7599414145</v>
      </c>
      <c r="E43" s="67">
        <f t="shared" si="1"/>
        <v>0.3799707072</v>
      </c>
      <c r="F43" s="68">
        <f>(blocks_per_day)*D43*N43</f>
        <v>208.3590419</v>
      </c>
      <c r="G43" s="63">
        <f>((1/B$5)*blocks_per_day*(E43)*365)/1000</f>
        <v>0.01602761861</v>
      </c>
      <c r="H43" s="69">
        <f t="shared" si="4"/>
        <v>0.04391128386</v>
      </c>
      <c r="I43" s="69">
        <f t="shared" si="5"/>
        <v>1.335634884</v>
      </c>
      <c r="J43" s="70">
        <f t="shared" si="6"/>
        <v>90.15179476</v>
      </c>
      <c r="N43" s="63">
        <v>0.5</v>
      </c>
    </row>
    <row r="44" ht="12.75" customHeight="1">
      <c r="A44" s="64">
        <f t="shared" si="10"/>
        <v>51229.75</v>
      </c>
      <c r="B44" s="65" t="s">
        <v>31</v>
      </c>
      <c r="C44" s="66">
        <f t="shared" si="11"/>
        <v>5256000</v>
      </c>
      <c r="D44" s="67">
        <f t="shared" si="9"/>
        <v>0.7056598849</v>
      </c>
      <c r="E44" s="67">
        <f t="shared" si="1"/>
        <v>0.3528299424</v>
      </c>
      <c r="F44" s="68">
        <f>(blocks_per_day)*D44*N44</f>
        <v>193.4762532</v>
      </c>
      <c r="G44" s="63">
        <f>((1/B$5)*blocks_per_day*(E44)*365)/1000</f>
        <v>0.01488278871</v>
      </c>
      <c r="H44" s="69">
        <f t="shared" si="4"/>
        <v>0.04077476358</v>
      </c>
      <c r="I44" s="69">
        <f t="shared" si="5"/>
        <v>1.240232392</v>
      </c>
      <c r="J44" s="70">
        <f t="shared" si="6"/>
        <v>83.71238085</v>
      </c>
      <c r="N44" s="63">
        <v>0.5</v>
      </c>
    </row>
    <row r="45" ht="12.75" customHeight="1">
      <c r="A45" s="64">
        <f t="shared" si="10"/>
        <v>51613</v>
      </c>
      <c r="B45" s="65" t="s">
        <v>31</v>
      </c>
      <c r="C45" s="66">
        <f t="shared" si="11"/>
        <v>5466240</v>
      </c>
      <c r="D45" s="67">
        <f t="shared" si="9"/>
        <v>0.6552556074</v>
      </c>
      <c r="E45" s="67">
        <f t="shared" si="1"/>
        <v>0.3276278037</v>
      </c>
      <c r="F45" s="68">
        <f>(blocks_per_day)*D45*N45</f>
        <v>179.6565208</v>
      </c>
      <c r="G45" s="63">
        <f>((1/B$5)*blocks_per_day*(E45)*365)/1000</f>
        <v>0.01381973237</v>
      </c>
      <c r="H45" s="69">
        <f t="shared" si="4"/>
        <v>0.03786228047</v>
      </c>
      <c r="I45" s="69">
        <f t="shared" si="5"/>
        <v>1.151644364</v>
      </c>
      <c r="J45" s="70">
        <f t="shared" si="6"/>
        <v>77.73292508</v>
      </c>
      <c r="N45" s="63">
        <v>0.5</v>
      </c>
    </row>
    <row r="46" ht="12.75" customHeight="1">
      <c r="A46" s="64">
        <f t="shared" si="10"/>
        <v>51996.25</v>
      </c>
      <c r="B46" s="65" t="s">
        <v>31</v>
      </c>
      <c r="C46" s="66">
        <f t="shared" si="11"/>
        <v>5676480</v>
      </c>
      <c r="D46" s="67">
        <f t="shared" si="9"/>
        <v>0.6084516354</v>
      </c>
      <c r="E46" s="67">
        <f t="shared" si="1"/>
        <v>0.3042258177</v>
      </c>
      <c r="F46" s="68">
        <f>(blocks_per_day)*D46*N46</f>
        <v>166.8239122</v>
      </c>
      <c r="G46" s="63">
        <f>((1/B$5)*blocks_per_day*(E46)*365)/1000</f>
        <v>0.01283260863</v>
      </c>
      <c r="H46" s="69">
        <f t="shared" si="4"/>
        <v>0.03515783186</v>
      </c>
      <c r="I46" s="69">
        <f t="shared" si="5"/>
        <v>1.069384053</v>
      </c>
      <c r="J46" s="70">
        <f t="shared" si="6"/>
        <v>72.18057329</v>
      </c>
      <c r="N46" s="63">
        <v>0.5</v>
      </c>
    </row>
    <row r="47" ht="12.75" customHeight="1">
      <c r="A47" s="64">
        <f t="shared" si="10"/>
        <v>52379.5</v>
      </c>
      <c r="B47" s="65" t="s">
        <v>31</v>
      </c>
      <c r="C47" s="66">
        <f t="shared" si="11"/>
        <v>5886720</v>
      </c>
      <c r="D47" s="67">
        <f t="shared" si="9"/>
        <v>0.5649908043</v>
      </c>
      <c r="E47" s="67">
        <f t="shared" si="1"/>
        <v>0.2824954022</v>
      </c>
      <c r="F47" s="68">
        <f>(blocks_per_day)*D47*N47</f>
        <v>154.9079185</v>
      </c>
      <c r="G47" s="63">
        <f>((1/B$5)*blocks_per_day*(E47)*365)/1000</f>
        <v>0.01191599373</v>
      </c>
      <c r="H47" s="69">
        <f t="shared" si="4"/>
        <v>0.03264655816</v>
      </c>
      <c r="I47" s="69">
        <f t="shared" si="5"/>
        <v>0.9929994774</v>
      </c>
      <c r="J47" s="70">
        <f t="shared" si="6"/>
        <v>67.02481805</v>
      </c>
      <c r="N47" s="63">
        <v>0.5</v>
      </c>
    </row>
    <row r="48" ht="12.75" customHeight="1">
      <c r="A48" s="64">
        <f t="shared" si="10"/>
        <v>52762.75</v>
      </c>
      <c r="B48" s="65" t="s">
        <v>31</v>
      </c>
      <c r="C48" s="66">
        <f t="shared" si="11"/>
        <v>6096960</v>
      </c>
      <c r="D48" s="67">
        <f t="shared" si="9"/>
        <v>0.5246343183</v>
      </c>
      <c r="E48" s="67">
        <f t="shared" si="1"/>
        <v>0.2623171591</v>
      </c>
      <c r="F48" s="68">
        <f>(blocks_per_day)*D48*N48</f>
        <v>143.8430671</v>
      </c>
      <c r="G48" s="63">
        <f>((1/B$5)*blocks_per_day*(E48)*365)/1000</f>
        <v>0.01106485132</v>
      </c>
      <c r="H48" s="69">
        <f t="shared" si="4"/>
        <v>0.03031466115</v>
      </c>
      <c r="I48" s="69">
        <f t="shared" si="5"/>
        <v>0.9220709433</v>
      </c>
      <c r="J48" s="70">
        <f t="shared" si="6"/>
        <v>62.23733105</v>
      </c>
      <c r="N48" s="63">
        <v>0.5</v>
      </c>
    </row>
    <row r="49" ht="12.75" customHeight="1">
      <c r="A49" s="64">
        <f t="shared" si="10"/>
        <v>53146</v>
      </c>
      <c r="B49" s="65" t="s">
        <v>31</v>
      </c>
      <c r="C49" s="66">
        <f t="shared" si="11"/>
        <v>6307200</v>
      </c>
      <c r="D49" s="67">
        <f t="shared" si="9"/>
        <v>0.4871604384</v>
      </c>
      <c r="E49" s="67">
        <f t="shared" si="1"/>
        <v>0.2435802192</v>
      </c>
      <c r="F49" s="68">
        <f>(blocks_per_day)*D49*N49</f>
        <v>133.5685624</v>
      </c>
      <c r="G49" s="63">
        <f>((1/B$5)*blocks_per_day*(E49)*365)/1000</f>
        <v>0.0102745048</v>
      </c>
      <c r="H49" s="69">
        <f t="shared" si="4"/>
        <v>0.02814932821</v>
      </c>
      <c r="I49" s="69">
        <f t="shared" si="5"/>
        <v>0.856208733</v>
      </c>
      <c r="J49" s="70">
        <f t="shared" si="6"/>
        <v>57.7918074</v>
      </c>
      <c r="N49" s="63">
        <v>0.5</v>
      </c>
    </row>
    <row r="50" ht="12.75" customHeight="1">
      <c r="A50" s="64">
        <f t="shared" si="10"/>
        <v>53529.25</v>
      </c>
      <c r="B50" s="65" t="s">
        <v>31</v>
      </c>
      <c r="C50" s="66">
        <f t="shared" si="11"/>
        <v>6517440</v>
      </c>
      <c r="D50" s="67">
        <f t="shared" si="9"/>
        <v>0.4523632642</v>
      </c>
      <c r="E50" s="67">
        <f t="shared" si="1"/>
        <v>0.2261816321</v>
      </c>
      <c r="F50" s="68">
        <f>(blocks_per_day)*D50*N50</f>
        <v>124.0279508</v>
      </c>
      <c r="G50" s="63">
        <f>((1/B$5)*blocks_per_day*(E50)*365)/1000</f>
        <v>0.009540611597</v>
      </c>
      <c r="H50" s="69">
        <f t="shared" si="4"/>
        <v>0.02613866191</v>
      </c>
      <c r="I50" s="69">
        <f t="shared" si="5"/>
        <v>0.7950509664</v>
      </c>
      <c r="J50" s="70">
        <f t="shared" si="6"/>
        <v>53.66382116</v>
      </c>
      <c r="N50" s="63">
        <v>0.5</v>
      </c>
    </row>
    <row r="51" ht="12.75" customHeight="1">
      <c r="A51" s="64">
        <f t="shared" si="10"/>
        <v>53912.5</v>
      </c>
      <c r="B51" s="65" t="s">
        <v>31</v>
      </c>
      <c r="C51" s="66">
        <f t="shared" si="11"/>
        <v>6727680</v>
      </c>
      <c r="D51" s="67">
        <f t="shared" si="9"/>
        <v>0.4200516025</v>
      </c>
      <c r="E51" s="67">
        <f t="shared" si="1"/>
        <v>0.2100258013</v>
      </c>
      <c r="F51" s="68">
        <f>(blocks_per_day)*D51*N51</f>
        <v>115.1688114</v>
      </c>
      <c r="G51" s="63">
        <f>((1/B$5)*blocks_per_day*(E51)*365)/1000</f>
        <v>0.00885913934</v>
      </c>
      <c r="H51" s="69">
        <f t="shared" si="4"/>
        <v>0.02427161463</v>
      </c>
      <c r="I51" s="69">
        <f t="shared" si="5"/>
        <v>0.7382616116</v>
      </c>
      <c r="J51" s="70">
        <f t="shared" si="6"/>
        <v>49.83069108</v>
      </c>
      <c r="N51" s="63">
        <v>0.5</v>
      </c>
    </row>
    <row r="52" ht="12.75" customHeight="1">
      <c r="A52" s="64">
        <f t="shared" si="10"/>
        <v>54295.75</v>
      </c>
      <c r="B52" s="65" t="s">
        <v>31</v>
      </c>
      <c r="C52" s="66">
        <f t="shared" si="11"/>
        <v>6937920</v>
      </c>
      <c r="D52" s="67">
        <f t="shared" si="9"/>
        <v>0.3900479166</v>
      </c>
      <c r="E52" s="67">
        <f t="shared" si="1"/>
        <v>0.1950239583</v>
      </c>
      <c r="F52" s="68">
        <f>(blocks_per_day)*D52*N52</f>
        <v>106.9424677</v>
      </c>
      <c r="G52" s="63">
        <f>((1/B$5)*blocks_per_day*(E52)*365)/1000</f>
        <v>0.008226343673</v>
      </c>
      <c r="H52" s="69">
        <f t="shared" si="4"/>
        <v>0.02253792787</v>
      </c>
      <c r="I52" s="69">
        <f t="shared" si="5"/>
        <v>0.6855286394</v>
      </c>
      <c r="J52" s="70">
        <f t="shared" si="6"/>
        <v>46.271356</v>
      </c>
      <c r="N52" s="63">
        <v>0.5</v>
      </c>
    </row>
    <row r="53" ht="12.75" customHeight="1">
      <c r="A53" s="64">
        <f t="shared" si="10"/>
        <v>54679</v>
      </c>
      <c r="B53" s="65" t="s">
        <v>31</v>
      </c>
      <c r="C53" s="66">
        <f t="shared" si="11"/>
        <v>7148160</v>
      </c>
      <c r="D53" s="67">
        <f t="shared" si="9"/>
        <v>0.3621873511</v>
      </c>
      <c r="E53" s="67">
        <f t="shared" si="1"/>
        <v>0.1810936756</v>
      </c>
      <c r="F53" s="68">
        <f>(blocks_per_day)*D53*N53</f>
        <v>99.30372005</v>
      </c>
      <c r="G53" s="63">
        <f>((1/B$5)*blocks_per_day*(E53)*365)/1000</f>
        <v>0.007638747696</v>
      </c>
      <c r="H53" s="69">
        <f t="shared" si="4"/>
        <v>0.02092807588</v>
      </c>
      <c r="I53" s="69">
        <f t="shared" si="5"/>
        <v>0.636562308</v>
      </c>
      <c r="J53" s="70">
        <f t="shared" si="6"/>
        <v>42.96625914</v>
      </c>
      <c r="N53" s="63">
        <v>0.5</v>
      </c>
    </row>
    <row r="54" ht="12.75" customHeight="1">
      <c r="A54" s="64">
        <f t="shared" si="10"/>
        <v>55062.25</v>
      </c>
      <c r="B54" s="65" t="s">
        <v>31</v>
      </c>
      <c r="C54" s="66">
        <f t="shared" si="11"/>
        <v>7358400</v>
      </c>
      <c r="D54" s="67">
        <f t="shared" si="9"/>
        <v>0.3363168261</v>
      </c>
      <c r="E54" s="67">
        <f t="shared" si="1"/>
        <v>0.168158413</v>
      </c>
      <c r="F54" s="68">
        <f>(blocks_per_day)*D54*N54</f>
        <v>92.21059719</v>
      </c>
      <c r="G54" s="63">
        <f>((1/B$5)*blocks_per_day*(E54)*365)/1000</f>
        <v>0.007093122861</v>
      </c>
      <c r="H54" s="69">
        <f t="shared" si="4"/>
        <v>0.01943321332</v>
      </c>
      <c r="I54" s="69">
        <f t="shared" si="5"/>
        <v>0.5910935717</v>
      </c>
      <c r="J54" s="70">
        <f t="shared" si="6"/>
        <v>39.89724063</v>
      </c>
      <c r="N54" s="63">
        <v>0.5</v>
      </c>
    </row>
    <row r="55" ht="12.75" customHeight="1">
      <c r="A55" s="71">
        <f t="shared" si="10"/>
        <v>55445.5</v>
      </c>
      <c r="B55" s="72" t="s">
        <v>31</v>
      </c>
      <c r="C55" s="73">
        <f t="shared" si="11"/>
        <v>7568640</v>
      </c>
      <c r="D55" s="74">
        <f t="shared" si="9"/>
        <v>0.3122941956</v>
      </c>
      <c r="E55" s="74">
        <f t="shared" si="1"/>
        <v>0.1561470978</v>
      </c>
      <c r="F55" s="75">
        <f>(blocks_per_day)*D55*N55</f>
        <v>85.62412596</v>
      </c>
      <c r="G55" s="76">
        <f>((1/B$5)*blocks_per_day*(E55)*365)/1000</f>
        <v>0.006586471228</v>
      </c>
      <c r="H55" s="77">
        <f t="shared" si="4"/>
        <v>0.01804512665</v>
      </c>
      <c r="I55" s="77">
        <f t="shared" si="5"/>
        <v>0.5488726023</v>
      </c>
      <c r="J55" s="78">
        <f t="shared" si="6"/>
        <v>37.04743773</v>
      </c>
      <c r="N55" s="76">
        <v>0.5</v>
      </c>
    </row>
    <row r="56" ht="12.75" customHeight="1">
      <c r="A56" s="79" t="s">
        <v>32</v>
      </c>
      <c r="B56" s="80"/>
      <c r="C56" s="80"/>
      <c r="D56" s="80"/>
      <c r="E56" s="80"/>
      <c r="F56" s="80"/>
      <c r="G56" s="80"/>
      <c r="H56" s="80"/>
      <c r="I56" s="80"/>
      <c r="J56" s="29"/>
    </row>
    <row r="57" ht="12.75" customHeight="1">
      <c r="A57" s="81" t="s">
        <v>33</v>
      </c>
      <c r="B57" s="80"/>
      <c r="C57" s="80"/>
      <c r="D57" s="80"/>
      <c r="E57" s="80"/>
      <c r="F57" s="80"/>
      <c r="G57" s="80"/>
      <c r="H57" s="80"/>
      <c r="I57" s="80"/>
      <c r="J57" s="29"/>
    </row>
    <row r="58" ht="12.75" customHeight="1"/>
  </sheetData>
  <mergeCells count="6">
    <mergeCell ref="C7:D7"/>
    <mergeCell ref="A8:K8"/>
    <mergeCell ref="A56:J56"/>
    <mergeCell ref="A57:J57"/>
    <mergeCell ref="F4:G7"/>
    <mergeCell ref="A3:J3"/>
  </mergeCells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6" width="10.86"/>
    <col customWidth="1" min="7" max="26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1.025" footer="0.0" header="0.0" left="0.7875" right="0.7875" top="1.025"/>
  <pageSetup paperSize="9" orientation="portrait"/>
  <headerFooter>
    <oddHeader>&amp;C&amp;A</oddHeader>
    <oddFooter>&amp;CPage &amp;P</oddFooter>
  </headerFooter>
  <drawing r:id="rId1"/>
</worksheet>
</file>