
<file path=[Content_Types].xml><?xml version="1.0" encoding="utf-8"?>
<Types xmlns="http://schemas.openxmlformats.org/package/2006/content-types">
  <Default Extension="bin" ContentType="application/vnd.openxmlformats-officedocument.spreadsheetml.printerSettings"/>
  <Default Extension="jpeg" ContentType="image/jpeg"/>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comments1.xml" ContentType="application/vnd.openxmlformats-officedocument.spreadsheetml.comments+xml"/>
  <Override PartName="/xl/drawings/drawing4.xml" ContentType="application/vnd.openxmlformats-officedocument.drawing+xml"/>
  <Override PartName="/xl/drawings/drawing5.xml" ContentType="application/vnd.openxmlformats-officedocument.drawing+xml"/>
  <Override PartName="/xl/comments2.xml" ContentType="application/vnd.openxmlformats-officedocument.spreadsheetml.comments+xml"/>
  <Override PartName="/xl/comments3.xml" ContentType="application/vnd.openxmlformats-officedocument.spreadsheetml.comments+xml"/>
  <Override PartName="/xl/drawings/drawing6.xml" ContentType="application/vnd.openxmlformats-officedocument.drawing+xml"/>
  <Override PartName="/xl/calcChain.xml" ContentType="application/vnd.openxmlformats-officedocument.spreadsheetml.calcChain+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328"/>
  <workbookPr defaultThemeVersion="124226"/>
  <mc:AlternateContent xmlns:mc="http://schemas.openxmlformats.org/markup-compatibility/2006">
    <mc:Choice Requires="x15">
      <x15ac:absPath xmlns:x15ac="http://schemas.microsoft.com/office/spreadsheetml/2010/11/ac" url="T:\00-Template-Do Not Modify\01-Minor Project template folder\"/>
    </mc:Choice>
  </mc:AlternateContent>
  <xr:revisionPtr revIDLastSave="0" documentId="13_ncr:1_{C279CCD4-3EDC-4A08-AA47-7C3374F306A6}" xr6:coauthVersionLast="47" xr6:coauthVersionMax="47" xr10:uidLastSave="{00000000-0000-0000-0000-000000000000}"/>
  <bookViews>
    <workbookView xWindow="16080" yWindow="3360" windowWidth="29040" windowHeight="15720" firstSheet="1" activeTab="1" xr2:uid="{00000000-000D-0000-FFFF-FFFF00000000}"/>
  </bookViews>
  <sheets>
    <sheet name="Duct System Sizer" sheetId="6" state="hidden" r:id="rId1"/>
    <sheet name="Mechanical Design Certificate" sheetId="26" r:id="rId2"/>
    <sheet name="Mech Design Compliance Cert" sheetId="27" r:id="rId3"/>
    <sheet name="01-AC Load" sheetId="23" r:id="rId4"/>
    <sheet name="02-Air System Sizer" sheetId="12" r:id="rId5"/>
    <sheet name="03-Ventilation Rate" sheetId="10" r:id="rId6"/>
    <sheet name="04-Exhaust Hood" sheetId="2" r:id="rId7"/>
    <sheet name="05-Design Checklist" sheetId="25" r:id="rId8"/>
    <sheet name="Casual Duct Sizer" sheetId="22" r:id="rId9"/>
    <sheet name="Casual Pipe Sizer" sheetId="17" r:id="rId10"/>
    <sheet name="REF" sheetId="14" state="hidden" r:id="rId11"/>
    <sheet name="REF-AC Data" sheetId="24" r:id="rId12"/>
    <sheet name="Ver." sheetId="16" r:id="rId13"/>
    <sheet name="Sheet2" sheetId="7" state="hidden" r:id="rId14"/>
  </sheets>
  <externalReferences>
    <externalReference r:id="rId15"/>
  </externalReferences>
  <definedNames>
    <definedName name="_xlnm._FilterDatabase" localSheetId="3" hidden="1">'01-AC Load'!$A$2:$S$2</definedName>
    <definedName name="AC_SPLIT_DUCTED_LP" comment="Daikin Low profile ducted split model" localSheetId="3">'01-AC Load'!#REF!</definedName>
    <definedName name="AC_SPLIT_DUCTED_LP" comment="Daikin Low profile ducted split model">#REF!</definedName>
    <definedName name="AC_SPLIT_DUCTED_STD" comment="Daikin Standard Split Ducted Model" localSheetId="3">'01-AC Load'!#REF!</definedName>
    <definedName name="AC_SPLIT_DUCTED_STD" comment="Daikin Standard Split Ducted Model">#REF!</definedName>
    <definedName name="AC_VRV_DUCTED_STD" comment="Daikin VRV IV S Ducted Indoor Unit" localSheetId="3">'01-AC Load'!#REF!</definedName>
    <definedName name="AC_VRV_DUCTED_STD" comment="Daikin VRV IV S Ducted Indoor Unit">#REF!</definedName>
    <definedName name="B.EX">#REF!</definedName>
    <definedName name="B.EX.U">#REF!</definedName>
    <definedName name="B.Room">#REF!</definedName>
    <definedName name="B.SA">#REF!</definedName>
    <definedName name="B.SA.U">#REF!</definedName>
    <definedName name="Bupa">#REF!</definedName>
    <definedName name="Chilled" localSheetId="3">'[1]REF- Pipe Size Chart'!#REF!</definedName>
    <definedName name="Chilled">'Casual Pipe Sizer'!#REF!</definedName>
    <definedName name="Client">#REF!</definedName>
    <definedName name="Condenser_Water" localSheetId="3">'[1]REF- Pipe Size Chart'!#REF!</definedName>
    <definedName name="Condenser_Water">'Casual Pipe Sizer'!#REF!</definedName>
    <definedName name="Delta_T" localSheetId="3">'[1]REF- Pipe Size Chart'!#REF!</definedName>
    <definedName name="Delta_T">'Casual Pipe Sizer'!#REF!</definedName>
    <definedName name="Diameter">'Casual Pipe Sizer'!$Y$12:$Y$41</definedName>
    <definedName name="Float" localSheetId="3">'[1]REF- Pipe Size Chart'!#REF!</definedName>
    <definedName name="Float">'Casual Pipe Sizer'!#REF!</definedName>
    <definedName name="Flow">#REF!</definedName>
    <definedName name="Flow_Velocity_Float" localSheetId="3">'[1]REF- Pipe Size Chart'!#REF!</definedName>
    <definedName name="Flow_Velocity_Float">'Casual Pipe Sizer'!#REF!</definedName>
    <definedName name="HeadLossLimit" localSheetId="3">'[1]REF- Pipe Size Chart'!#REF!</definedName>
    <definedName name="HeadLossLimit">'Casual Pipe Sizer'!#REF!</definedName>
    <definedName name="HeadLossLimit_LargePipe" localSheetId="3">'[1]REF- Pipe Size Chart'!#REF!</definedName>
    <definedName name="HeadLossLimit_LargePipe">'Casual Pipe Sizer'!#REF!</definedName>
    <definedName name="HeadLossLimit_SmallPipe" localSheetId="3">'[1]REF- Pipe Size Chart'!#REF!</definedName>
    <definedName name="HeadLossLimit_SmallPipe">'Casual Pipe Sizer'!#REF!</definedName>
    <definedName name="Highest_In_Range">'Casual Pipe Sizer'!$X$12:$X$41</definedName>
    <definedName name="Hot_Water" localSheetId="3">'[1]REF- Pipe Size Chart'!#REF!</definedName>
    <definedName name="Hot_Water">'Casual Pipe Sizer'!#REF!</definedName>
    <definedName name="Levels">#REF!</definedName>
    <definedName name="Lowest_In_Range">'Casual Pipe Sizer'!$W$12:$W$41</definedName>
    <definedName name="Max_Flow_Velocity" localSheetId="3">'[1]REF- Pipe Size Chart'!#REF!</definedName>
    <definedName name="Max_Flow_Velocity">'Casual Pipe Sizer'!#REF!</definedName>
    <definedName name="Min_Flow_Velocity" localSheetId="3">'[1]REF- Pipe Size Chart'!#REF!</definedName>
    <definedName name="Min_Flow_Velocity">'Casual Pipe Sizer'!#REF!</definedName>
    <definedName name="_xlnm.Print_Area" localSheetId="3">'01-AC Load'!$A$1:$O$157</definedName>
    <definedName name="_xlnm.Print_Area" localSheetId="9">'Casual Pipe Sizer'!$A$12:$I$12</definedName>
    <definedName name="_xlnm.Print_Area" localSheetId="2">'Mech Design Compliance Cert'!$A$1:$I$41</definedName>
    <definedName name="_xlnm.Print_Area" localSheetId="1">'Mechanical Design Certificate'!$A$1:$I$71</definedName>
    <definedName name="Requirement">#REF!</definedName>
    <definedName name="Table_AC_Daikin" localSheetId="3">'REF-AC Data'!$E$2:$H$47</definedName>
    <definedName name="Table_AC_Daikin" comment="Daikin Split AC and VRV Units. Only Cooling capacity, heating capacity and airflow are listed for quick sizing purpose ">#REF!</definedName>
    <definedName name="Table_CDW_PIPE">'Casual Pipe Sizer'!$E$15:$F$36</definedName>
    <definedName name="Table_CHW_PIPE">'Casual Pipe Sizer'!$B$15:$C$36</definedName>
    <definedName name="Table_HWW_PIPE">'Casual Pipe Sizer'!$H$15:$I$36</definedName>
    <definedName name="Whiddon">#REF!</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G40" i="27" l="1"/>
  <c r="G70" i="26" l="1"/>
  <c r="B11" i="23" l="1"/>
  <c r="F111" i="23"/>
  <c r="E111" i="23"/>
  <c r="E53" i="23"/>
  <c r="BF51" i="2"/>
  <c r="BA51" i="2"/>
  <c r="BD51" i="2" s="1"/>
  <c r="BG51" i="2" s="1"/>
  <c r="BF49" i="2"/>
  <c r="BD49" i="2"/>
  <c r="BA49" i="2"/>
  <c r="BF47" i="2"/>
  <c r="BA47" i="2"/>
  <c r="BD47" i="2" s="1"/>
  <c r="BG47" i="2" s="1"/>
  <c r="BF45" i="2"/>
  <c r="BA45" i="2"/>
  <c r="BD45" i="2" s="1"/>
  <c r="BG45" i="2" s="1"/>
  <c r="BF43" i="2"/>
  <c r="BD43" i="2"/>
  <c r="BG43" i="2" s="1"/>
  <c r="BH43" i="2" s="1"/>
  <c r="BI43" i="2" s="1"/>
  <c r="BA43" i="2"/>
  <c r="BF41" i="2"/>
  <c r="BD41" i="2"/>
  <c r="BG41" i="2" s="1"/>
  <c r="BH41" i="2" s="1"/>
  <c r="BI41" i="2" s="1"/>
  <c r="BA41" i="2"/>
  <c r="BF39" i="2"/>
  <c r="BA39" i="2"/>
  <c r="BD39" i="2" s="1"/>
  <c r="BG39" i="2" s="1"/>
  <c r="BF37" i="2"/>
  <c r="BA37" i="2"/>
  <c r="BD37" i="2" s="1"/>
  <c r="BG37" i="2" s="1"/>
  <c r="AU51" i="2"/>
  <c r="AP51" i="2"/>
  <c r="AS51" i="2" s="1"/>
  <c r="AV51" i="2" s="1"/>
  <c r="AV49" i="2"/>
  <c r="AW49" i="2" s="1"/>
  <c r="AX49" i="2" s="1"/>
  <c r="AU49" i="2"/>
  <c r="AS49" i="2"/>
  <c r="AP49" i="2"/>
  <c r="AU47" i="2"/>
  <c r="AS47" i="2"/>
  <c r="AV47" i="2" s="1"/>
  <c r="AP47" i="2"/>
  <c r="BA50" i="2"/>
  <c r="BA48" i="2"/>
  <c r="BD48" i="2" s="1"/>
  <c r="BA46" i="2"/>
  <c r="BA44" i="2"/>
  <c r="BA42" i="2"/>
  <c r="BA40" i="2"/>
  <c r="BA38" i="2"/>
  <c r="BA36" i="2"/>
  <c r="BD36" i="2" s="1"/>
  <c r="BG36" i="2" s="1"/>
  <c r="BA35" i="2"/>
  <c r="BA34" i="2"/>
  <c r="BA33" i="2"/>
  <c r="BA32" i="2"/>
  <c r="BA31" i="2"/>
  <c r="BA30" i="2"/>
  <c r="BA29" i="2"/>
  <c r="BA28" i="2"/>
  <c r="BA27" i="2"/>
  <c r="BA26" i="2"/>
  <c r="BD26" i="2" s="1"/>
  <c r="BF50" i="2"/>
  <c r="BD50" i="2"/>
  <c r="BG50" i="2" s="1"/>
  <c r="BF48" i="2"/>
  <c r="BF46" i="2"/>
  <c r="BD46" i="2"/>
  <c r="BF44" i="2"/>
  <c r="BD44" i="2"/>
  <c r="BG44" i="2" s="1"/>
  <c r="BF42" i="2"/>
  <c r="BD42" i="2"/>
  <c r="BG42" i="2" s="1"/>
  <c r="BF40" i="2"/>
  <c r="BD40" i="2"/>
  <c r="BG40" i="2" s="1"/>
  <c r="BF38" i="2"/>
  <c r="BD38" i="2"/>
  <c r="BG38" i="2" s="1"/>
  <c r="BF36" i="2"/>
  <c r="BF35" i="2"/>
  <c r="BD35" i="2"/>
  <c r="BG35" i="2" s="1"/>
  <c r="BF34" i="2"/>
  <c r="BD34" i="2"/>
  <c r="BG34" i="2" s="1"/>
  <c r="BF33" i="2"/>
  <c r="BD33" i="2"/>
  <c r="BG33" i="2" s="1"/>
  <c r="BF32" i="2"/>
  <c r="BD32" i="2"/>
  <c r="BG32" i="2" s="1"/>
  <c r="BF31" i="2"/>
  <c r="BD31" i="2"/>
  <c r="BG31" i="2" s="1"/>
  <c r="BF30" i="2"/>
  <c r="BD30" i="2"/>
  <c r="BG30" i="2" s="1"/>
  <c r="BF29" i="2"/>
  <c r="BD29" i="2"/>
  <c r="BG29" i="2" s="1"/>
  <c r="BF28" i="2"/>
  <c r="BD28" i="2"/>
  <c r="BF27" i="2"/>
  <c r="BD27" i="2"/>
  <c r="BG27" i="2" s="1"/>
  <c r="BF26" i="2"/>
  <c r="AP26" i="2"/>
  <c r="AS26" i="2" s="1"/>
  <c r="AP50" i="2"/>
  <c r="AP48" i="2"/>
  <c r="AP46" i="2"/>
  <c r="AP45" i="2"/>
  <c r="AP44" i="2"/>
  <c r="AP43" i="2"/>
  <c r="AP42" i="2"/>
  <c r="AS42" i="2" s="1"/>
  <c r="AV42" i="2" s="1"/>
  <c r="AP41" i="2"/>
  <c r="AP40" i="2"/>
  <c r="AP39" i="2"/>
  <c r="AP38" i="2"/>
  <c r="AP37" i="2"/>
  <c r="AP36" i="2"/>
  <c r="AP35" i="2"/>
  <c r="AP34" i="2"/>
  <c r="AP33" i="2"/>
  <c r="AP32" i="2"/>
  <c r="AP31" i="2"/>
  <c r="AS31" i="2" s="1"/>
  <c r="AV31" i="2" s="1"/>
  <c r="AW31" i="2" s="1"/>
  <c r="AX31" i="2" s="1"/>
  <c r="AP30" i="2"/>
  <c r="AS30" i="2" s="1"/>
  <c r="AP29" i="2"/>
  <c r="AP28" i="2"/>
  <c r="AS28" i="2" s="1"/>
  <c r="AP27" i="2"/>
  <c r="AU50" i="2"/>
  <c r="AS50" i="2"/>
  <c r="AV50" i="2" s="1"/>
  <c r="AU48" i="2"/>
  <c r="AS48" i="2"/>
  <c r="AV48" i="2" s="1"/>
  <c r="AW48" i="2" s="1"/>
  <c r="AX48" i="2" s="1"/>
  <c r="AU46" i="2"/>
  <c r="AS46" i="2"/>
  <c r="AU45" i="2"/>
  <c r="AS45" i="2"/>
  <c r="AU44" i="2"/>
  <c r="AS44" i="2"/>
  <c r="AV44" i="2" s="1"/>
  <c r="AU43" i="2"/>
  <c r="AS43" i="2"/>
  <c r="AV43" i="2" s="1"/>
  <c r="AU42" i="2"/>
  <c r="AU41" i="2"/>
  <c r="AS41" i="2"/>
  <c r="AV41" i="2" s="1"/>
  <c r="AW41" i="2" s="1"/>
  <c r="AX41" i="2" s="1"/>
  <c r="AU40" i="2"/>
  <c r="AS40" i="2"/>
  <c r="AV40" i="2" s="1"/>
  <c r="AW40" i="2" s="1"/>
  <c r="AX40" i="2" s="1"/>
  <c r="AU39" i="2"/>
  <c r="AS39" i="2"/>
  <c r="AV39" i="2" s="1"/>
  <c r="AU38" i="2"/>
  <c r="AS38" i="2"/>
  <c r="AV38" i="2" s="1"/>
  <c r="AU37" i="2"/>
  <c r="AS37" i="2"/>
  <c r="AU36" i="2"/>
  <c r="AS36" i="2"/>
  <c r="AU35" i="2"/>
  <c r="AS35" i="2"/>
  <c r="AU34" i="2"/>
  <c r="AS34" i="2"/>
  <c r="AV34" i="2" s="1"/>
  <c r="AU33" i="2"/>
  <c r="AS33" i="2"/>
  <c r="AV33" i="2" s="1"/>
  <c r="AU32" i="2"/>
  <c r="AS32" i="2"/>
  <c r="AV32" i="2" s="1"/>
  <c r="AW32" i="2" s="1"/>
  <c r="AX32" i="2" s="1"/>
  <c r="AU31" i="2"/>
  <c r="AU30" i="2"/>
  <c r="AU29" i="2"/>
  <c r="AS29" i="2"/>
  <c r="AV29" i="2" s="1"/>
  <c r="AU28" i="2"/>
  <c r="AU27" i="2"/>
  <c r="AS27" i="2"/>
  <c r="AV27" i="2" s="1"/>
  <c r="AU26" i="2"/>
  <c r="BG48" i="2" l="1"/>
  <c r="BH48" i="2" s="1"/>
  <c r="BI48" i="2" s="1"/>
  <c r="BG46" i="2"/>
  <c r="BH46" i="2" s="1"/>
  <c r="BI46" i="2" s="1"/>
  <c r="BG49" i="2"/>
  <c r="BH49" i="2" s="1"/>
  <c r="BI49" i="2" s="1"/>
  <c r="BH51" i="2"/>
  <c r="BI51" i="2" s="1"/>
  <c r="BH47" i="2"/>
  <c r="BI47" i="2" s="1"/>
  <c r="BH45" i="2"/>
  <c r="BI45" i="2" s="1"/>
  <c r="BH39" i="2"/>
  <c r="BI39" i="2" s="1"/>
  <c r="BH37" i="2"/>
  <c r="BI37" i="2" s="1"/>
  <c r="AW51" i="2"/>
  <c r="AX51" i="2" s="1"/>
  <c r="AW47" i="2"/>
  <c r="AX47" i="2" s="1"/>
  <c r="BH34" i="2"/>
  <c r="BI34" i="2" s="1"/>
  <c r="BH40" i="2"/>
  <c r="BI40" i="2" s="1"/>
  <c r="BH29" i="2"/>
  <c r="BI29" i="2" s="1"/>
  <c r="BH35" i="2"/>
  <c r="BI35" i="2" s="1"/>
  <c r="BH30" i="2"/>
  <c r="BI30" i="2" s="1"/>
  <c r="BH36" i="2"/>
  <c r="BI36" i="2" s="1"/>
  <c r="BH42" i="2"/>
  <c r="BI42" i="2" s="1"/>
  <c r="BH31" i="2"/>
  <c r="BI31" i="2" s="1"/>
  <c r="BH32" i="2"/>
  <c r="BI32" i="2" s="1"/>
  <c r="BH38" i="2"/>
  <c r="BI38" i="2" s="1"/>
  <c r="BH44" i="2"/>
  <c r="BI44" i="2" s="1"/>
  <c r="BH50" i="2"/>
  <c r="BI50" i="2" s="1"/>
  <c r="BH27" i="2"/>
  <c r="BI27" i="2" s="1"/>
  <c r="BH33" i="2"/>
  <c r="BI33" i="2" s="1"/>
  <c r="BG26" i="2"/>
  <c r="BH26" i="2" s="1"/>
  <c r="BI26" i="2" s="1"/>
  <c r="BG28" i="2"/>
  <c r="BH28" i="2" s="1"/>
  <c r="BI28" i="2" s="1"/>
  <c r="AV36" i="2"/>
  <c r="AW36" i="2" s="1"/>
  <c r="AX36" i="2" s="1"/>
  <c r="AV37" i="2"/>
  <c r="AW37" i="2" s="1"/>
  <c r="AX37" i="2" s="1"/>
  <c r="AW42" i="2"/>
  <c r="AX42" i="2" s="1"/>
  <c r="AV26" i="2"/>
  <c r="AW26" i="2" s="1"/>
  <c r="AX26" i="2" s="1"/>
  <c r="AW38" i="2"/>
  <c r="AX38" i="2" s="1"/>
  <c r="AW43" i="2"/>
  <c r="AX43" i="2" s="1"/>
  <c r="AW39" i="2"/>
  <c r="AX39" i="2" s="1"/>
  <c r="AW44" i="2"/>
  <c r="AX44" i="2" s="1"/>
  <c r="AW50" i="2"/>
  <c r="AX50" i="2" s="1"/>
  <c r="AV45" i="2"/>
  <c r="AW45" i="2" s="1"/>
  <c r="AX45" i="2" s="1"/>
  <c r="AV46" i="2"/>
  <c r="AW46" i="2" s="1"/>
  <c r="AX46" i="2" s="1"/>
  <c r="AW27" i="2"/>
  <c r="AX27" i="2" s="1"/>
  <c r="AW34" i="2"/>
  <c r="AX34" i="2" s="1"/>
  <c r="AW33" i="2"/>
  <c r="AX33" i="2" s="1"/>
  <c r="AW29" i="2"/>
  <c r="AX29" i="2" s="1"/>
  <c r="AV28" i="2"/>
  <c r="AW28" i="2" s="1"/>
  <c r="AX28" i="2" s="1"/>
  <c r="AV30" i="2"/>
  <c r="AW30" i="2" s="1"/>
  <c r="AX30" i="2" s="1"/>
  <c r="AV35" i="2"/>
  <c r="AW35" i="2" s="1"/>
  <c r="AX35" i="2" s="1"/>
  <c r="O88" i="2" l="1"/>
  <c r="N88" i="2"/>
  <c r="O87" i="2"/>
  <c r="N87" i="2"/>
  <c r="O85" i="2"/>
  <c r="N85" i="2"/>
  <c r="AF84" i="2"/>
  <c r="AJ84" i="2" s="1"/>
  <c r="AK84" i="2" s="1"/>
  <c r="Z84" i="2"/>
  <c r="AA84" i="2" s="1"/>
  <c r="Y84" i="2"/>
  <c r="AB84" i="2" s="1"/>
  <c r="AC84" i="2" s="1"/>
  <c r="X84" i="2"/>
  <c r="U84" i="2"/>
  <c r="O84" i="2"/>
  <c r="N84" i="2"/>
  <c r="M84" i="2"/>
  <c r="P84" i="2" s="1"/>
  <c r="H84" i="2"/>
  <c r="I85" i="2" s="1"/>
  <c r="Z83" i="2"/>
  <c r="O83" i="2"/>
  <c r="N83" i="2"/>
  <c r="I83" i="2"/>
  <c r="U83" i="2" s="1"/>
  <c r="X83" i="2" s="1"/>
  <c r="AA83" i="2" s="1"/>
  <c r="AJ82" i="2"/>
  <c r="AK82" i="2" s="1"/>
  <c r="AF82" i="2"/>
  <c r="Z82" i="2"/>
  <c r="Y82" i="2"/>
  <c r="X82" i="2"/>
  <c r="AA82" i="2" s="1"/>
  <c r="U82" i="2"/>
  <c r="O82" i="2"/>
  <c r="P82" i="2" s="1"/>
  <c r="N82" i="2"/>
  <c r="Q82" i="2" s="1"/>
  <c r="R82" i="2" s="1"/>
  <c r="M82" i="2"/>
  <c r="H82" i="2"/>
  <c r="Z81" i="2"/>
  <c r="O81" i="2"/>
  <c r="N81" i="2"/>
  <c r="Z80" i="2"/>
  <c r="AA80" i="2" s="1"/>
  <c r="Y80" i="2"/>
  <c r="O80" i="2"/>
  <c r="N80" i="2"/>
  <c r="H80" i="2"/>
  <c r="U80" i="2" s="1"/>
  <c r="X80" i="2" s="1"/>
  <c r="Z79" i="2"/>
  <c r="O79" i="2"/>
  <c r="N79" i="2"/>
  <c r="I79" i="2"/>
  <c r="U79" i="2" s="1"/>
  <c r="X79" i="2" s="1"/>
  <c r="AA79" i="2" s="1"/>
  <c r="AB79" i="2" s="1"/>
  <c r="AC79" i="2" s="1"/>
  <c r="Z78" i="2"/>
  <c r="Y78" i="2"/>
  <c r="U78" i="2"/>
  <c r="X78" i="2" s="1"/>
  <c r="O78" i="2"/>
  <c r="N78" i="2"/>
  <c r="M78" i="2"/>
  <c r="H78" i="2"/>
  <c r="AF78" i="2" s="1"/>
  <c r="AJ78" i="2" s="1"/>
  <c r="AK78" i="2" s="1"/>
  <c r="Z77" i="2"/>
  <c r="O77" i="2"/>
  <c r="N77" i="2"/>
  <c r="Z76" i="2"/>
  <c r="Y76" i="2"/>
  <c r="O76" i="2"/>
  <c r="N76" i="2"/>
  <c r="H76" i="2"/>
  <c r="I77" i="2" s="1"/>
  <c r="Z75" i="2"/>
  <c r="O75" i="2"/>
  <c r="N75" i="2"/>
  <c r="I75" i="2"/>
  <c r="AF75" i="2" s="1"/>
  <c r="Z74" i="2"/>
  <c r="Y74" i="2"/>
  <c r="U74" i="2"/>
  <c r="X74" i="2" s="1"/>
  <c r="O74" i="2"/>
  <c r="N74" i="2"/>
  <c r="H74" i="2"/>
  <c r="AF74" i="2" s="1"/>
  <c r="AJ74" i="2" s="1"/>
  <c r="AK74" i="2" s="1"/>
  <c r="Z73" i="2"/>
  <c r="O73" i="2"/>
  <c r="N73" i="2"/>
  <c r="Z72" i="2"/>
  <c r="Y72" i="2"/>
  <c r="O72" i="2"/>
  <c r="N72" i="2"/>
  <c r="H72" i="2"/>
  <c r="M72" i="2" s="1"/>
  <c r="Z71" i="2"/>
  <c r="O71" i="2"/>
  <c r="N71" i="2"/>
  <c r="Z70" i="2"/>
  <c r="Y70" i="2"/>
  <c r="U70" i="2"/>
  <c r="X70" i="2" s="1"/>
  <c r="O70" i="2"/>
  <c r="N70" i="2"/>
  <c r="H70" i="2"/>
  <c r="M70" i="2" s="1"/>
  <c r="BI58" i="12"/>
  <c r="BK54" i="12"/>
  <c r="BK53" i="12"/>
  <c r="BK58" i="12" s="1"/>
  <c r="BK59" i="12" s="1"/>
  <c r="BK52" i="12"/>
  <c r="BK43" i="12"/>
  <c r="BK42" i="12"/>
  <c r="BK41" i="12"/>
  <c r="BK40" i="12"/>
  <c r="BK46" i="12" s="1"/>
  <c r="BK47" i="12" s="1"/>
  <c r="BK32" i="12"/>
  <c r="BK31" i="12"/>
  <c r="BK30" i="12"/>
  <c r="BK35" i="12" s="1"/>
  <c r="BK36" i="12" s="1"/>
  <c r="BK29" i="12"/>
  <c r="BK18" i="12"/>
  <c r="BK17" i="12"/>
  <c r="BK16" i="12"/>
  <c r="BK15" i="12"/>
  <c r="BK14" i="12"/>
  <c r="BK13" i="12"/>
  <c r="BK20" i="12" s="1"/>
  <c r="BK21" i="12" s="1"/>
  <c r="X50" i="2"/>
  <c r="AJ40" i="2"/>
  <c r="AK40" i="2" s="1"/>
  <c r="AJ38" i="2"/>
  <c r="AK38" i="2" s="1"/>
  <c r="AJ36" i="2"/>
  <c r="AK36" i="2" s="1"/>
  <c r="AJ34" i="2"/>
  <c r="AK34" i="2" s="1"/>
  <c r="AJ32" i="2"/>
  <c r="AK32" i="2" s="1"/>
  <c r="AJ30" i="2"/>
  <c r="AK30" i="2" s="1"/>
  <c r="AF41" i="2"/>
  <c r="AF40" i="2"/>
  <c r="AF39" i="2"/>
  <c r="AF38" i="2"/>
  <c r="AF37" i="2"/>
  <c r="AF36" i="2"/>
  <c r="AF35" i="2"/>
  <c r="AF34" i="2"/>
  <c r="AF33" i="2"/>
  <c r="AF32" i="2"/>
  <c r="AF31" i="2"/>
  <c r="AF30" i="2"/>
  <c r="AF28" i="2"/>
  <c r="H40" i="2"/>
  <c r="I41" i="2" s="1"/>
  <c r="H38" i="2"/>
  <c r="I39" i="2" s="1"/>
  <c r="U39" i="2" s="1"/>
  <c r="X39" i="2" s="1"/>
  <c r="AA39" i="2" s="1"/>
  <c r="H36" i="2"/>
  <c r="I37" i="2" s="1"/>
  <c r="U37" i="2" s="1"/>
  <c r="X37" i="2" s="1"/>
  <c r="AA37" i="2" s="1"/>
  <c r="H34" i="2"/>
  <c r="I35" i="2" s="1"/>
  <c r="H32" i="2"/>
  <c r="I33" i="2" s="1"/>
  <c r="H30" i="2"/>
  <c r="I31" i="2" s="1"/>
  <c r="O35" i="2"/>
  <c r="N35" i="2"/>
  <c r="O34" i="2"/>
  <c r="N34" i="2"/>
  <c r="M34" i="2"/>
  <c r="O33" i="2"/>
  <c r="N33" i="2"/>
  <c r="O32" i="2"/>
  <c r="N32" i="2"/>
  <c r="M32" i="2"/>
  <c r="O31" i="2"/>
  <c r="N31" i="2"/>
  <c r="O30" i="2"/>
  <c r="N30" i="2"/>
  <c r="M30" i="2"/>
  <c r="Z35" i="2"/>
  <c r="Z34" i="2"/>
  <c r="Y34" i="2"/>
  <c r="U34" i="2"/>
  <c r="X34" i="2" s="1"/>
  <c r="AA34" i="2" s="1"/>
  <c r="Z33" i="2"/>
  <c r="Z32" i="2"/>
  <c r="Y32" i="2"/>
  <c r="U32" i="2"/>
  <c r="X32" i="2" s="1"/>
  <c r="Z31" i="2"/>
  <c r="Z30" i="2"/>
  <c r="Y30" i="2"/>
  <c r="U30" i="2"/>
  <c r="X30" i="2" s="1"/>
  <c r="AA30" i="2" s="1"/>
  <c r="O29" i="2"/>
  <c r="N29" i="2"/>
  <c r="X59" i="2"/>
  <c r="Z59" i="2"/>
  <c r="Z58" i="2"/>
  <c r="X58" i="2"/>
  <c r="AA58" i="2" s="1"/>
  <c r="X56" i="2"/>
  <c r="H26" i="2"/>
  <c r="I27" i="2" s="1"/>
  <c r="X54" i="2"/>
  <c r="X52" i="2"/>
  <c r="Z52" i="2"/>
  <c r="N26" i="2"/>
  <c r="O26" i="2"/>
  <c r="N27" i="2"/>
  <c r="O27" i="2"/>
  <c r="H28" i="2"/>
  <c r="I29" i="2" s="1"/>
  <c r="M29" i="2" s="1"/>
  <c r="N28" i="2"/>
  <c r="O28" i="2"/>
  <c r="AC51" i="2"/>
  <c r="Z39" i="2"/>
  <c r="Z37" i="2"/>
  <c r="Z29" i="2"/>
  <c r="Z27" i="2"/>
  <c r="AM57" i="2"/>
  <c r="AM56" i="2"/>
  <c r="AM55" i="2"/>
  <c r="AM54" i="2"/>
  <c r="AM53" i="2"/>
  <c r="AM52" i="2"/>
  <c r="AM51" i="2"/>
  <c r="L11" i="17" a="1"/>
  <c r="L11" i="17" s="1"/>
  <c r="L10" i="17" a="1"/>
  <c r="L10" i="17" s="1"/>
  <c r="L9" i="17" a="1"/>
  <c r="L9" i="17" s="1"/>
  <c r="L8" i="17" a="1"/>
  <c r="L8" i="17" s="1"/>
  <c r="L7" i="17" a="1"/>
  <c r="L7" i="17" s="1"/>
  <c r="L6" i="17" a="1"/>
  <c r="L6" i="17" s="1"/>
  <c r="L5" i="17" a="1"/>
  <c r="L5" i="17" s="1"/>
  <c r="L4" i="17" a="1"/>
  <c r="L4" i="17" s="1"/>
  <c r="I11" i="17" a="1"/>
  <c r="I11" i="17" s="1"/>
  <c r="I10" i="17" a="1"/>
  <c r="I10" i="17" s="1"/>
  <c r="I9" i="17" a="1"/>
  <c r="I9" i="17" s="1"/>
  <c r="I8" i="17" a="1"/>
  <c r="I8" i="17" s="1"/>
  <c r="I7" i="17" a="1"/>
  <c r="I7" i="17" s="1"/>
  <c r="I6" i="17" a="1"/>
  <c r="I6" i="17" s="1"/>
  <c r="I5" i="17" a="1"/>
  <c r="I5" i="17" s="1"/>
  <c r="I4" i="17" a="1"/>
  <c r="I4" i="17" s="1"/>
  <c r="F11" i="17" a="1"/>
  <c r="F11" i="17" s="1"/>
  <c r="F10" i="17" a="1"/>
  <c r="F10" i="17" s="1"/>
  <c r="F9" i="17" a="1"/>
  <c r="F9" i="17" s="1"/>
  <c r="F8" i="17" a="1"/>
  <c r="F8" i="17" s="1"/>
  <c r="F7" i="17" a="1"/>
  <c r="F7" i="17" s="1"/>
  <c r="F6" i="17" a="1"/>
  <c r="F6" i="17" s="1"/>
  <c r="F5" i="17" a="1"/>
  <c r="F5" i="17" s="1"/>
  <c r="F4" i="17" a="1"/>
  <c r="F4" i="17" s="1"/>
  <c r="C11" i="17" a="1"/>
  <c r="C11" i="17" s="1"/>
  <c r="C10" i="17" a="1"/>
  <c r="C10" i="17" s="1"/>
  <c r="C9" i="17" a="1"/>
  <c r="C9" i="17" s="1"/>
  <c r="C8" i="17"/>
  <c r="C8" i="17" a="1"/>
  <c r="C7" i="17" a="1"/>
  <c r="C7" i="17" s="1"/>
  <c r="C6" i="17" a="1"/>
  <c r="C6" i="17" s="1"/>
  <c r="C5" i="17" a="1"/>
  <c r="C5" i="17" s="1"/>
  <c r="C4" i="17" a="1"/>
  <c r="C4" i="17" s="1"/>
  <c r="AJ57" i="2"/>
  <c r="AH57" i="2"/>
  <c r="AK57" i="2" s="1"/>
  <c r="AL57" i="2" s="1"/>
  <c r="Z57" i="2"/>
  <c r="X57" i="2"/>
  <c r="AA57" i="2" s="1"/>
  <c r="AJ56" i="2"/>
  <c r="AL56" i="2" s="1"/>
  <c r="AH56" i="2"/>
  <c r="AK56" i="2" s="1"/>
  <c r="Z56" i="2"/>
  <c r="AJ55" i="2"/>
  <c r="AH55" i="2"/>
  <c r="Z55" i="2"/>
  <c r="X55" i="2"/>
  <c r="AA55" i="2" s="1"/>
  <c r="AB55" i="2" s="1"/>
  <c r="AC55" i="2" s="1"/>
  <c r="AK54" i="2"/>
  <c r="AL54" i="2" s="1"/>
  <c r="AJ54" i="2"/>
  <c r="AH54" i="2"/>
  <c r="Z54" i="2"/>
  <c r="AJ53" i="2"/>
  <c r="AH53" i="2"/>
  <c r="AK53" i="2" s="1"/>
  <c r="Z53" i="2"/>
  <c r="X53" i="2"/>
  <c r="AA53" i="2" s="1"/>
  <c r="AB53" i="2" s="1"/>
  <c r="AC53" i="2" s="1"/>
  <c r="AJ52" i="2"/>
  <c r="AH52" i="2"/>
  <c r="AK51" i="2"/>
  <c r="AL51" i="2" s="1"/>
  <c r="AJ51" i="2"/>
  <c r="AH51" i="2"/>
  <c r="Z51" i="2"/>
  <c r="X51" i="2"/>
  <c r="AJ50" i="2"/>
  <c r="AH50" i="2"/>
  <c r="AK50" i="2" s="1"/>
  <c r="Z50" i="2"/>
  <c r="G23" i="22"/>
  <c r="G22" i="22"/>
  <c r="G21" i="22"/>
  <c r="G20" i="22"/>
  <c r="G19" i="22"/>
  <c r="G18" i="22"/>
  <c r="G17" i="22"/>
  <c r="AL16" i="22"/>
  <c r="AM18" i="22"/>
  <c r="AL23" i="22"/>
  <c r="AM23" i="22" s="1"/>
  <c r="AL22" i="22"/>
  <c r="AM22" i="22" s="1"/>
  <c r="AL21" i="22"/>
  <c r="AM21" i="22" s="1"/>
  <c r="AL20" i="22"/>
  <c r="AM20" i="22" s="1"/>
  <c r="AL19" i="22"/>
  <c r="AM19" i="22" s="1"/>
  <c r="AL18" i="22"/>
  <c r="AL17" i="22"/>
  <c r="AM17" i="22" s="1"/>
  <c r="AB23" i="22"/>
  <c r="AB22" i="22"/>
  <c r="AB21" i="22"/>
  <c r="AB20" i="22"/>
  <c r="AB19" i="22"/>
  <c r="AB18" i="22"/>
  <c r="AB17" i="22"/>
  <c r="Z23" i="22"/>
  <c r="Z22" i="22"/>
  <c r="Z21" i="22"/>
  <c r="Z20" i="22"/>
  <c r="Z19" i="22"/>
  <c r="Z18" i="22"/>
  <c r="Z17" i="22"/>
  <c r="Z16" i="22"/>
  <c r="E23" i="22"/>
  <c r="E22" i="22"/>
  <c r="E21" i="22"/>
  <c r="E20" i="22"/>
  <c r="E19" i="22"/>
  <c r="E18" i="22"/>
  <c r="E17" i="22"/>
  <c r="R23" i="22"/>
  <c r="R22" i="22"/>
  <c r="R21" i="22"/>
  <c r="R20" i="22"/>
  <c r="R19" i="22"/>
  <c r="R18" i="22"/>
  <c r="R17" i="22"/>
  <c r="P23" i="22"/>
  <c r="P22" i="22"/>
  <c r="P21" i="22"/>
  <c r="P20" i="22"/>
  <c r="P19" i="22"/>
  <c r="P18" i="22"/>
  <c r="P17" i="22"/>
  <c r="J13" i="23"/>
  <c r="I113" i="23"/>
  <c r="F112" i="23"/>
  <c r="O111" i="23"/>
  <c r="M111" i="23"/>
  <c r="B111" i="23"/>
  <c r="J108" i="23"/>
  <c r="L108" i="23" s="1"/>
  <c r="N108" i="23" s="1"/>
  <c r="I108" i="23"/>
  <c r="B108" i="23"/>
  <c r="A108" i="23"/>
  <c r="D107" i="23"/>
  <c r="B107" i="23"/>
  <c r="F108" i="23" s="1"/>
  <c r="D106" i="23"/>
  <c r="B105" i="23"/>
  <c r="D105" i="23" s="1"/>
  <c r="D102" i="23"/>
  <c r="E108" i="23" s="1"/>
  <c r="C108" i="23" s="1"/>
  <c r="J100" i="23"/>
  <c r="L100" i="23" s="1"/>
  <c r="N100" i="23" s="1"/>
  <c r="I100" i="23"/>
  <c r="B100" i="23"/>
  <c r="A100" i="23"/>
  <c r="B99" i="23"/>
  <c r="D99" i="23" s="1"/>
  <c r="D98" i="23"/>
  <c r="D97" i="23"/>
  <c r="B97" i="23"/>
  <c r="D94" i="23"/>
  <c r="E100" i="23" s="1"/>
  <c r="C100" i="23" s="1"/>
  <c r="J92" i="23"/>
  <c r="L92" i="23" s="1"/>
  <c r="N92" i="23" s="1"/>
  <c r="I92" i="23"/>
  <c r="B92" i="23"/>
  <c r="A92" i="23"/>
  <c r="D91" i="23"/>
  <c r="B91" i="23"/>
  <c r="F92" i="23" s="1"/>
  <c r="D90" i="23"/>
  <c r="B89" i="23"/>
  <c r="D89" i="23" s="1"/>
  <c r="E92" i="23" s="1"/>
  <c r="C92" i="23" s="1"/>
  <c r="D86" i="23"/>
  <c r="J84" i="23"/>
  <c r="L84" i="23" s="1"/>
  <c r="N84" i="23" s="1"/>
  <c r="I84" i="23"/>
  <c r="B84" i="23"/>
  <c r="A84" i="23"/>
  <c r="B83" i="23"/>
  <c r="D83" i="23" s="1"/>
  <c r="D82" i="23"/>
  <c r="D81" i="23"/>
  <c r="B81" i="23"/>
  <c r="D78" i="23"/>
  <c r="E84" i="23" s="1"/>
  <c r="C84" i="23" s="1"/>
  <c r="J76" i="23"/>
  <c r="L76" i="23" s="1"/>
  <c r="N76" i="23" s="1"/>
  <c r="I76" i="23"/>
  <c r="B76" i="23"/>
  <c r="A76" i="23"/>
  <c r="D75" i="23"/>
  <c r="B75" i="23"/>
  <c r="F76" i="23" s="1"/>
  <c r="D74" i="23"/>
  <c r="B73" i="23"/>
  <c r="D73" i="23" s="1"/>
  <c r="E76" i="23" s="1"/>
  <c r="C76" i="23" s="1"/>
  <c r="D70" i="23"/>
  <c r="J68" i="23"/>
  <c r="I68" i="23"/>
  <c r="B68" i="23"/>
  <c r="A68" i="23"/>
  <c r="B67" i="23"/>
  <c r="D67" i="23" s="1"/>
  <c r="D66" i="23"/>
  <c r="D65" i="23"/>
  <c r="B65" i="23"/>
  <c r="D62" i="23"/>
  <c r="E68" i="23" s="1"/>
  <c r="AA70" i="2" l="1"/>
  <c r="AB70" i="2" s="1"/>
  <c r="AC70" i="2" s="1"/>
  <c r="AF70" i="2"/>
  <c r="I71" i="2"/>
  <c r="AF71" i="2" s="1"/>
  <c r="M85" i="2"/>
  <c r="AF85" i="2"/>
  <c r="Q72" i="2"/>
  <c r="R72" i="2" s="1"/>
  <c r="AA74" i="2"/>
  <c r="AB74" i="2" s="1"/>
  <c r="AC74" i="2" s="1"/>
  <c r="Q84" i="2"/>
  <c r="R84" i="2" s="1"/>
  <c r="P72" i="2"/>
  <c r="P70" i="2"/>
  <c r="Q70" i="2" s="1"/>
  <c r="R70" i="2" s="1"/>
  <c r="AB82" i="2"/>
  <c r="AC82" i="2" s="1"/>
  <c r="AA72" i="2"/>
  <c r="AB72" i="2" s="1"/>
  <c r="AC72" i="2" s="1"/>
  <c r="P75" i="2"/>
  <c r="Q75" i="2" s="1"/>
  <c r="R75" i="2" s="1"/>
  <c r="AB80" i="2"/>
  <c r="AC80" i="2" s="1"/>
  <c r="AF77" i="2"/>
  <c r="M77" i="2"/>
  <c r="P77" i="2" s="1"/>
  <c r="Q77" i="2" s="1"/>
  <c r="R77" i="2" s="1"/>
  <c r="U77" i="2"/>
  <c r="X77" i="2" s="1"/>
  <c r="AA77" i="2" s="1"/>
  <c r="P76" i="2"/>
  <c r="Q76" i="2" s="1"/>
  <c r="R76" i="2" s="1"/>
  <c r="P79" i="2"/>
  <c r="Q79" i="2" s="1"/>
  <c r="R79" i="2" s="1"/>
  <c r="Q78" i="2"/>
  <c r="R78" i="2" s="1"/>
  <c r="P85" i="2"/>
  <c r="Q85" i="2" s="1"/>
  <c r="R85" i="2" s="1"/>
  <c r="P74" i="2"/>
  <c r="Q74" i="2" s="1"/>
  <c r="R74" i="2" s="1"/>
  <c r="AB83" i="2"/>
  <c r="AC83" i="2" s="1"/>
  <c r="AB77" i="2"/>
  <c r="AC77" i="2" s="1"/>
  <c r="M76" i="2"/>
  <c r="M79" i="2"/>
  <c r="AF79" i="2"/>
  <c r="AF76" i="2"/>
  <c r="AJ76" i="2" s="1"/>
  <c r="AK76" i="2" s="1"/>
  <c r="U71" i="2"/>
  <c r="X71" i="2" s="1"/>
  <c r="AA71" i="2" s="1"/>
  <c r="AB71" i="2" s="1"/>
  <c r="AC71" i="2" s="1"/>
  <c r="I73" i="2"/>
  <c r="M80" i="2"/>
  <c r="P80" i="2" s="1"/>
  <c r="Q80" i="2" s="1"/>
  <c r="R80" i="2" s="1"/>
  <c r="M83" i="2"/>
  <c r="P83" i="2" s="1"/>
  <c r="Q83" i="2" s="1"/>
  <c r="R83" i="2" s="1"/>
  <c r="AF83" i="2"/>
  <c r="I88" i="2"/>
  <c r="M88" i="2" s="1"/>
  <c r="P88" i="2" s="1"/>
  <c r="Q88" i="2" s="1"/>
  <c r="R88" i="2" s="1"/>
  <c r="AF72" i="2"/>
  <c r="AJ72" i="2" s="1"/>
  <c r="AK72" i="2" s="1"/>
  <c r="AF80" i="2"/>
  <c r="AJ80" i="2" s="1"/>
  <c r="AK80" i="2" s="1"/>
  <c r="U72" i="2"/>
  <c r="X72" i="2" s="1"/>
  <c r="H87" i="2"/>
  <c r="M87" i="2" s="1"/>
  <c r="P87" i="2" s="1"/>
  <c r="Q87" i="2" s="1"/>
  <c r="R87" i="2" s="1"/>
  <c r="AJ70" i="2"/>
  <c r="AK70" i="2" s="1"/>
  <c r="M74" i="2"/>
  <c r="AA78" i="2"/>
  <c r="AB78" i="2" s="1"/>
  <c r="AC78" i="2" s="1"/>
  <c r="U76" i="2"/>
  <c r="X76" i="2" s="1"/>
  <c r="AA76" i="2" s="1"/>
  <c r="AB76" i="2" s="1"/>
  <c r="AC76" i="2" s="1"/>
  <c r="I81" i="2"/>
  <c r="U75" i="2"/>
  <c r="X75" i="2" s="1"/>
  <c r="AA75" i="2" s="1"/>
  <c r="AB75" i="2" s="1"/>
  <c r="AC75" i="2" s="1"/>
  <c r="M71" i="2"/>
  <c r="P71" i="2" s="1"/>
  <c r="Q71" i="2" s="1"/>
  <c r="R71" i="2" s="1"/>
  <c r="M75" i="2"/>
  <c r="P78" i="2"/>
  <c r="AB57" i="2"/>
  <c r="AC57" i="2" s="1"/>
  <c r="M35" i="2"/>
  <c r="U35" i="2"/>
  <c r="X35" i="2" s="1"/>
  <c r="AA35" i="2" s="1"/>
  <c r="AB35" i="2" s="1"/>
  <c r="AC35" i="2" s="1"/>
  <c r="P35" i="2"/>
  <c r="Q35" i="2" s="1"/>
  <c r="R35" i="2" s="1"/>
  <c r="U33" i="2"/>
  <c r="X33" i="2" s="1"/>
  <c r="AA33" i="2" s="1"/>
  <c r="M33" i="2"/>
  <c r="P33" i="2"/>
  <c r="Q33" i="2" s="1"/>
  <c r="R33" i="2" s="1"/>
  <c r="AA32" i="2"/>
  <c r="AB32" i="2" s="1"/>
  <c r="AC32" i="2" s="1"/>
  <c r="P32" i="2"/>
  <c r="Q32" i="2" s="1"/>
  <c r="R32" i="2" s="1"/>
  <c r="U31" i="2"/>
  <c r="X31" i="2" s="1"/>
  <c r="AA31" i="2" s="1"/>
  <c r="AB31" i="2" s="1"/>
  <c r="AC31" i="2" s="1"/>
  <c r="M31" i="2"/>
  <c r="P30" i="2"/>
  <c r="Q30" i="2" s="1"/>
  <c r="R30" i="2" s="1"/>
  <c r="P31" i="2"/>
  <c r="P34" i="2"/>
  <c r="Q34" i="2" s="1"/>
  <c r="R34" i="2" s="1"/>
  <c r="Q31" i="2"/>
  <c r="R31" i="2" s="1"/>
  <c r="AB34" i="2"/>
  <c r="AC34" i="2" s="1"/>
  <c r="AB33" i="2"/>
  <c r="AC33" i="2" s="1"/>
  <c r="AB30" i="2"/>
  <c r="AC30" i="2" s="1"/>
  <c r="P29" i="2"/>
  <c r="Q29" i="2" s="1"/>
  <c r="R29" i="2" s="1"/>
  <c r="U29" i="2"/>
  <c r="X29" i="2" s="1"/>
  <c r="AA29" i="2" s="1"/>
  <c r="AB29" i="2" s="1"/>
  <c r="AC29" i="2" s="1"/>
  <c r="AA56" i="2"/>
  <c r="AB56" i="2" s="1"/>
  <c r="AC56" i="2" s="1"/>
  <c r="AA59" i="2"/>
  <c r="AB59" i="2" s="1"/>
  <c r="AC59" i="2" s="1"/>
  <c r="AB58" i="2"/>
  <c r="AC58" i="2" s="1"/>
  <c r="M26" i="2"/>
  <c r="P26" i="2" s="1"/>
  <c r="Q26" i="2" s="1"/>
  <c r="R26" i="2" s="1"/>
  <c r="AA52" i="2"/>
  <c r="AB52" i="2" s="1"/>
  <c r="AC52" i="2" s="1"/>
  <c r="M28" i="2"/>
  <c r="P28" i="2" s="1"/>
  <c r="Q28" i="2" s="1"/>
  <c r="R28" i="2" s="1"/>
  <c r="M27" i="2"/>
  <c r="P27" i="2" s="1"/>
  <c r="Q27" i="2" s="1"/>
  <c r="R27" i="2" s="1"/>
  <c r="U26" i="2"/>
  <c r="AB39" i="2"/>
  <c r="AC39" i="2" s="1"/>
  <c r="AB37" i="2"/>
  <c r="AC37" i="2" s="1"/>
  <c r="AL50" i="2"/>
  <c r="AM50" i="2" s="1"/>
  <c r="AA50" i="2"/>
  <c r="AB50" i="2" s="1"/>
  <c r="AC50" i="2" s="1"/>
  <c r="AL53" i="2"/>
  <c r="AA51" i="2"/>
  <c r="AB51" i="2" s="1"/>
  <c r="AK52" i="2"/>
  <c r="AL52" i="2" s="1"/>
  <c r="AK55" i="2"/>
  <c r="AL55" i="2" s="1"/>
  <c r="AA54" i="2"/>
  <c r="AB54" i="2" s="1"/>
  <c r="AC54" i="2" s="1"/>
  <c r="I111" i="23"/>
  <c r="J113" i="23" s="1"/>
  <c r="J111" i="23"/>
  <c r="AC18" i="22"/>
  <c r="AD18" i="22" s="1"/>
  <c r="AE18" i="22" s="1"/>
  <c r="S19" i="22"/>
  <c r="T19" i="22" s="1"/>
  <c r="U19" i="22" s="1"/>
  <c r="C111" i="23"/>
  <c r="C68" i="23"/>
  <c r="L68" i="23"/>
  <c r="N68" i="23" s="1"/>
  <c r="N111" i="23" s="1"/>
  <c r="F84" i="23"/>
  <c r="F100" i="23"/>
  <c r="F68" i="23"/>
  <c r="AM16" i="22"/>
  <c r="AL43" i="22"/>
  <c r="AM43" i="22" s="1"/>
  <c r="AL42" i="22"/>
  <c r="AM42" i="22" s="1"/>
  <c r="AL41" i="22"/>
  <c r="AM41" i="22" s="1"/>
  <c r="AL40" i="22"/>
  <c r="AM40" i="22" s="1"/>
  <c r="AL39" i="22"/>
  <c r="AM39" i="22" s="1"/>
  <c r="AL38" i="22"/>
  <c r="AM38" i="22" s="1"/>
  <c r="AL37" i="22"/>
  <c r="AM37" i="22" s="1"/>
  <c r="AL36" i="22"/>
  <c r="AB16" i="22"/>
  <c r="AC16" i="22" s="1"/>
  <c r="AB42" i="22"/>
  <c r="AB41" i="22"/>
  <c r="AB40" i="22"/>
  <c r="AB39" i="22"/>
  <c r="AB38" i="22"/>
  <c r="AB37" i="22"/>
  <c r="AB36" i="22"/>
  <c r="Z42" i="22"/>
  <c r="Z41" i="22"/>
  <c r="Z40" i="22"/>
  <c r="Z39" i="22"/>
  <c r="Z38" i="22"/>
  <c r="Z37" i="22"/>
  <c r="Z36" i="22"/>
  <c r="G16" i="22"/>
  <c r="E16" i="22"/>
  <c r="G43" i="22"/>
  <c r="E43" i="22"/>
  <c r="G42" i="22"/>
  <c r="H42" i="22" s="1"/>
  <c r="I42" i="22" s="1"/>
  <c r="J42" i="22" s="1"/>
  <c r="E42" i="22"/>
  <c r="G41" i="22"/>
  <c r="E41" i="22"/>
  <c r="G40" i="22"/>
  <c r="E40" i="22"/>
  <c r="G39" i="22"/>
  <c r="E39" i="22"/>
  <c r="G38" i="22"/>
  <c r="E38" i="22"/>
  <c r="H38" i="22" s="1"/>
  <c r="G37" i="22"/>
  <c r="E37" i="22"/>
  <c r="G36" i="22"/>
  <c r="E36" i="22"/>
  <c r="P16" i="22"/>
  <c r="R16" i="22"/>
  <c r="P43" i="22"/>
  <c r="P42" i="22"/>
  <c r="P41" i="22"/>
  <c r="P40" i="22"/>
  <c r="P39" i="22"/>
  <c r="P38" i="22"/>
  <c r="P37" i="22"/>
  <c r="R43" i="22"/>
  <c r="R42" i="22"/>
  <c r="R41" i="22"/>
  <c r="R40" i="22"/>
  <c r="S40" i="22" s="1"/>
  <c r="T40" i="22" s="1"/>
  <c r="R39" i="22"/>
  <c r="R38" i="22"/>
  <c r="R37" i="22"/>
  <c r="R36" i="22"/>
  <c r="P36" i="22"/>
  <c r="O56" i="23"/>
  <c r="M56" i="23"/>
  <c r="I29" i="23"/>
  <c r="J53" i="23"/>
  <c r="L53" i="23" s="1"/>
  <c r="N53" i="23" s="1"/>
  <c r="J45" i="23"/>
  <c r="L45" i="23" s="1"/>
  <c r="N45" i="23" s="1"/>
  <c r="J37" i="23"/>
  <c r="L37" i="23" s="1"/>
  <c r="N37" i="23" s="1"/>
  <c r="I37" i="23"/>
  <c r="J29" i="23"/>
  <c r="L29" i="23" s="1"/>
  <c r="N29" i="23" s="1"/>
  <c r="J21" i="23"/>
  <c r="L21" i="23" s="1"/>
  <c r="D7" i="23"/>
  <c r="B10" i="23"/>
  <c r="D10" i="23" s="1"/>
  <c r="D11" i="23"/>
  <c r="B12" i="23"/>
  <c r="F13" i="23" s="1"/>
  <c r="F56" i="23" s="1"/>
  <c r="A13" i="23"/>
  <c r="B13" i="23"/>
  <c r="I13" i="23"/>
  <c r="L13" i="23"/>
  <c r="D15" i="23"/>
  <c r="B18" i="23"/>
  <c r="D18" i="23" s="1"/>
  <c r="D19" i="23"/>
  <c r="B20" i="23"/>
  <c r="F21" i="23" s="1"/>
  <c r="A21" i="23"/>
  <c r="B21" i="23"/>
  <c r="D23" i="23"/>
  <c r="B26" i="23"/>
  <c r="D26" i="23" s="1"/>
  <c r="D27" i="23"/>
  <c r="B28" i="23"/>
  <c r="F29" i="23" s="1"/>
  <c r="A29" i="23"/>
  <c r="B29" i="23"/>
  <c r="D31" i="23"/>
  <c r="B34" i="23"/>
  <c r="D34" i="23" s="1"/>
  <c r="D35" i="23"/>
  <c r="B36" i="23"/>
  <c r="F37" i="23" s="1"/>
  <c r="A37" i="23"/>
  <c r="B37" i="23"/>
  <c r="D39" i="23"/>
  <c r="B42" i="23"/>
  <c r="D42" i="23" s="1"/>
  <c r="D43" i="23"/>
  <c r="B44" i="23"/>
  <c r="D44" i="23" s="1"/>
  <c r="A45" i="23"/>
  <c r="B45" i="23"/>
  <c r="D47" i="23"/>
  <c r="B50" i="23"/>
  <c r="D50" i="23" s="1"/>
  <c r="D51" i="23"/>
  <c r="B52" i="23"/>
  <c r="D52" i="23" s="1"/>
  <c r="A53" i="23"/>
  <c r="B53" i="23"/>
  <c r="B56" i="23"/>
  <c r="F57" i="23"/>
  <c r="I58" i="23"/>
  <c r="AF87" i="2" l="1"/>
  <c r="AJ87" i="2" s="1"/>
  <c r="AK87" i="2" s="1"/>
  <c r="U73" i="2"/>
  <c r="X73" i="2" s="1"/>
  <c r="AA73" i="2" s="1"/>
  <c r="AB73" i="2" s="1"/>
  <c r="AC73" i="2" s="1"/>
  <c r="AF73" i="2"/>
  <c r="AF88" i="2" s="1"/>
  <c r="AJ88" i="2" s="1"/>
  <c r="AK88" i="2" s="1"/>
  <c r="M73" i="2"/>
  <c r="P73" i="2" s="1"/>
  <c r="Q73" i="2" s="1"/>
  <c r="R73" i="2" s="1"/>
  <c r="AF81" i="2"/>
  <c r="M81" i="2"/>
  <c r="P81" i="2" s="1"/>
  <c r="Q81" i="2" s="1"/>
  <c r="R81" i="2" s="1"/>
  <c r="U81" i="2"/>
  <c r="X81" i="2" s="1"/>
  <c r="AA81" i="2" s="1"/>
  <c r="AB81" i="2" s="1"/>
  <c r="AC81" i="2" s="1"/>
  <c r="U27" i="2"/>
  <c r="X27" i="2" s="1"/>
  <c r="AA27" i="2" s="1"/>
  <c r="AB27" i="2" s="1"/>
  <c r="AC27" i="2" s="1"/>
  <c r="H37" i="22"/>
  <c r="H36" i="22"/>
  <c r="S42" i="22"/>
  <c r="T42" i="22" s="1"/>
  <c r="AD16" i="22"/>
  <c r="AE16" i="22" s="1"/>
  <c r="H16" i="22"/>
  <c r="I16" i="22" s="1"/>
  <c r="J16" i="22" s="1"/>
  <c r="H40" i="22"/>
  <c r="I40" i="22" s="1"/>
  <c r="J40" i="22" s="1"/>
  <c r="I37" i="22"/>
  <c r="J37" i="22" s="1"/>
  <c r="I36" i="22"/>
  <c r="J36" i="22" s="1"/>
  <c r="I38" i="22"/>
  <c r="J38" i="22" s="1"/>
  <c r="H39" i="22"/>
  <c r="I39" i="22" s="1"/>
  <c r="J39" i="22" s="1"/>
  <c r="H41" i="22"/>
  <c r="I41" i="22" s="1"/>
  <c r="J41" i="22" s="1"/>
  <c r="H43" i="22"/>
  <c r="I43" i="22" s="1"/>
  <c r="J43" i="22" s="1"/>
  <c r="S16" i="22"/>
  <c r="T16" i="22" s="1"/>
  <c r="U16" i="22" s="1"/>
  <c r="S39" i="22"/>
  <c r="T39" i="22" s="1"/>
  <c r="S43" i="22"/>
  <c r="T43" i="22" s="1"/>
  <c r="S41" i="22"/>
  <c r="T41" i="22" s="1"/>
  <c r="S38" i="22"/>
  <c r="T38" i="22" s="1"/>
  <c r="S36" i="22"/>
  <c r="T36" i="22" s="1"/>
  <c r="J56" i="23"/>
  <c r="I45" i="23"/>
  <c r="I21" i="23"/>
  <c r="I53" i="23"/>
  <c r="D12" i="23"/>
  <c r="E13" i="23" s="1"/>
  <c r="E56" i="23" s="1"/>
  <c r="F45" i="23"/>
  <c r="D36" i="23"/>
  <c r="E37" i="23" s="1"/>
  <c r="C37" i="23" s="1"/>
  <c r="E45" i="23"/>
  <c r="C45" i="23" s="1"/>
  <c r="C53" i="23"/>
  <c r="F53" i="23"/>
  <c r="D20" i="23"/>
  <c r="E21" i="23" s="1"/>
  <c r="D28" i="23"/>
  <c r="E29" i="23" s="1"/>
  <c r="C29" i="23" s="1"/>
  <c r="C13" i="23" l="1"/>
  <c r="N21" i="23"/>
  <c r="I56" i="23"/>
  <c r="J58" i="23" s="1"/>
  <c r="C21" i="23"/>
  <c r="C56" i="23"/>
  <c r="N13" i="23" l="1"/>
  <c r="N56" i="23" s="1"/>
  <c r="S18" i="22"/>
  <c r="S37" i="22"/>
  <c r="T37" i="22" s="1"/>
  <c r="AM36" i="22"/>
  <c r="H21" i="22"/>
  <c r="H17" i="22"/>
  <c r="I17" i="22" s="1"/>
  <c r="J17" i="22" s="1"/>
  <c r="E15" i="10"/>
  <c r="E16" i="10"/>
  <c r="E17" i="10"/>
  <c r="E18" i="10"/>
  <c r="E19" i="10"/>
  <c r="E20" i="10"/>
  <c r="E21" i="10"/>
  <c r="E14" i="10"/>
  <c r="E13" i="10"/>
  <c r="E4" i="10"/>
  <c r="S21" i="22" l="1"/>
  <c r="AC22" i="22"/>
  <c r="S23" i="22"/>
  <c r="AC19" i="22"/>
  <c r="S22" i="22"/>
  <c r="H23" i="22"/>
  <c r="I23" i="22" s="1"/>
  <c r="J23" i="22" s="1"/>
  <c r="AC23" i="22"/>
  <c r="AC20" i="22"/>
  <c r="AC17" i="22"/>
  <c r="AC21" i="22"/>
  <c r="H22" i="22"/>
  <c r="I22" i="22" s="1"/>
  <c r="J22" i="22" s="1"/>
  <c r="H18" i="22"/>
  <c r="I18" i="22" s="1"/>
  <c r="J18" i="22" s="1"/>
  <c r="H20" i="22"/>
  <c r="I20" i="22" s="1"/>
  <c r="J20" i="22" s="1"/>
  <c r="I21" i="22"/>
  <c r="J21" i="22" s="1"/>
  <c r="H19" i="22"/>
  <c r="I19" i="22" s="1"/>
  <c r="J19" i="22" s="1"/>
  <c r="S17" i="22"/>
  <c r="S20" i="22"/>
  <c r="P5" i="22"/>
  <c r="AD23" i="22" l="1"/>
  <c r="AE23" i="22" s="1"/>
  <c r="AD20" i="22"/>
  <c r="AE20" i="22" s="1"/>
  <c r="AD17" i="22"/>
  <c r="AE17" i="22" s="1"/>
  <c r="AD22" i="22"/>
  <c r="AE22" i="22" s="1"/>
  <c r="AD21" i="22"/>
  <c r="AE21" i="22" s="1"/>
  <c r="AD19" i="22"/>
  <c r="AE19" i="22" s="1"/>
  <c r="T23" i="22"/>
  <c r="U23" i="22" s="1"/>
  <c r="T20" i="22" l="1"/>
  <c r="T22" i="22"/>
  <c r="T18" i="22"/>
  <c r="T17" i="22"/>
  <c r="T21" i="22"/>
  <c r="U20" i="22" l="1"/>
  <c r="U22" i="22"/>
  <c r="U17" i="22"/>
  <c r="U18" i="22"/>
  <c r="U21" i="22"/>
  <c r="U43" i="22" l="1"/>
  <c r="AC42" i="22"/>
  <c r="AD42" i="22" s="1"/>
  <c r="AE42" i="22" s="1"/>
  <c r="U42" i="22"/>
  <c r="AC41" i="22"/>
  <c r="AD41" i="22" s="1"/>
  <c r="AE41" i="22" s="1"/>
  <c r="U41" i="22"/>
  <c r="AC40" i="22"/>
  <c r="AD40" i="22" s="1"/>
  <c r="AE40" i="22" s="1"/>
  <c r="U40" i="22"/>
  <c r="AC39" i="22"/>
  <c r="AD39" i="22" s="1"/>
  <c r="AE39" i="22" s="1"/>
  <c r="U39" i="22"/>
  <c r="AC38" i="22"/>
  <c r="AD38" i="22" s="1"/>
  <c r="AE38" i="22" s="1"/>
  <c r="U38" i="22"/>
  <c r="AC37" i="22"/>
  <c r="AD37" i="22" s="1"/>
  <c r="AE37" i="22" s="1"/>
  <c r="U37" i="22"/>
  <c r="AC36" i="22"/>
  <c r="AD36" i="22" s="1"/>
  <c r="AE36" i="22" s="1"/>
  <c r="U36" i="22"/>
  <c r="U4" i="12" l="1"/>
  <c r="W7" i="2" l="1"/>
  <c r="M41" i="2" l="1"/>
  <c r="M39" i="2"/>
  <c r="M37" i="2"/>
  <c r="M40" i="2"/>
  <c r="M38" i="2"/>
  <c r="M36" i="2"/>
  <c r="Z40" i="2"/>
  <c r="U40" i="2"/>
  <c r="X40" i="2" s="1"/>
  <c r="Z38" i="2"/>
  <c r="U38" i="2"/>
  <c r="X38" i="2" s="1"/>
  <c r="Z36" i="2"/>
  <c r="U36" i="2"/>
  <c r="X36" i="2" s="1"/>
  <c r="Z28" i="2"/>
  <c r="AA40" i="2" l="1"/>
  <c r="AA38" i="2"/>
  <c r="AA36" i="2"/>
  <c r="O36" i="2" l="1"/>
  <c r="P36" i="2" s="1"/>
  <c r="O37" i="2"/>
  <c r="P37" i="2" s="1"/>
  <c r="O38" i="2"/>
  <c r="P38" i="2" s="1"/>
  <c r="O39" i="2"/>
  <c r="P39" i="2" s="1"/>
  <c r="O40" i="2"/>
  <c r="P40" i="2" s="1"/>
  <c r="O41" i="2"/>
  <c r="P41" i="2" s="1"/>
  <c r="O43" i="2"/>
  <c r="O44" i="2"/>
  <c r="E11" i="10"/>
  <c r="E10" i="10"/>
  <c r="E8" i="10"/>
  <c r="E7" i="10"/>
  <c r="E6" i="10"/>
  <c r="E27" i="10"/>
  <c r="E32" i="10" l="1"/>
  <c r="E29" i="10" l="1"/>
  <c r="E25" i="10"/>
  <c r="E24" i="10"/>
  <c r="E31" i="10"/>
  <c r="E30" i="10"/>
  <c r="E23" i="10"/>
  <c r="Z26" i="2"/>
  <c r="AF10" i="12"/>
  <c r="AH26" i="12"/>
  <c r="AH24" i="12"/>
  <c r="AH22" i="12"/>
  <c r="AH20" i="12"/>
  <c r="AH18" i="12"/>
  <c r="AH16" i="12"/>
  <c r="AH14" i="12"/>
  <c r="AH12" i="12"/>
  <c r="X26" i="12"/>
  <c r="X24" i="12"/>
  <c r="X22" i="12"/>
  <c r="X20" i="12"/>
  <c r="X18" i="12"/>
  <c r="X16" i="12"/>
  <c r="X14" i="12"/>
  <c r="X12" i="12"/>
  <c r="X10" i="12"/>
  <c r="C13" i="14"/>
  <c r="C10" i="14"/>
  <c r="C21" i="14" s="1"/>
  <c r="C9" i="14"/>
  <c r="C12" i="14"/>
  <c r="AF26" i="2" l="1"/>
  <c r="Y36" i="2"/>
  <c r="AB36" i="2" s="1"/>
  <c r="AC36" i="2" s="1"/>
  <c r="Y40" i="2"/>
  <c r="AB40" i="2" s="1"/>
  <c r="AC40" i="2" s="1"/>
  <c r="Y38" i="2"/>
  <c r="AB38" i="2" s="1"/>
  <c r="AC38" i="2" s="1"/>
  <c r="Y28" i="2"/>
  <c r="X26" i="2"/>
  <c r="N36" i="2"/>
  <c r="Q36" i="2" s="1"/>
  <c r="N38" i="2"/>
  <c r="Q38" i="2" s="1"/>
  <c r="N43" i="2"/>
  <c r="N37" i="2"/>
  <c r="Q37" i="2" s="1"/>
  <c r="N39" i="2"/>
  <c r="Q39" i="2" s="1"/>
  <c r="N41" i="2"/>
  <c r="Q41" i="2" s="1"/>
  <c r="N40" i="2"/>
  <c r="Q40" i="2" s="1"/>
  <c r="R40" i="2" s="1"/>
  <c r="N44" i="2"/>
  <c r="W10" i="12"/>
  <c r="Y26" i="2"/>
  <c r="AG12" i="12"/>
  <c r="AG20" i="12"/>
  <c r="AG14" i="12"/>
  <c r="AG22" i="12"/>
  <c r="AG16" i="12"/>
  <c r="AG24" i="12"/>
  <c r="AG18" i="12"/>
  <c r="AG26" i="12"/>
  <c r="W22" i="12"/>
  <c r="W14" i="12"/>
  <c r="W16" i="12"/>
  <c r="W24" i="12"/>
  <c r="W18" i="12"/>
  <c r="W26" i="12"/>
  <c r="W12" i="12"/>
  <c r="W20" i="12"/>
  <c r="C17" i="14"/>
  <c r="C18" i="14" s="1"/>
  <c r="AJ26" i="2" l="1"/>
  <c r="AK26" i="2" s="1"/>
  <c r="R36" i="2"/>
  <c r="R39" i="2"/>
  <c r="R41" i="2"/>
  <c r="R38" i="2"/>
  <c r="R37" i="2"/>
  <c r="C20" i="14"/>
  <c r="C19" i="14"/>
  <c r="C23" i="14" l="1" a="1"/>
  <c r="C23" i="14" s="1"/>
  <c r="C24" i="14" s="1"/>
  <c r="E10" i="12"/>
  <c r="S10" i="12" s="1"/>
  <c r="I10" i="12"/>
  <c r="M10" i="12"/>
  <c r="Q10" i="12"/>
  <c r="E12" i="12"/>
  <c r="I12" i="12"/>
  <c r="M12" i="12"/>
  <c r="Q12" i="12"/>
  <c r="E14" i="12"/>
  <c r="I14" i="12"/>
  <c r="M14" i="12"/>
  <c r="Q14" i="12"/>
  <c r="E16" i="12"/>
  <c r="I16" i="12"/>
  <c r="M16" i="12"/>
  <c r="Q16" i="12"/>
  <c r="E18" i="12"/>
  <c r="I18" i="12"/>
  <c r="M18" i="12"/>
  <c r="Q18" i="12"/>
  <c r="E20" i="12"/>
  <c r="I20" i="12"/>
  <c r="M20" i="12"/>
  <c r="Q20" i="12"/>
  <c r="E22" i="12"/>
  <c r="I22" i="12"/>
  <c r="M22" i="12"/>
  <c r="Q22" i="12"/>
  <c r="E24" i="12"/>
  <c r="I24" i="12"/>
  <c r="M24" i="12"/>
  <c r="Q24" i="12"/>
  <c r="E26" i="12"/>
  <c r="I26" i="12"/>
  <c r="M26" i="12"/>
  <c r="Q26" i="12"/>
  <c r="AA26" i="2"/>
  <c r="AB26" i="2" s="1"/>
  <c r="AC26" i="2" s="1"/>
  <c r="S12" i="12" l="1"/>
  <c r="AN12" i="12" s="1"/>
  <c r="AR12" i="12" s="1"/>
  <c r="AS12" i="12" s="1"/>
  <c r="S18" i="12"/>
  <c r="AN18" i="12" s="1"/>
  <c r="AR18" i="12" s="1"/>
  <c r="AS18" i="12" s="1"/>
  <c r="S14" i="12"/>
  <c r="S24" i="12"/>
  <c r="AN24" i="12" s="1"/>
  <c r="AR24" i="12" s="1"/>
  <c r="AS24" i="12" s="1"/>
  <c r="S20" i="12"/>
  <c r="AN20" i="12" s="1"/>
  <c r="AR20" i="12" s="1"/>
  <c r="AS20" i="12" s="1"/>
  <c r="S26" i="12"/>
  <c r="AN26" i="12" s="1"/>
  <c r="AR26" i="12" s="1"/>
  <c r="AS26" i="12" s="1"/>
  <c r="S16" i="12"/>
  <c r="S22" i="12"/>
  <c r="AN22" i="12" s="1"/>
  <c r="AR22" i="12" s="1"/>
  <c r="AS22" i="12" s="1"/>
  <c r="AN16" i="12" l="1"/>
  <c r="AR16" i="12" s="1"/>
  <c r="AS16" i="12" s="1"/>
  <c r="AN14" i="12"/>
  <c r="AR14" i="12" s="1"/>
  <c r="AS14" i="12" s="1"/>
  <c r="AR10" i="12"/>
  <c r="AS10" i="12" s="1"/>
  <c r="V16" i="12"/>
  <c r="Y16" i="12" s="1"/>
  <c r="Z16" i="12" s="1"/>
  <c r="AA16" i="12" s="1"/>
  <c r="V10" i="12"/>
  <c r="V26" i="12"/>
  <c r="Y26" i="12" s="1"/>
  <c r="Z26" i="12" s="1"/>
  <c r="AA26" i="12" s="1"/>
  <c r="V14" i="12"/>
  <c r="Y14" i="12" s="1"/>
  <c r="Z14" i="12" s="1"/>
  <c r="AA14" i="12" s="1"/>
  <c r="V18" i="12"/>
  <c r="Y18" i="12" s="1"/>
  <c r="Z18" i="12" s="1"/>
  <c r="AA18" i="12" s="1"/>
  <c r="V20" i="12"/>
  <c r="Y20" i="12" s="1"/>
  <c r="Z20" i="12" s="1"/>
  <c r="AA20" i="12" s="1"/>
  <c r="V24" i="12"/>
  <c r="Y24" i="12" s="1"/>
  <c r="Z24" i="12" s="1"/>
  <c r="AA24" i="12" s="1"/>
  <c r="V22" i="12"/>
  <c r="Y22" i="12" s="1"/>
  <c r="Z22" i="12" s="1"/>
  <c r="AA22" i="12" s="1"/>
  <c r="V12" i="12"/>
  <c r="Y12" i="12" s="1"/>
  <c r="Z12" i="12" s="1"/>
  <c r="AA12" i="12" s="1"/>
  <c r="AC12" i="12"/>
  <c r="AJ28" i="2" l="1"/>
  <c r="AK28" i="2" s="1"/>
  <c r="AF43" i="2"/>
  <c r="AJ43" i="2" s="1"/>
  <c r="AK43" i="2" s="1"/>
  <c r="Y10" i="12"/>
  <c r="Z10" i="12" s="1"/>
  <c r="AA10" i="12" s="1"/>
  <c r="U28" i="2"/>
  <c r="X28" i="2" s="1"/>
  <c r="AA28" i="2" s="1"/>
  <c r="AB28" i="2" s="1"/>
  <c r="AC28" i="2" s="1"/>
  <c r="AF12" i="12"/>
  <c r="AI12" i="12" s="1"/>
  <c r="AJ12" i="12" s="1"/>
  <c r="AK12" i="12" s="1"/>
  <c r="AC14" i="12"/>
  <c r="AF14" i="12" s="1"/>
  <c r="H43" i="2"/>
  <c r="M43" i="2" s="1"/>
  <c r="P43" i="2" l="1"/>
  <c r="Q43" i="2" s="1"/>
  <c r="AI14" i="12"/>
  <c r="AJ14" i="12" s="1"/>
  <c r="AK14" i="12" s="1"/>
  <c r="AC16" i="12"/>
  <c r="AC18" i="12" l="1"/>
  <c r="AC20" i="12" s="1"/>
  <c r="AF16" i="12"/>
  <c r="AI16" i="12" s="1"/>
  <c r="AJ16" i="12" s="1"/>
  <c r="AK16" i="12" s="1"/>
  <c r="R43" i="2"/>
  <c r="AF20" i="12" l="1"/>
  <c r="AI20" i="12" s="1"/>
  <c r="AJ20" i="12" s="1"/>
  <c r="AK20" i="12" s="1"/>
  <c r="AF18" i="12"/>
  <c r="AI18" i="12" s="1"/>
  <c r="AJ18" i="12" s="1"/>
  <c r="AK18" i="12" s="1"/>
  <c r="AC22" i="12"/>
  <c r="AF22" i="12" l="1"/>
  <c r="AI22" i="12" s="1"/>
  <c r="AJ22" i="12" s="1"/>
  <c r="AK22" i="12" s="1"/>
  <c r="AC24" i="12"/>
  <c r="AF24" i="12" l="1"/>
  <c r="AI24" i="12" s="1"/>
  <c r="AJ24" i="12" s="1"/>
  <c r="AK24" i="12" s="1"/>
  <c r="AC26" i="12"/>
  <c r="AF29" i="2" l="1"/>
  <c r="AF26" i="12"/>
  <c r="AI26" i="12" s="1"/>
  <c r="AJ26" i="12" s="1"/>
  <c r="AK26" i="12" s="1"/>
  <c r="U64" i="6" l="1"/>
  <c r="Q64" i="6"/>
  <c r="M64" i="6"/>
  <c r="I64" i="6"/>
  <c r="E64" i="6"/>
  <c r="U108" i="6"/>
  <c r="Q108" i="6"/>
  <c r="M108" i="6"/>
  <c r="I108" i="6"/>
  <c r="E108" i="6"/>
  <c r="V108" i="6" s="1"/>
  <c r="U106" i="6"/>
  <c r="Q106" i="6"/>
  <c r="M106" i="6"/>
  <c r="I106" i="6"/>
  <c r="E106" i="6"/>
  <c r="U104" i="6"/>
  <c r="Q104" i="6"/>
  <c r="M104" i="6"/>
  <c r="I104" i="6"/>
  <c r="E104" i="6"/>
  <c r="U102" i="6"/>
  <c r="Q102" i="6"/>
  <c r="M102" i="6"/>
  <c r="I102" i="6"/>
  <c r="E102" i="6"/>
  <c r="U94" i="6"/>
  <c r="Q94" i="6"/>
  <c r="M94" i="6"/>
  <c r="I94" i="6"/>
  <c r="E94" i="6"/>
  <c r="U92" i="6"/>
  <c r="Q92" i="6"/>
  <c r="M92" i="6"/>
  <c r="I92" i="6"/>
  <c r="E92" i="6"/>
  <c r="V92" i="6" s="1"/>
  <c r="U90" i="6"/>
  <c r="Q90" i="6"/>
  <c r="M90" i="6"/>
  <c r="I90" i="6"/>
  <c r="E90" i="6"/>
  <c r="V90" i="6" s="1"/>
  <c r="U88" i="6"/>
  <c r="Q88" i="6"/>
  <c r="M88" i="6"/>
  <c r="I88" i="6"/>
  <c r="E88" i="6"/>
  <c r="V106" i="6" l="1"/>
  <c r="V104" i="6"/>
  <c r="V88" i="6"/>
  <c r="V95" i="6" s="1"/>
  <c r="V102" i="6"/>
  <c r="V109" i="6" s="1"/>
  <c r="V94" i="6"/>
  <c r="V64" i="6"/>
  <c r="V65" i="6" s="1"/>
  <c r="Y108" i="6"/>
  <c r="Y104" i="6"/>
  <c r="Y106" i="6"/>
  <c r="Y92" i="6"/>
  <c r="Y90" i="6"/>
  <c r="Y88" i="6"/>
  <c r="Y102" i="6" l="1"/>
  <c r="Y94" i="6"/>
  <c r="Y64" i="6"/>
  <c r="V66" i="6"/>
  <c r="Y65" i="6"/>
  <c r="Y109" i="6"/>
  <c r="Y95" i="6"/>
  <c r="Y66" i="6" l="1"/>
  <c r="E12" i="6" l="1"/>
  <c r="I10" i="6"/>
  <c r="E10" i="6"/>
  <c r="E8" i="6"/>
  <c r="E5" i="10" l="1"/>
  <c r="AF27" i="2" l="1"/>
  <c r="AF44" i="2" s="1"/>
  <c r="AJ44" i="2" s="1"/>
  <c r="AK44" i="2" s="1"/>
  <c r="I44" i="2"/>
  <c r="M44" i="2" s="1"/>
  <c r="P44" i="2" l="1"/>
  <c r="Q44" i="2" s="1"/>
  <c r="H26" i="7"/>
  <c r="L26" i="7"/>
  <c r="P26" i="7"/>
  <c r="T26" i="7"/>
  <c r="X26" i="7"/>
  <c r="AB26" i="7"/>
  <c r="AF26" i="7"/>
  <c r="AJ26" i="7"/>
  <c r="H28" i="7"/>
  <c r="L28" i="7"/>
  <c r="P28" i="7"/>
  <c r="T28" i="7"/>
  <c r="X28" i="7"/>
  <c r="AB28" i="7"/>
  <c r="AF28" i="7"/>
  <c r="AJ28" i="7"/>
  <c r="H30" i="7"/>
  <c r="L30" i="7"/>
  <c r="P30" i="7"/>
  <c r="T30" i="7"/>
  <c r="X30" i="7"/>
  <c r="AB30" i="7"/>
  <c r="AF30" i="7"/>
  <c r="AJ30" i="7"/>
  <c r="H32" i="7"/>
  <c r="L32" i="7"/>
  <c r="P32" i="7"/>
  <c r="T32" i="7"/>
  <c r="X32" i="7"/>
  <c r="AB32" i="7"/>
  <c r="AF32" i="7"/>
  <c r="AJ32" i="7"/>
  <c r="AL27" i="7"/>
  <c r="AL29" i="7"/>
  <c r="AL31" i="7"/>
  <c r="J33" i="7"/>
  <c r="N33" i="7"/>
  <c r="R33" i="7"/>
  <c r="V33" i="7"/>
  <c r="Z33" i="7"/>
  <c r="AD33" i="7"/>
  <c r="AH33" i="7"/>
  <c r="AL33" i="7"/>
  <c r="U195" i="6"/>
  <c r="Q195" i="6"/>
  <c r="M195" i="6"/>
  <c r="I195" i="6"/>
  <c r="E195" i="6"/>
  <c r="U193" i="6"/>
  <c r="Q193" i="6"/>
  <c r="M193" i="6"/>
  <c r="I193" i="6"/>
  <c r="E193" i="6"/>
  <c r="U191" i="6"/>
  <c r="Q191" i="6"/>
  <c r="M191" i="6"/>
  <c r="I191" i="6"/>
  <c r="E191" i="6"/>
  <c r="U189" i="6"/>
  <c r="Q189" i="6"/>
  <c r="M189" i="6"/>
  <c r="I189" i="6"/>
  <c r="E189" i="6"/>
  <c r="U177" i="6"/>
  <c r="Q177" i="6"/>
  <c r="M177" i="6"/>
  <c r="I177" i="6"/>
  <c r="E177" i="6"/>
  <c r="U175" i="6"/>
  <c r="Q175" i="6"/>
  <c r="M175" i="6"/>
  <c r="I175" i="6"/>
  <c r="E175" i="6"/>
  <c r="U173" i="6"/>
  <c r="Q173" i="6"/>
  <c r="M173" i="6"/>
  <c r="I173" i="6"/>
  <c r="E173" i="6"/>
  <c r="U171" i="6"/>
  <c r="Q171" i="6"/>
  <c r="M171" i="6"/>
  <c r="I171" i="6"/>
  <c r="E171" i="6"/>
  <c r="U159" i="6"/>
  <c r="Q159" i="6"/>
  <c r="M159" i="6"/>
  <c r="I159" i="6"/>
  <c r="E159" i="6"/>
  <c r="U157" i="6"/>
  <c r="Q157" i="6"/>
  <c r="M157" i="6"/>
  <c r="I157" i="6"/>
  <c r="E157" i="6"/>
  <c r="U155" i="6"/>
  <c r="Q155" i="6"/>
  <c r="M155" i="6"/>
  <c r="I155" i="6"/>
  <c r="E155" i="6"/>
  <c r="U153" i="6"/>
  <c r="Q153" i="6"/>
  <c r="M153" i="6"/>
  <c r="I153" i="6"/>
  <c r="E153" i="6"/>
  <c r="U141" i="6"/>
  <c r="Q141" i="6"/>
  <c r="M141" i="6"/>
  <c r="I141" i="6"/>
  <c r="E141" i="6"/>
  <c r="U139" i="6"/>
  <c r="Q139" i="6"/>
  <c r="M139" i="6"/>
  <c r="I139" i="6"/>
  <c r="E139" i="6"/>
  <c r="U137" i="6"/>
  <c r="Q137" i="6"/>
  <c r="M137" i="6"/>
  <c r="I137" i="6"/>
  <c r="E137" i="6"/>
  <c r="U135" i="6"/>
  <c r="Q135" i="6"/>
  <c r="M135" i="6"/>
  <c r="I135" i="6"/>
  <c r="E135" i="6"/>
  <c r="U123" i="6"/>
  <c r="Q123" i="6"/>
  <c r="M123" i="6"/>
  <c r="I123" i="6"/>
  <c r="E123" i="6"/>
  <c r="U121" i="6"/>
  <c r="Q121" i="6"/>
  <c r="M121" i="6"/>
  <c r="I121" i="6"/>
  <c r="E121" i="6"/>
  <c r="U119" i="6"/>
  <c r="Q119" i="6"/>
  <c r="M119" i="6"/>
  <c r="I119" i="6"/>
  <c r="E119" i="6"/>
  <c r="U117" i="6"/>
  <c r="Q117" i="6"/>
  <c r="M117" i="6"/>
  <c r="I117" i="6"/>
  <c r="E117" i="6"/>
  <c r="U80" i="6"/>
  <c r="Q80" i="6"/>
  <c r="M80" i="6"/>
  <c r="I80" i="6"/>
  <c r="E80" i="6"/>
  <c r="U78" i="6"/>
  <c r="Q78" i="6"/>
  <c r="M78" i="6"/>
  <c r="I78" i="6"/>
  <c r="E78" i="6"/>
  <c r="U76" i="6"/>
  <c r="Q76" i="6"/>
  <c r="M76" i="6"/>
  <c r="I76" i="6"/>
  <c r="E76" i="6"/>
  <c r="U74" i="6"/>
  <c r="Q74" i="6"/>
  <c r="M74" i="6"/>
  <c r="I74" i="6"/>
  <c r="E74" i="6"/>
  <c r="U55" i="6"/>
  <c r="Q55" i="6"/>
  <c r="M55" i="6"/>
  <c r="I55" i="6"/>
  <c r="E55" i="6"/>
  <c r="U44" i="6"/>
  <c r="Q44" i="6"/>
  <c r="M44" i="6"/>
  <c r="I44" i="6"/>
  <c r="E44" i="6"/>
  <c r="U42" i="6"/>
  <c r="Q42" i="6"/>
  <c r="M42" i="6"/>
  <c r="I42" i="6"/>
  <c r="E42" i="6"/>
  <c r="U40" i="6"/>
  <c r="Q40" i="6"/>
  <c r="M40" i="6"/>
  <c r="I40" i="6"/>
  <c r="E40" i="6"/>
  <c r="U28" i="6"/>
  <c r="Q28" i="6"/>
  <c r="M28" i="6"/>
  <c r="I28" i="6"/>
  <c r="E28" i="6"/>
  <c r="U26" i="6"/>
  <c r="Q26" i="6"/>
  <c r="M26" i="6"/>
  <c r="I26" i="6"/>
  <c r="E26" i="6"/>
  <c r="U24" i="6"/>
  <c r="Q24" i="6"/>
  <c r="M24" i="6"/>
  <c r="I24" i="6"/>
  <c r="E24" i="6"/>
  <c r="U12" i="6"/>
  <c r="Q12" i="6"/>
  <c r="M12" i="6"/>
  <c r="I12" i="6"/>
  <c r="U10" i="6"/>
  <c r="Q10" i="6"/>
  <c r="M10" i="6"/>
  <c r="U8" i="6"/>
  <c r="Q8" i="6"/>
  <c r="M8" i="6"/>
  <c r="V55" i="6" l="1"/>
  <c r="V56" i="6" s="1"/>
  <c r="V57" i="6" s="1"/>
  <c r="V119" i="6"/>
  <c r="V121" i="6"/>
  <c r="V135" i="6"/>
  <c r="Y135" i="6" s="1"/>
  <c r="V137" i="6"/>
  <c r="Y137" i="6" s="1"/>
  <c r="V139" i="6"/>
  <c r="Y139" i="6" s="1"/>
  <c r="V153" i="6"/>
  <c r="Y153" i="6" s="1"/>
  <c r="V157" i="6"/>
  <c r="V159" i="6"/>
  <c r="Y159" i="6" s="1"/>
  <c r="V171" i="6"/>
  <c r="Y171" i="6" s="1"/>
  <c r="V175" i="6"/>
  <c r="V177" i="6"/>
  <c r="V189" i="6"/>
  <c r="Y189" i="6" s="1"/>
  <c r="V191" i="6"/>
  <c r="Y191" i="6" s="1"/>
  <c r="V193" i="6"/>
  <c r="Y193" i="6" s="1"/>
  <c r="V195" i="6"/>
  <c r="Y195" i="6" s="1"/>
  <c r="V8" i="6"/>
  <c r="V12" i="6"/>
  <c r="V10" i="6"/>
  <c r="V42" i="6"/>
  <c r="V28" i="6"/>
  <c r="V40" i="6"/>
  <c r="Y40" i="6" s="1"/>
  <c r="V74" i="6"/>
  <c r="Y74" i="6" s="1"/>
  <c r="V76" i="6"/>
  <c r="V78" i="6"/>
  <c r="Y78" i="6" s="1"/>
  <c r="Y119" i="6"/>
  <c r="Y121" i="6"/>
  <c r="Y175" i="6"/>
  <c r="V26" i="6"/>
  <c r="V80" i="6"/>
  <c r="V117" i="6"/>
  <c r="V123" i="6"/>
  <c r="V141" i="6"/>
  <c r="V155" i="6"/>
  <c r="V173" i="6"/>
  <c r="V24" i="6"/>
  <c r="V44" i="6"/>
  <c r="R44" i="2" l="1"/>
  <c r="Y57" i="6"/>
  <c r="Y76" i="6"/>
  <c r="Y42" i="6"/>
  <c r="Y8" i="6"/>
  <c r="Z8" i="6"/>
  <c r="Y10" i="6"/>
  <c r="Z10" i="6"/>
  <c r="Z12" i="6"/>
  <c r="V13" i="6"/>
  <c r="V14" i="6" s="1"/>
  <c r="Y14" i="6" s="1"/>
  <c r="Y12" i="6"/>
  <c r="V196" i="6"/>
  <c r="V197" i="6" s="1"/>
  <c r="Y197" i="6" s="1"/>
  <c r="Y177" i="6"/>
  <c r="Y157" i="6"/>
  <c r="Y28" i="6"/>
  <c r="Y55" i="6"/>
  <c r="Y173" i="6"/>
  <c r="V124" i="6"/>
  <c r="Y117" i="6"/>
  <c r="Y155" i="6"/>
  <c r="Y80" i="6"/>
  <c r="V81" i="6"/>
  <c r="V45" i="6"/>
  <c r="V46" i="6" s="1"/>
  <c r="Y44" i="6"/>
  <c r="Y141" i="6"/>
  <c r="Y26" i="6"/>
  <c r="V178" i="6"/>
  <c r="V29" i="6"/>
  <c r="V30" i="6" s="1"/>
  <c r="Y24" i="6"/>
  <c r="Y123" i="6"/>
  <c r="V160" i="6"/>
  <c r="V142" i="6"/>
  <c r="Y46" i="6" l="1"/>
  <c r="Z28" i="6"/>
  <c r="Z44" i="6"/>
  <c r="Z26" i="6"/>
  <c r="Z42" i="6"/>
  <c r="Z24" i="6"/>
  <c r="Z40" i="6"/>
  <c r="Y13" i="6"/>
  <c r="Z13" i="6"/>
  <c r="Y196" i="6"/>
  <c r="Y30" i="6"/>
  <c r="Y45" i="6"/>
  <c r="Y124" i="6"/>
  <c r="Y29" i="6"/>
  <c r="Y56" i="6"/>
  <c r="Y142" i="6"/>
  <c r="Y178" i="6"/>
  <c r="Y81" i="6"/>
  <c r="Y160" i="6"/>
  <c r="Z45" i="6" l="1"/>
  <c r="Z29" i="6"/>
</calcChain>
</file>

<file path=xl/comments1.xml><?xml version="1.0" encoding="utf-8"?>
<comments xmlns="http://schemas.openxmlformats.org/spreadsheetml/2006/main" xmlns:mc="http://schemas.openxmlformats.org/markup-compatibility/2006" xmlns:xr="http://schemas.microsoft.com/office/spreadsheetml/2014/revision" mc:Ignorable="xr">
  <authors>
    <author>Freeman J</author>
  </authors>
  <commentList>
    <comment ref="W7" authorId="0" shapeId="0" xr:uid="{165C335E-5FD6-4926-9E44-01BEA3A5A3CC}">
      <text>
        <r>
          <rPr>
            <b/>
            <sz val="9"/>
            <color indexed="81"/>
            <rFont val="Tahoma"/>
            <family val="2"/>
          </rPr>
          <t>Freeman J:</t>
        </r>
        <r>
          <rPr>
            <sz val="9"/>
            <color indexed="81"/>
            <rFont val="Tahoma"/>
            <family val="2"/>
          </rPr>
          <t xml:space="preserve">
Material absolute roughness factor (mm) - ε</t>
        </r>
      </text>
    </comment>
    <comment ref="X7" authorId="0" shapeId="0" xr:uid="{D817BE4D-992D-4854-901E-D07A142279D1}">
      <text>
        <r>
          <rPr>
            <b/>
            <sz val="9"/>
            <color indexed="81"/>
            <rFont val="Tahoma"/>
            <family val="2"/>
          </rPr>
          <t>Freeman J:</t>
        </r>
        <r>
          <rPr>
            <sz val="9"/>
            <color indexed="81"/>
            <rFont val="Tahoma"/>
            <family val="2"/>
          </rPr>
          <t xml:space="preserve">
</t>
        </r>
        <r>
          <rPr>
            <sz val="8"/>
            <color indexed="81"/>
            <rFont val="Tahoma"/>
            <family val="2"/>
          </rPr>
          <t>Hydraulic diameter (mm) - Dh</t>
        </r>
      </text>
    </comment>
    <comment ref="Y7" authorId="0" shapeId="0" xr:uid="{5CCF32C4-C1B8-45A8-8FD0-9D2B54F3293A}">
      <text>
        <r>
          <rPr>
            <b/>
            <sz val="9"/>
            <color indexed="81"/>
            <rFont val="Tahoma"/>
            <family val="2"/>
          </rPr>
          <t>Freeman J:</t>
        </r>
        <r>
          <rPr>
            <sz val="9"/>
            <color indexed="81"/>
            <rFont val="Tahoma"/>
            <family val="2"/>
          </rPr>
          <t xml:space="preserve">
</t>
        </r>
        <r>
          <rPr>
            <sz val="8"/>
            <color indexed="81"/>
            <rFont val="Tahoma"/>
            <family val="2"/>
          </rPr>
          <t>ASHRAE Fundamental 2017: for standard air and temperature between 4 and 38°C, Re can be calculated by Re=66.4 DhV</t>
        </r>
      </text>
    </comment>
    <comment ref="Z7" authorId="0" shapeId="0" xr:uid="{D67649B5-C968-4614-8DC1-3C070E9785C9}">
      <text>
        <r>
          <rPr>
            <b/>
            <sz val="9"/>
            <color indexed="81"/>
            <rFont val="Tahoma"/>
            <family val="2"/>
          </rPr>
          <t>Freeman J:</t>
        </r>
        <r>
          <rPr>
            <sz val="9"/>
            <color indexed="81"/>
            <rFont val="Tahoma"/>
            <family val="2"/>
          </rPr>
          <t xml:space="preserve">
</t>
        </r>
        <r>
          <rPr>
            <sz val="8"/>
            <color indexed="81"/>
            <rFont val="Tahoma"/>
            <family val="2"/>
          </rPr>
          <t>Friction Loss calculation:
Colebrook Equation Approximations
Swamee and Jain Equation (1976)</t>
        </r>
      </text>
    </comment>
    <comment ref="AA7" authorId="0" shapeId="0" xr:uid="{9749DDBD-3E39-4096-8A67-8A707EBA42E6}">
      <text>
        <r>
          <rPr>
            <b/>
            <sz val="9"/>
            <color indexed="81"/>
            <rFont val="Tahoma"/>
            <family val="2"/>
          </rPr>
          <t>Freeman J:</t>
        </r>
        <r>
          <rPr>
            <sz val="9"/>
            <color indexed="81"/>
            <rFont val="Tahoma"/>
            <family val="2"/>
          </rPr>
          <t xml:space="preserve">
</t>
        </r>
        <r>
          <rPr>
            <sz val="8"/>
            <color indexed="81"/>
            <rFont val="Tahoma"/>
            <family val="2"/>
          </rPr>
          <t>ASHRAE Fundamental 2017: Darcy–Weisbach equation</t>
        </r>
      </text>
    </comment>
    <comment ref="AG7" authorId="0" shapeId="0" xr:uid="{8F226708-E777-4185-9B42-79B9F1902F5F}">
      <text>
        <r>
          <rPr>
            <b/>
            <sz val="9"/>
            <color indexed="81"/>
            <rFont val="Tahoma"/>
            <family val="2"/>
          </rPr>
          <t>Freeman J:</t>
        </r>
        <r>
          <rPr>
            <sz val="9"/>
            <color indexed="81"/>
            <rFont val="Tahoma"/>
            <family val="2"/>
          </rPr>
          <t xml:space="preserve">
Material absolute roughness factor (mm) - ε</t>
        </r>
      </text>
    </comment>
    <comment ref="AH7" authorId="0" shapeId="0" xr:uid="{206EA08D-1E60-445B-95F3-C992948D4268}">
      <text>
        <r>
          <rPr>
            <b/>
            <sz val="9"/>
            <color indexed="81"/>
            <rFont val="Tahoma"/>
            <family val="2"/>
          </rPr>
          <t>Freeman J:</t>
        </r>
        <r>
          <rPr>
            <sz val="9"/>
            <color indexed="81"/>
            <rFont val="Tahoma"/>
            <family val="2"/>
          </rPr>
          <t xml:space="preserve">
</t>
        </r>
        <r>
          <rPr>
            <sz val="8"/>
            <color indexed="81"/>
            <rFont val="Tahoma"/>
            <family val="2"/>
          </rPr>
          <t>Hydraulic diameter (mm) - Dh</t>
        </r>
      </text>
    </comment>
    <comment ref="AI7" authorId="0" shapeId="0" xr:uid="{F18CCF0A-0324-48E4-8D6C-9FFBA4EE7ED4}">
      <text>
        <r>
          <rPr>
            <b/>
            <sz val="9"/>
            <color indexed="81"/>
            <rFont val="Tahoma"/>
            <family val="2"/>
          </rPr>
          <t>Freeman J:</t>
        </r>
        <r>
          <rPr>
            <sz val="9"/>
            <color indexed="81"/>
            <rFont val="Tahoma"/>
            <family val="2"/>
          </rPr>
          <t xml:space="preserve">
</t>
        </r>
        <r>
          <rPr>
            <sz val="8"/>
            <color indexed="81"/>
            <rFont val="Tahoma"/>
            <family val="2"/>
          </rPr>
          <t>ASHRAE Fundamental 2017: for standard air and temperature between 4 and 38°C, Re can be calculated by Re=66.4 DhV</t>
        </r>
      </text>
    </comment>
    <comment ref="AJ7" authorId="0" shapeId="0" xr:uid="{9628B790-3AF2-4E53-9A54-1D0BE0BF72C9}">
      <text>
        <r>
          <rPr>
            <b/>
            <sz val="9"/>
            <color indexed="81"/>
            <rFont val="Tahoma"/>
            <family val="2"/>
          </rPr>
          <t>Freeman J:</t>
        </r>
        <r>
          <rPr>
            <sz val="9"/>
            <color indexed="81"/>
            <rFont val="Tahoma"/>
            <family val="2"/>
          </rPr>
          <t xml:space="preserve">
</t>
        </r>
        <r>
          <rPr>
            <sz val="8"/>
            <color indexed="81"/>
            <rFont val="Tahoma"/>
            <family val="2"/>
          </rPr>
          <t>Friction Loss calculation:
Colebrook Equation Approximations
Swamee and Jain Equation (1976)</t>
        </r>
      </text>
    </comment>
    <comment ref="AK7" authorId="0" shapeId="0" xr:uid="{02682465-2A7A-4248-A358-E0DA0C2551FF}">
      <text>
        <r>
          <rPr>
            <b/>
            <sz val="9"/>
            <color indexed="81"/>
            <rFont val="Tahoma"/>
            <family val="2"/>
          </rPr>
          <t>Freeman J:</t>
        </r>
        <r>
          <rPr>
            <sz val="9"/>
            <color indexed="81"/>
            <rFont val="Tahoma"/>
            <family val="2"/>
          </rPr>
          <t xml:space="preserve">
</t>
        </r>
        <r>
          <rPr>
            <sz val="8"/>
            <color indexed="81"/>
            <rFont val="Tahoma"/>
            <family val="2"/>
          </rPr>
          <t>ASHRAE Fundamental 2017: Darcy–Weisbach equation</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Freeman J</author>
  </authors>
  <commentList>
    <comment ref="N23" authorId="0" shapeId="0" xr:uid="{9B0741E5-F499-4ADD-BDB5-7796A137236B}">
      <text>
        <r>
          <rPr>
            <b/>
            <sz val="9"/>
            <color indexed="81"/>
            <rFont val="Tahoma"/>
            <family val="2"/>
          </rPr>
          <t>Freeman J:</t>
        </r>
        <r>
          <rPr>
            <sz val="9"/>
            <color indexed="81"/>
            <rFont val="Tahoma"/>
            <family val="2"/>
          </rPr>
          <t xml:space="preserve">
Material absolute roughness factor (mm) - ε</t>
        </r>
      </text>
    </comment>
    <comment ref="O23" authorId="0" shapeId="0" xr:uid="{517E8712-503F-4E08-BF6F-E1295ED9C0ED}">
      <text>
        <r>
          <rPr>
            <b/>
            <sz val="9"/>
            <color indexed="81"/>
            <rFont val="Tahoma"/>
            <family val="2"/>
          </rPr>
          <t>Freeman J:</t>
        </r>
        <r>
          <rPr>
            <sz val="9"/>
            <color indexed="81"/>
            <rFont val="Tahoma"/>
            <family val="2"/>
          </rPr>
          <t xml:space="preserve">
</t>
        </r>
        <r>
          <rPr>
            <sz val="8"/>
            <color indexed="81"/>
            <rFont val="Tahoma"/>
            <family val="2"/>
          </rPr>
          <t>Hydraulic diameter (mm) - Dh</t>
        </r>
      </text>
    </comment>
    <comment ref="P23" authorId="0" shapeId="0" xr:uid="{ACE095DA-87A4-4E9A-A25C-13D5CB77A845}">
      <text>
        <r>
          <rPr>
            <b/>
            <sz val="9"/>
            <color indexed="81"/>
            <rFont val="Tahoma"/>
            <family val="2"/>
          </rPr>
          <t>Freeman J:</t>
        </r>
        <r>
          <rPr>
            <sz val="9"/>
            <color indexed="81"/>
            <rFont val="Tahoma"/>
            <family val="2"/>
          </rPr>
          <t xml:space="preserve">
</t>
        </r>
        <r>
          <rPr>
            <sz val="8"/>
            <color indexed="81"/>
            <rFont val="Tahoma"/>
            <family val="2"/>
          </rPr>
          <t>ASHRAE Fundamental 2017: for standard air and temperature between 4 and 38°C, Re can be calculated by Re=66.4 DhV</t>
        </r>
      </text>
    </comment>
    <comment ref="Q23" authorId="0" shapeId="0" xr:uid="{EE90EBE9-3CA8-4DFF-9DDE-5BEB554BAB65}">
      <text>
        <r>
          <rPr>
            <b/>
            <sz val="9"/>
            <color indexed="81"/>
            <rFont val="Tahoma"/>
            <family val="2"/>
          </rPr>
          <t>Freeman J:</t>
        </r>
        <r>
          <rPr>
            <sz val="9"/>
            <color indexed="81"/>
            <rFont val="Tahoma"/>
            <family val="2"/>
          </rPr>
          <t xml:space="preserve">
</t>
        </r>
        <r>
          <rPr>
            <sz val="8"/>
            <color indexed="81"/>
            <rFont val="Tahoma"/>
            <family val="2"/>
          </rPr>
          <t>Friction Loss calculation:
Colebrook Equation Approximations
Swamee and Jain Equation (1976)</t>
        </r>
      </text>
    </comment>
    <comment ref="R23" authorId="0" shapeId="0" xr:uid="{66E84566-7150-4A57-9810-A3B13A09F2A6}">
      <text>
        <r>
          <rPr>
            <b/>
            <sz val="9"/>
            <color indexed="81"/>
            <rFont val="Tahoma"/>
            <family val="2"/>
          </rPr>
          <t>Freeman J:</t>
        </r>
        <r>
          <rPr>
            <sz val="9"/>
            <color indexed="81"/>
            <rFont val="Tahoma"/>
            <family val="2"/>
          </rPr>
          <t xml:space="preserve">
</t>
        </r>
        <r>
          <rPr>
            <sz val="8"/>
            <color indexed="81"/>
            <rFont val="Tahoma"/>
            <family val="2"/>
          </rPr>
          <t>ASHRAE Fundamental 2017: Darcy–Weisbach equation</t>
        </r>
      </text>
    </comment>
    <comment ref="Y23" authorId="0" shapeId="0" xr:uid="{5768BF30-45E6-4C42-B5E6-B2B1D5ADCBA6}">
      <text>
        <r>
          <rPr>
            <b/>
            <sz val="9"/>
            <color indexed="81"/>
            <rFont val="Tahoma"/>
            <family val="2"/>
          </rPr>
          <t>Freeman J:</t>
        </r>
        <r>
          <rPr>
            <sz val="9"/>
            <color indexed="81"/>
            <rFont val="Tahoma"/>
            <family val="2"/>
          </rPr>
          <t xml:space="preserve">
Material absolute roughness factor (mm) - ε</t>
        </r>
      </text>
    </comment>
    <comment ref="Z23" authorId="0" shapeId="0" xr:uid="{9F16D6CB-C1B8-46A6-A2CB-0F76CFEDF8C5}">
      <text>
        <r>
          <rPr>
            <b/>
            <sz val="9"/>
            <color indexed="81"/>
            <rFont val="Tahoma"/>
            <family val="2"/>
          </rPr>
          <t>Freeman J:</t>
        </r>
        <r>
          <rPr>
            <sz val="9"/>
            <color indexed="81"/>
            <rFont val="Tahoma"/>
            <family val="2"/>
          </rPr>
          <t xml:space="preserve">
</t>
        </r>
        <r>
          <rPr>
            <sz val="8"/>
            <color indexed="81"/>
            <rFont val="Tahoma"/>
            <family val="2"/>
          </rPr>
          <t>Hydraulic diameter (mm) - Dh</t>
        </r>
      </text>
    </comment>
    <comment ref="AA23" authorId="0" shapeId="0" xr:uid="{0D6F5716-9347-45B4-B877-7FF4F70DF30C}">
      <text>
        <r>
          <rPr>
            <b/>
            <sz val="9"/>
            <color indexed="81"/>
            <rFont val="Tahoma"/>
            <family val="2"/>
          </rPr>
          <t>Freeman J:</t>
        </r>
        <r>
          <rPr>
            <sz val="9"/>
            <color indexed="81"/>
            <rFont val="Tahoma"/>
            <family val="2"/>
          </rPr>
          <t xml:space="preserve">
</t>
        </r>
        <r>
          <rPr>
            <sz val="8"/>
            <color indexed="81"/>
            <rFont val="Tahoma"/>
            <family val="2"/>
          </rPr>
          <t>ASHRAE Fundamental 2017: for standard air and temperature between 4 and 38°C, Re can be calculated by Re=66.4 DhV</t>
        </r>
      </text>
    </comment>
    <comment ref="AB23" authorId="0" shapeId="0" xr:uid="{7429CD38-061E-4262-817C-F1D7127D1DA8}">
      <text>
        <r>
          <rPr>
            <b/>
            <sz val="9"/>
            <color indexed="81"/>
            <rFont val="Tahoma"/>
            <family val="2"/>
          </rPr>
          <t>Freeman J:</t>
        </r>
        <r>
          <rPr>
            <sz val="9"/>
            <color indexed="81"/>
            <rFont val="Tahoma"/>
            <family val="2"/>
          </rPr>
          <t xml:space="preserve">
</t>
        </r>
        <r>
          <rPr>
            <sz val="8"/>
            <color indexed="81"/>
            <rFont val="Tahoma"/>
            <family val="2"/>
          </rPr>
          <t>Friction Loss calculation:
Colebrook Equation Approximations
Swamee and Jain Equation (1976)</t>
        </r>
      </text>
    </comment>
    <comment ref="AC23" authorId="0" shapeId="0" xr:uid="{C6BFBDD9-D4A4-4B68-8C4F-31443B3B9E8B}">
      <text>
        <r>
          <rPr>
            <b/>
            <sz val="9"/>
            <color indexed="81"/>
            <rFont val="Tahoma"/>
            <family val="2"/>
          </rPr>
          <t>Freeman J:</t>
        </r>
        <r>
          <rPr>
            <sz val="9"/>
            <color indexed="81"/>
            <rFont val="Tahoma"/>
            <family val="2"/>
          </rPr>
          <t xml:space="preserve">
</t>
        </r>
        <r>
          <rPr>
            <sz val="8"/>
            <color indexed="81"/>
            <rFont val="Tahoma"/>
            <family val="2"/>
          </rPr>
          <t>ASHRAE Fundamental 2017: Darcy–Weisbach equation</t>
        </r>
      </text>
    </comment>
    <comment ref="AT24" authorId="0" shapeId="0" xr:uid="{24E63A05-8A1C-4533-ACE3-6736BAE9714D}">
      <text>
        <r>
          <rPr>
            <b/>
            <sz val="9"/>
            <color indexed="81"/>
            <rFont val="Tahoma"/>
            <family val="2"/>
          </rPr>
          <t>Freeman J:</t>
        </r>
        <r>
          <rPr>
            <sz val="9"/>
            <color indexed="81"/>
            <rFont val="Tahoma"/>
            <family val="2"/>
          </rPr>
          <t xml:space="preserve">
Material absolute roughness factor (mm) - ε</t>
        </r>
      </text>
    </comment>
    <comment ref="AU24" authorId="0" shapeId="0" xr:uid="{C190EB16-73BC-4DDE-AF77-4944C24CDFFF}">
      <text>
        <r>
          <rPr>
            <b/>
            <sz val="9"/>
            <color indexed="81"/>
            <rFont val="Tahoma"/>
            <family val="2"/>
          </rPr>
          <t>Freeman J:</t>
        </r>
        <r>
          <rPr>
            <sz val="9"/>
            <color indexed="81"/>
            <rFont val="Tahoma"/>
            <family val="2"/>
          </rPr>
          <t xml:space="preserve">
</t>
        </r>
        <r>
          <rPr>
            <sz val="8"/>
            <color indexed="81"/>
            <rFont val="Tahoma"/>
            <family val="2"/>
          </rPr>
          <t>Hydraulic diameter (mm) - Dh</t>
        </r>
      </text>
    </comment>
    <comment ref="AV24" authorId="0" shapeId="0" xr:uid="{BE7810D2-4B65-48BF-9AD9-E163660EE12E}">
      <text>
        <r>
          <rPr>
            <b/>
            <sz val="9"/>
            <color indexed="81"/>
            <rFont val="Tahoma"/>
            <family val="2"/>
          </rPr>
          <t>Freeman J:</t>
        </r>
        <r>
          <rPr>
            <sz val="9"/>
            <color indexed="81"/>
            <rFont val="Tahoma"/>
            <family val="2"/>
          </rPr>
          <t xml:space="preserve">
</t>
        </r>
        <r>
          <rPr>
            <sz val="8"/>
            <color indexed="81"/>
            <rFont val="Tahoma"/>
            <family val="2"/>
          </rPr>
          <t>ASHRAE Fundamental 2017: for standard air and temperature between 4 and 38°C, Re can be calculated by Re=66.4 DhV</t>
        </r>
      </text>
    </comment>
    <comment ref="AW24" authorId="0" shapeId="0" xr:uid="{87710317-7FF5-4DEC-89AE-C2D3A896426F}">
      <text>
        <r>
          <rPr>
            <b/>
            <sz val="9"/>
            <color indexed="81"/>
            <rFont val="Tahoma"/>
            <family val="2"/>
          </rPr>
          <t>Freeman J:</t>
        </r>
        <r>
          <rPr>
            <sz val="9"/>
            <color indexed="81"/>
            <rFont val="Tahoma"/>
            <family val="2"/>
          </rPr>
          <t xml:space="preserve">
</t>
        </r>
        <r>
          <rPr>
            <sz val="8"/>
            <color indexed="81"/>
            <rFont val="Tahoma"/>
            <family val="2"/>
          </rPr>
          <t>Friction Loss calculation:
Colebrook Equation Approximations
Swamee and Jain Equation (1976)</t>
        </r>
      </text>
    </comment>
    <comment ref="AX24" authorId="0" shapeId="0" xr:uid="{22D3D23E-D417-4844-BB41-FE47C79ACF72}">
      <text>
        <r>
          <rPr>
            <b/>
            <sz val="9"/>
            <color indexed="81"/>
            <rFont val="Tahoma"/>
            <family val="2"/>
          </rPr>
          <t>Freeman J:</t>
        </r>
        <r>
          <rPr>
            <sz val="9"/>
            <color indexed="81"/>
            <rFont val="Tahoma"/>
            <family val="2"/>
          </rPr>
          <t xml:space="preserve">
</t>
        </r>
        <r>
          <rPr>
            <sz val="8"/>
            <color indexed="81"/>
            <rFont val="Tahoma"/>
            <family val="2"/>
          </rPr>
          <t>ASHRAE Fundamental 2017: Darcy–Weisbach equation</t>
        </r>
      </text>
    </comment>
    <comment ref="BE24" authorId="0" shapeId="0" xr:uid="{E965FD46-2E3A-460C-B337-2CB70F3336C8}">
      <text>
        <r>
          <rPr>
            <b/>
            <sz val="9"/>
            <color indexed="81"/>
            <rFont val="Tahoma"/>
            <family val="2"/>
          </rPr>
          <t>Freeman J:</t>
        </r>
        <r>
          <rPr>
            <sz val="9"/>
            <color indexed="81"/>
            <rFont val="Tahoma"/>
            <family val="2"/>
          </rPr>
          <t xml:space="preserve">
Material absolute roughness factor (mm) - ε</t>
        </r>
      </text>
    </comment>
    <comment ref="BF24" authorId="0" shapeId="0" xr:uid="{BE24D3FB-B1F4-4DEA-99D1-4FF7753F0B66}">
      <text>
        <r>
          <rPr>
            <b/>
            <sz val="9"/>
            <color indexed="81"/>
            <rFont val="Tahoma"/>
            <family val="2"/>
          </rPr>
          <t>Freeman J:</t>
        </r>
        <r>
          <rPr>
            <sz val="9"/>
            <color indexed="81"/>
            <rFont val="Tahoma"/>
            <family val="2"/>
          </rPr>
          <t xml:space="preserve">
</t>
        </r>
        <r>
          <rPr>
            <sz val="8"/>
            <color indexed="81"/>
            <rFont val="Tahoma"/>
            <family val="2"/>
          </rPr>
          <t>Hydraulic diameter (mm) - Dh</t>
        </r>
      </text>
    </comment>
    <comment ref="BG24" authorId="0" shapeId="0" xr:uid="{B4D8FC46-2665-4430-AEFD-496583B05DFA}">
      <text>
        <r>
          <rPr>
            <b/>
            <sz val="9"/>
            <color indexed="81"/>
            <rFont val="Tahoma"/>
            <family val="2"/>
          </rPr>
          <t>Freeman J:</t>
        </r>
        <r>
          <rPr>
            <sz val="9"/>
            <color indexed="81"/>
            <rFont val="Tahoma"/>
            <family val="2"/>
          </rPr>
          <t xml:space="preserve">
</t>
        </r>
        <r>
          <rPr>
            <sz val="8"/>
            <color indexed="81"/>
            <rFont val="Tahoma"/>
            <family val="2"/>
          </rPr>
          <t>ASHRAE Fundamental 2017: for standard air and temperature between 4 and 38°C, Re can be calculated by Re=66.4 DhV</t>
        </r>
      </text>
    </comment>
    <comment ref="BH24" authorId="0" shapeId="0" xr:uid="{2C4723CB-53D9-44BA-B74A-1EEC84EC6D38}">
      <text>
        <r>
          <rPr>
            <b/>
            <sz val="9"/>
            <color indexed="81"/>
            <rFont val="Tahoma"/>
            <family val="2"/>
          </rPr>
          <t>Freeman J:</t>
        </r>
        <r>
          <rPr>
            <sz val="9"/>
            <color indexed="81"/>
            <rFont val="Tahoma"/>
            <family val="2"/>
          </rPr>
          <t xml:space="preserve">
</t>
        </r>
        <r>
          <rPr>
            <sz val="8"/>
            <color indexed="81"/>
            <rFont val="Tahoma"/>
            <family val="2"/>
          </rPr>
          <t>Friction Loss calculation:
Colebrook Equation Approximations
Swamee and Jain Equation (1976)</t>
        </r>
      </text>
    </comment>
    <comment ref="BI24" authorId="0" shapeId="0" xr:uid="{0C5DEE9D-0B13-4C0C-8317-8C681663E65A}">
      <text>
        <r>
          <rPr>
            <b/>
            <sz val="9"/>
            <color indexed="81"/>
            <rFont val="Tahoma"/>
            <family val="2"/>
          </rPr>
          <t>Freeman J:</t>
        </r>
        <r>
          <rPr>
            <sz val="9"/>
            <color indexed="81"/>
            <rFont val="Tahoma"/>
            <family val="2"/>
          </rPr>
          <t xml:space="preserve">
</t>
        </r>
        <r>
          <rPr>
            <sz val="8"/>
            <color indexed="81"/>
            <rFont val="Tahoma"/>
            <family val="2"/>
          </rPr>
          <t>ASHRAE Fundamental 2017: Darcy–Weisbach equation</t>
        </r>
      </text>
    </comment>
    <comment ref="Y48" authorId="0" shapeId="0" xr:uid="{E4E2A31E-0E76-4CA6-8158-8E433EC5C85D}">
      <text>
        <r>
          <rPr>
            <b/>
            <sz val="9"/>
            <color indexed="81"/>
            <rFont val="Tahoma"/>
            <family val="2"/>
          </rPr>
          <t>Freeman J:</t>
        </r>
        <r>
          <rPr>
            <sz val="9"/>
            <color indexed="81"/>
            <rFont val="Tahoma"/>
            <family val="2"/>
          </rPr>
          <t xml:space="preserve">
Material absolute roughness factor (mm) - ε</t>
        </r>
      </text>
    </comment>
    <comment ref="Z48" authorId="0" shapeId="0" xr:uid="{405EEEAE-6170-4636-858C-136577143253}">
      <text>
        <r>
          <rPr>
            <b/>
            <sz val="9"/>
            <color indexed="81"/>
            <rFont val="Tahoma"/>
            <family val="2"/>
          </rPr>
          <t>Freeman J:</t>
        </r>
        <r>
          <rPr>
            <sz val="9"/>
            <color indexed="81"/>
            <rFont val="Tahoma"/>
            <family val="2"/>
          </rPr>
          <t xml:space="preserve">
</t>
        </r>
        <r>
          <rPr>
            <sz val="8"/>
            <color indexed="81"/>
            <rFont val="Tahoma"/>
            <family val="2"/>
          </rPr>
          <t>Hydraulic diameter (mm) - Dh</t>
        </r>
      </text>
    </comment>
    <comment ref="AA48" authorId="0" shapeId="0" xr:uid="{EBA5D785-1039-4EC2-8E38-5B153077C132}">
      <text>
        <r>
          <rPr>
            <b/>
            <sz val="9"/>
            <color indexed="81"/>
            <rFont val="Tahoma"/>
            <family val="2"/>
          </rPr>
          <t>Freeman J:</t>
        </r>
        <r>
          <rPr>
            <sz val="9"/>
            <color indexed="81"/>
            <rFont val="Tahoma"/>
            <family val="2"/>
          </rPr>
          <t xml:space="preserve">
</t>
        </r>
        <r>
          <rPr>
            <sz val="8"/>
            <color indexed="81"/>
            <rFont val="Tahoma"/>
            <family val="2"/>
          </rPr>
          <t>ASHRAE Fundamental 2017: for standard air and temperature between 4 and 38°C, Re can be calculated by Re=66.4 DhV</t>
        </r>
      </text>
    </comment>
    <comment ref="AB48" authorId="0" shapeId="0" xr:uid="{5EAAD040-A60D-4A76-9458-4131C545B8AD}">
      <text>
        <r>
          <rPr>
            <b/>
            <sz val="9"/>
            <color indexed="81"/>
            <rFont val="Tahoma"/>
            <family val="2"/>
          </rPr>
          <t>Freeman J:</t>
        </r>
        <r>
          <rPr>
            <sz val="9"/>
            <color indexed="81"/>
            <rFont val="Tahoma"/>
            <family val="2"/>
          </rPr>
          <t xml:space="preserve">
</t>
        </r>
        <r>
          <rPr>
            <sz val="8"/>
            <color indexed="81"/>
            <rFont val="Tahoma"/>
            <family val="2"/>
          </rPr>
          <t>Friction Loss calculation:
Colebrook Equation Approximations
Swamee and Jain Equation (1976)</t>
        </r>
      </text>
    </comment>
    <comment ref="AC48" authorId="0" shapeId="0" xr:uid="{AEA03967-F739-4A41-B69D-8B32E5B20F1F}">
      <text>
        <r>
          <rPr>
            <b/>
            <sz val="9"/>
            <color indexed="81"/>
            <rFont val="Tahoma"/>
            <family val="2"/>
          </rPr>
          <t>Freeman J:</t>
        </r>
        <r>
          <rPr>
            <sz val="9"/>
            <color indexed="81"/>
            <rFont val="Tahoma"/>
            <family val="2"/>
          </rPr>
          <t xml:space="preserve">
</t>
        </r>
        <r>
          <rPr>
            <sz val="8"/>
            <color indexed="81"/>
            <rFont val="Tahoma"/>
            <family val="2"/>
          </rPr>
          <t>ASHRAE Fundamental 2017: Darcy–Weisbach equation</t>
        </r>
      </text>
    </comment>
    <comment ref="AI48" authorId="0" shapeId="0" xr:uid="{D68EDF1D-2728-480D-ABCB-3B2226DAEB4A}">
      <text>
        <r>
          <rPr>
            <b/>
            <sz val="9"/>
            <color indexed="81"/>
            <rFont val="Tahoma"/>
            <family val="2"/>
          </rPr>
          <t>Freeman J:</t>
        </r>
        <r>
          <rPr>
            <sz val="9"/>
            <color indexed="81"/>
            <rFont val="Tahoma"/>
            <family val="2"/>
          </rPr>
          <t xml:space="preserve">
Material absolute roughness factor (mm) - ε</t>
        </r>
      </text>
    </comment>
    <comment ref="AJ48" authorId="0" shapeId="0" xr:uid="{576B7201-FBF7-44EC-AD3A-0B8C42AA5D95}">
      <text>
        <r>
          <rPr>
            <b/>
            <sz val="9"/>
            <color indexed="81"/>
            <rFont val="Tahoma"/>
            <family val="2"/>
          </rPr>
          <t>Freeman J:</t>
        </r>
        <r>
          <rPr>
            <sz val="9"/>
            <color indexed="81"/>
            <rFont val="Tahoma"/>
            <family val="2"/>
          </rPr>
          <t xml:space="preserve">
</t>
        </r>
        <r>
          <rPr>
            <sz val="8"/>
            <color indexed="81"/>
            <rFont val="Tahoma"/>
            <family val="2"/>
          </rPr>
          <t>Hydraulic diameter (mm) - Dh</t>
        </r>
      </text>
    </comment>
    <comment ref="AK48" authorId="0" shapeId="0" xr:uid="{BD0AEB44-71DD-4135-A15D-EDBA5FE529F4}">
      <text>
        <r>
          <rPr>
            <b/>
            <sz val="9"/>
            <color indexed="81"/>
            <rFont val="Tahoma"/>
            <family val="2"/>
          </rPr>
          <t>Freeman J:</t>
        </r>
        <r>
          <rPr>
            <sz val="9"/>
            <color indexed="81"/>
            <rFont val="Tahoma"/>
            <family val="2"/>
          </rPr>
          <t xml:space="preserve">
</t>
        </r>
        <r>
          <rPr>
            <sz val="8"/>
            <color indexed="81"/>
            <rFont val="Tahoma"/>
            <family val="2"/>
          </rPr>
          <t>ASHRAE Fundamental 2017: for standard air and temperature between 4 and 38°C, Re can be calculated by Re=66.4 DhV</t>
        </r>
      </text>
    </comment>
    <comment ref="AL48" authorId="0" shapeId="0" xr:uid="{928CB950-F1BF-42DD-8689-75F89F1FC178}">
      <text>
        <r>
          <rPr>
            <b/>
            <sz val="9"/>
            <color indexed="81"/>
            <rFont val="Tahoma"/>
            <family val="2"/>
          </rPr>
          <t>Freeman J:</t>
        </r>
        <r>
          <rPr>
            <sz val="9"/>
            <color indexed="81"/>
            <rFont val="Tahoma"/>
            <family val="2"/>
          </rPr>
          <t xml:space="preserve">
</t>
        </r>
        <r>
          <rPr>
            <sz val="8"/>
            <color indexed="81"/>
            <rFont val="Tahoma"/>
            <family val="2"/>
          </rPr>
          <t>Friction Loss calculation:
Colebrook Equation Approximations
Swamee and Jain Equation (1976)</t>
        </r>
      </text>
    </comment>
    <comment ref="AM48" authorId="0" shapeId="0" xr:uid="{F536C994-E58D-43E4-8F0F-D67B771EFE64}">
      <text>
        <r>
          <rPr>
            <b/>
            <sz val="9"/>
            <color indexed="81"/>
            <rFont val="Tahoma"/>
            <family val="2"/>
          </rPr>
          <t>Freeman J:</t>
        </r>
        <r>
          <rPr>
            <sz val="9"/>
            <color indexed="81"/>
            <rFont val="Tahoma"/>
            <family val="2"/>
          </rPr>
          <t xml:space="preserve">
</t>
        </r>
        <r>
          <rPr>
            <sz val="8"/>
            <color indexed="81"/>
            <rFont val="Tahoma"/>
            <family val="2"/>
          </rPr>
          <t>ASHRAE Fundamental 2017: Darcy–Weisbach equation</t>
        </r>
      </text>
    </comment>
    <comment ref="N67" authorId="0" shapeId="0" xr:uid="{FCF6DDA5-5D02-492E-BDE4-CFD0B9725FE2}">
      <text>
        <r>
          <rPr>
            <b/>
            <sz val="9"/>
            <color indexed="81"/>
            <rFont val="Tahoma"/>
            <family val="2"/>
          </rPr>
          <t>Freeman J:</t>
        </r>
        <r>
          <rPr>
            <sz val="9"/>
            <color indexed="81"/>
            <rFont val="Tahoma"/>
            <family val="2"/>
          </rPr>
          <t xml:space="preserve">
Material absolute roughness factor (mm) - ε</t>
        </r>
      </text>
    </comment>
    <comment ref="O67" authorId="0" shapeId="0" xr:uid="{89A86B2D-C80B-4594-976A-A8B7EE43D292}">
      <text>
        <r>
          <rPr>
            <b/>
            <sz val="9"/>
            <color indexed="81"/>
            <rFont val="Tahoma"/>
            <family val="2"/>
          </rPr>
          <t>Freeman J:</t>
        </r>
        <r>
          <rPr>
            <sz val="9"/>
            <color indexed="81"/>
            <rFont val="Tahoma"/>
            <family val="2"/>
          </rPr>
          <t xml:space="preserve">
</t>
        </r>
        <r>
          <rPr>
            <sz val="8"/>
            <color indexed="81"/>
            <rFont val="Tahoma"/>
            <family val="2"/>
          </rPr>
          <t>Hydraulic diameter (mm) - Dh</t>
        </r>
      </text>
    </comment>
    <comment ref="P67" authorId="0" shapeId="0" xr:uid="{D6A12A2A-4AE2-448C-9320-20A81D95A506}">
      <text>
        <r>
          <rPr>
            <b/>
            <sz val="9"/>
            <color indexed="81"/>
            <rFont val="Tahoma"/>
            <family val="2"/>
          </rPr>
          <t>Freeman J:</t>
        </r>
        <r>
          <rPr>
            <sz val="9"/>
            <color indexed="81"/>
            <rFont val="Tahoma"/>
            <family val="2"/>
          </rPr>
          <t xml:space="preserve">
</t>
        </r>
        <r>
          <rPr>
            <sz val="8"/>
            <color indexed="81"/>
            <rFont val="Tahoma"/>
            <family val="2"/>
          </rPr>
          <t>ASHRAE Fundamental 2017: for standard air and temperature between 4 and 38°C, Re can be calculated by Re=66.4 DhV</t>
        </r>
      </text>
    </comment>
    <comment ref="Q67" authorId="0" shapeId="0" xr:uid="{63D6591C-DE2E-48DE-B6BB-D1CA2405E29D}">
      <text>
        <r>
          <rPr>
            <b/>
            <sz val="9"/>
            <color indexed="81"/>
            <rFont val="Tahoma"/>
            <family val="2"/>
          </rPr>
          <t>Freeman J:</t>
        </r>
        <r>
          <rPr>
            <sz val="9"/>
            <color indexed="81"/>
            <rFont val="Tahoma"/>
            <family val="2"/>
          </rPr>
          <t xml:space="preserve">
</t>
        </r>
        <r>
          <rPr>
            <sz val="8"/>
            <color indexed="81"/>
            <rFont val="Tahoma"/>
            <family val="2"/>
          </rPr>
          <t>Friction Loss calculation:
Colebrook Equation Approximations
Swamee and Jain Equation (1976)</t>
        </r>
      </text>
    </comment>
    <comment ref="R67" authorId="0" shapeId="0" xr:uid="{E5969EF2-C7EA-4468-B2AB-E5BF4DF11EC7}">
      <text>
        <r>
          <rPr>
            <b/>
            <sz val="9"/>
            <color indexed="81"/>
            <rFont val="Tahoma"/>
            <family val="2"/>
          </rPr>
          <t>Freeman J:</t>
        </r>
        <r>
          <rPr>
            <sz val="9"/>
            <color indexed="81"/>
            <rFont val="Tahoma"/>
            <family val="2"/>
          </rPr>
          <t xml:space="preserve">
</t>
        </r>
        <r>
          <rPr>
            <sz val="8"/>
            <color indexed="81"/>
            <rFont val="Tahoma"/>
            <family val="2"/>
          </rPr>
          <t>ASHRAE Fundamental 2017: Darcy–Weisbach equation</t>
        </r>
      </text>
    </comment>
    <comment ref="Y67" authorId="0" shapeId="0" xr:uid="{368D62C0-0DAA-4DC8-8B21-77836C724BB3}">
      <text>
        <r>
          <rPr>
            <b/>
            <sz val="9"/>
            <color indexed="81"/>
            <rFont val="Tahoma"/>
            <family val="2"/>
          </rPr>
          <t>Freeman J:</t>
        </r>
        <r>
          <rPr>
            <sz val="9"/>
            <color indexed="81"/>
            <rFont val="Tahoma"/>
            <family val="2"/>
          </rPr>
          <t xml:space="preserve">
Material absolute roughness factor (mm) - ε</t>
        </r>
      </text>
    </comment>
    <comment ref="Z67" authorId="0" shapeId="0" xr:uid="{BEE4E0BA-97BA-402E-AA92-199979F24369}">
      <text>
        <r>
          <rPr>
            <b/>
            <sz val="9"/>
            <color indexed="81"/>
            <rFont val="Tahoma"/>
            <family val="2"/>
          </rPr>
          <t>Freeman J:</t>
        </r>
        <r>
          <rPr>
            <sz val="9"/>
            <color indexed="81"/>
            <rFont val="Tahoma"/>
            <family val="2"/>
          </rPr>
          <t xml:space="preserve">
</t>
        </r>
        <r>
          <rPr>
            <sz val="8"/>
            <color indexed="81"/>
            <rFont val="Tahoma"/>
            <family val="2"/>
          </rPr>
          <t>Hydraulic diameter (mm) - Dh</t>
        </r>
      </text>
    </comment>
    <comment ref="AA67" authorId="0" shapeId="0" xr:uid="{4B468EE1-A911-4A5A-8543-62F7D0F171D7}">
      <text>
        <r>
          <rPr>
            <b/>
            <sz val="9"/>
            <color indexed="81"/>
            <rFont val="Tahoma"/>
            <family val="2"/>
          </rPr>
          <t>Freeman J:</t>
        </r>
        <r>
          <rPr>
            <sz val="9"/>
            <color indexed="81"/>
            <rFont val="Tahoma"/>
            <family val="2"/>
          </rPr>
          <t xml:space="preserve">
</t>
        </r>
        <r>
          <rPr>
            <sz val="8"/>
            <color indexed="81"/>
            <rFont val="Tahoma"/>
            <family val="2"/>
          </rPr>
          <t>ASHRAE Fundamental 2017: for standard air and temperature between 4 and 38°C, Re can be calculated by Re=66.4 DhV</t>
        </r>
      </text>
    </comment>
    <comment ref="AB67" authorId="0" shapeId="0" xr:uid="{B2DB0AE0-9750-4242-BAA4-09A200E81251}">
      <text>
        <r>
          <rPr>
            <b/>
            <sz val="9"/>
            <color indexed="81"/>
            <rFont val="Tahoma"/>
            <family val="2"/>
          </rPr>
          <t>Freeman J:</t>
        </r>
        <r>
          <rPr>
            <sz val="9"/>
            <color indexed="81"/>
            <rFont val="Tahoma"/>
            <family val="2"/>
          </rPr>
          <t xml:space="preserve">
</t>
        </r>
        <r>
          <rPr>
            <sz val="8"/>
            <color indexed="81"/>
            <rFont val="Tahoma"/>
            <family val="2"/>
          </rPr>
          <t>Friction Loss calculation:
Colebrook Equation Approximations
Swamee and Jain Equation (1976)</t>
        </r>
      </text>
    </comment>
    <comment ref="AC67" authorId="0" shapeId="0" xr:uid="{BD59C53D-020A-4AF9-B2DB-D97A8250476D}">
      <text>
        <r>
          <rPr>
            <b/>
            <sz val="9"/>
            <color indexed="81"/>
            <rFont val="Tahoma"/>
            <family val="2"/>
          </rPr>
          <t>Freeman J:</t>
        </r>
        <r>
          <rPr>
            <sz val="9"/>
            <color indexed="81"/>
            <rFont val="Tahoma"/>
            <family val="2"/>
          </rPr>
          <t xml:space="preserve">
</t>
        </r>
        <r>
          <rPr>
            <sz val="8"/>
            <color indexed="81"/>
            <rFont val="Tahoma"/>
            <family val="2"/>
          </rPr>
          <t>ASHRAE Fundamental 2017: Darcy–Weisbach equation</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Freeman J</author>
  </authors>
  <commentList>
    <comment ref="F14" authorId="0" shapeId="0" xr:uid="{4D8617E7-BEF0-4DE7-B090-27250B0A48D2}">
      <text>
        <r>
          <rPr>
            <b/>
            <sz val="9"/>
            <color indexed="81"/>
            <rFont val="Tahoma"/>
            <family val="2"/>
          </rPr>
          <t>Freeman J:</t>
        </r>
        <r>
          <rPr>
            <sz val="9"/>
            <color indexed="81"/>
            <rFont val="Tahoma"/>
            <family val="2"/>
          </rPr>
          <t xml:space="preserve">
Material absolute roughness factor (mm) - ε</t>
        </r>
      </text>
    </comment>
    <comment ref="G14" authorId="0" shapeId="0" xr:uid="{E53FF323-EF2B-453C-912D-03BCAD6115D5}">
      <text>
        <r>
          <rPr>
            <b/>
            <sz val="9"/>
            <color indexed="81"/>
            <rFont val="Tahoma"/>
            <family val="2"/>
          </rPr>
          <t>Freeman J:</t>
        </r>
        <r>
          <rPr>
            <sz val="9"/>
            <color indexed="81"/>
            <rFont val="Tahoma"/>
            <family val="2"/>
          </rPr>
          <t xml:space="preserve">
</t>
        </r>
        <r>
          <rPr>
            <sz val="8"/>
            <color indexed="81"/>
            <rFont val="Tahoma"/>
            <family val="2"/>
          </rPr>
          <t>Hydraulic diameter (mm) - Dh</t>
        </r>
      </text>
    </comment>
    <comment ref="H14" authorId="0" shapeId="0" xr:uid="{4233F3B7-1C4E-4007-9402-89EBCDE5190F}">
      <text>
        <r>
          <rPr>
            <b/>
            <sz val="9"/>
            <color indexed="81"/>
            <rFont val="Tahoma"/>
            <family val="2"/>
          </rPr>
          <t>Freeman J:</t>
        </r>
        <r>
          <rPr>
            <sz val="9"/>
            <color indexed="81"/>
            <rFont val="Tahoma"/>
            <family val="2"/>
          </rPr>
          <t xml:space="preserve">
</t>
        </r>
        <r>
          <rPr>
            <sz val="8"/>
            <color indexed="81"/>
            <rFont val="Tahoma"/>
            <family val="2"/>
          </rPr>
          <t>ASHRAE Fundamental 2017: for standard air and temperature between 4 and 38°C, Re can be calculated by Re=66.4 DhV</t>
        </r>
      </text>
    </comment>
    <comment ref="I14" authorId="0" shapeId="0" xr:uid="{814D71A6-0C8D-4B25-9A41-9D42356FB518}">
      <text>
        <r>
          <rPr>
            <b/>
            <sz val="9"/>
            <color indexed="81"/>
            <rFont val="Tahoma"/>
            <family val="2"/>
          </rPr>
          <t>Freeman J:</t>
        </r>
        <r>
          <rPr>
            <sz val="9"/>
            <color indexed="81"/>
            <rFont val="Tahoma"/>
            <family val="2"/>
          </rPr>
          <t xml:space="preserve">
</t>
        </r>
        <r>
          <rPr>
            <sz val="8"/>
            <color indexed="81"/>
            <rFont val="Tahoma"/>
            <family val="2"/>
          </rPr>
          <t>Friction Loss calculation:
Colebrook Equation Approximations
Swamee and Jain Equation (1976)</t>
        </r>
      </text>
    </comment>
    <comment ref="J14" authorId="0" shapeId="0" xr:uid="{5ED70DC2-CC0A-4D9A-BC9C-250D113000CC}">
      <text>
        <r>
          <rPr>
            <b/>
            <sz val="9"/>
            <color indexed="81"/>
            <rFont val="Tahoma"/>
            <family val="2"/>
          </rPr>
          <t>Freeman J:</t>
        </r>
        <r>
          <rPr>
            <sz val="9"/>
            <color indexed="81"/>
            <rFont val="Tahoma"/>
            <family val="2"/>
          </rPr>
          <t xml:space="preserve">
</t>
        </r>
        <r>
          <rPr>
            <sz val="8"/>
            <color indexed="81"/>
            <rFont val="Tahoma"/>
            <family val="2"/>
          </rPr>
          <t>ASHRAE Fundamental 2017: Darcy–Weisbach equation</t>
        </r>
      </text>
    </comment>
    <comment ref="Q14" authorId="0" shapeId="0" xr:uid="{99CD9CC2-A6CF-474E-9AB4-09D9EC25D2C5}">
      <text>
        <r>
          <rPr>
            <b/>
            <sz val="9"/>
            <color indexed="81"/>
            <rFont val="Tahoma"/>
            <family val="2"/>
          </rPr>
          <t>Freeman J:</t>
        </r>
        <r>
          <rPr>
            <sz val="9"/>
            <color indexed="81"/>
            <rFont val="Tahoma"/>
            <family val="2"/>
          </rPr>
          <t xml:space="preserve">
Material absolute roughness factor (mm) - ε</t>
        </r>
      </text>
    </comment>
    <comment ref="R14" authorId="0" shapeId="0" xr:uid="{569D35B4-5722-4851-A36E-CEBEBD5381F4}">
      <text>
        <r>
          <rPr>
            <b/>
            <sz val="9"/>
            <color indexed="81"/>
            <rFont val="Tahoma"/>
            <family val="2"/>
          </rPr>
          <t>Freeman J:</t>
        </r>
        <r>
          <rPr>
            <sz val="9"/>
            <color indexed="81"/>
            <rFont val="Tahoma"/>
            <family val="2"/>
          </rPr>
          <t xml:space="preserve">
</t>
        </r>
        <r>
          <rPr>
            <sz val="8"/>
            <color indexed="81"/>
            <rFont val="Tahoma"/>
            <family val="2"/>
          </rPr>
          <t>Hydraulic diameter (mm) - Dh</t>
        </r>
      </text>
    </comment>
    <comment ref="S14" authorId="0" shapeId="0" xr:uid="{09F5E512-A04C-46B7-A3B8-6764196885B9}">
      <text>
        <r>
          <rPr>
            <b/>
            <sz val="9"/>
            <color indexed="81"/>
            <rFont val="Tahoma"/>
            <family val="2"/>
          </rPr>
          <t>Freeman J:</t>
        </r>
        <r>
          <rPr>
            <sz val="9"/>
            <color indexed="81"/>
            <rFont val="Tahoma"/>
            <family val="2"/>
          </rPr>
          <t xml:space="preserve">
</t>
        </r>
        <r>
          <rPr>
            <sz val="8"/>
            <color indexed="81"/>
            <rFont val="Tahoma"/>
            <family val="2"/>
          </rPr>
          <t>ASHRAE Fundamental 2017: for standard air and temperature between 4 and 38°C, Re can be calculated by Re=66.4 DhV</t>
        </r>
      </text>
    </comment>
    <comment ref="T14" authorId="0" shapeId="0" xr:uid="{FCB0B05D-B452-424D-B15B-E4590C07339E}">
      <text>
        <r>
          <rPr>
            <b/>
            <sz val="9"/>
            <color indexed="81"/>
            <rFont val="Tahoma"/>
            <family val="2"/>
          </rPr>
          <t>Freeman J:</t>
        </r>
        <r>
          <rPr>
            <sz val="9"/>
            <color indexed="81"/>
            <rFont val="Tahoma"/>
            <family val="2"/>
          </rPr>
          <t xml:space="preserve">
</t>
        </r>
        <r>
          <rPr>
            <sz val="8"/>
            <color indexed="81"/>
            <rFont val="Tahoma"/>
            <family val="2"/>
          </rPr>
          <t>Friction Loss calculation:
Colebrook Equation Approximations
Swamee and Jain Equation (1976)</t>
        </r>
      </text>
    </comment>
    <comment ref="U14" authorId="0" shapeId="0" xr:uid="{810352FA-65FE-4727-A95D-D906AC52E86F}">
      <text>
        <r>
          <rPr>
            <b/>
            <sz val="9"/>
            <color indexed="81"/>
            <rFont val="Tahoma"/>
            <family val="2"/>
          </rPr>
          <t>Freeman J:</t>
        </r>
        <r>
          <rPr>
            <sz val="9"/>
            <color indexed="81"/>
            <rFont val="Tahoma"/>
            <family val="2"/>
          </rPr>
          <t xml:space="preserve">
</t>
        </r>
        <r>
          <rPr>
            <sz val="8"/>
            <color indexed="81"/>
            <rFont val="Tahoma"/>
            <family val="2"/>
          </rPr>
          <t>ASHRAE Fundamental 2017: Darcy–Weisbach equation</t>
        </r>
      </text>
    </comment>
    <comment ref="AA14" authorId="0" shapeId="0" xr:uid="{2697C487-D1AA-44B9-9E41-A8903849DD87}">
      <text>
        <r>
          <rPr>
            <b/>
            <sz val="9"/>
            <color indexed="81"/>
            <rFont val="Tahoma"/>
            <family val="2"/>
          </rPr>
          <t>Freeman J:</t>
        </r>
        <r>
          <rPr>
            <sz val="9"/>
            <color indexed="81"/>
            <rFont val="Tahoma"/>
            <family val="2"/>
          </rPr>
          <t xml:space="preserve">
Material absolute roughness factor (mm) - ε</t>
        </r>
      </text>
    </comment>
    <comment ref="AB14" authorId="0" shapeId="0" xr:uid="{8FFAAB3F-4020-4509-961E-2954363CB8F9}">
      <text>
        <r>
          <rPr>
            <b/>
            <sz val="9"/>
            <color indexed="81"/>
            <rFont val="Tahoma"/>
            <family val="2"/>
          </rPr>
          <t>Freeman J:</t>
        </r>
        <r>
          <rPr>
            <sz val="9"/>
            <color indexed="81"/>
            <rFont val="Tahoma"/>
            <family val="2"/>
          </rPr>
          <t xml:space="preserve">
</t>
        </r>
        <r>
          <rPr>
            <sz val="8"/>
            <color indexed="81"/>
            <rFont val="Tahoma"/>
            <family val="2"/>
          </rPr>
          <t>Hydraulic diameter (mm) - Dh</t>
        </r>
      </text>
    </comment>
    <comment ref="AC14" authorId="0" shapeId="0" xr:uid="{8D40C807-1142-434E-9C77-112B82824382}">
      <text>
        <r>
          <rPr>
            <b/>
            <sz val="9"/>
            <color indexed="81"/>
            <rFont val="Tahoma"/>
            <family val="2"/>
          </rPr>
          <t>Freeman J:</t>
        </r>
        <r>
          <rPr>
            <sz val="9"/>
            <color indexed="81"/>
            <rFont val="Tahoma"/>
            <family val="2"/>
          </rPr>
          <t xml:space="preserve">
</t>
        </r>
        <r>
          <rPr>
            <sz val="8"/>
            <color indexed="81"/>
            <rFont val="Tahoma"/>
            <family val="2"/>
          </rPr>
          <t>ASHRAE Fundamental 2017: for standard air and temperature between 4 and 38°C, Re can be calculated by Re=66.4 DhV</t>
        </r>
      </text>
    </comment>
    <comment ref="AD14" authorId="0" shapeId="0" xr:uid="{10406149-724B-4528-B4F5-A1979B20C070}">
      <text>
        <r>
          <rPr>
            <b/>
            <sz val="9"/>
            <color indexed="81"/>
            <rFont val="Tahoma"/>
            <family val="2"/>
          </rPr>
          <t>Freeman J:</t>
        </r>
        <r>
          <rPr>
            <sz val="9"/>
            <color indexed="81"/>
            <rFont val="Tahoma"/>
            <family val="2"/>
          </rPr>
          <t xml:space="preserve">
</t>
        </r>
        <r>
          <rPr>
            <sz val="8"/>
            <color indexed="81"/>
            <rFont val="Tahoma"/>
            <family val="2"/>
          </rPr>
          <t>Friction Loss calculation:
Colebrook Equation Approximations
Swamee and Jain Equation (1976)</t>
        </r>
      </text>
    </comment>
    <comment ref="AE14" authorId="0" shapeId="0" xr:uid="{0072BE6E-5F34-42C4-BE99-27441C1EBFBA}">
      <text>
        <r>
          <rPr>
            <b/>
            <sz val="9"/>
            <color indexed="81"/>
            <rFont val="Tahoma"/>
            <family val="2"/>
          </rPr>
          <t>Freeman J:</t>
        </r>
        <r>
          <rPr>
            <sz val="9"/>
            <color indexed="81"/>
            <rFont val="Tahoma"/>
            <family val="2"/>
          </rPr>
          <t xml:space="preserve">
</t>
        </r>
        <r>
          <rPr>
            <sz val="8"/>
            <color indexed="81"/>
            <rFont val="Tahoma"/>
            <family val="2"/>
          </rPr>
          <t>ASHRAE Fundamental 2017: Darcy–Weisbach equation</t>
        </r>
      </text>
    </comment>
    <comment ref="F34" authorId="0" shapeId="0" xr:uid="{9AD7B80C-3910-4F22-B57C-0115EF75F161}">
      <text>
        <r>
          <rPr>
            <b/>
            <sz val="9"/>
            <color indexed="81"/>
            <rFont val="Tahoma"/>
            <family val="2"/>
          </rPr>
          <t>Freeman J:</t>
        </r>
        <r>
          <rPr>
            <sz val="9"/>
            <color indexed="81"/>
            <rFont val="Tahoma"/>
            <family val="2"/>
          </rPr>
          <t xml:space="preserve">
Material absolute roughness factor (mm) - ε</t>
        </r>
      </text>
    </comment>
    <comment ref="G34" authorId="0" shapeId="0" xr:uid="{E3F634F4-3C0B-4C1C-B26D-D0675CC22A68}">
      <text>
        <r>
          <rPr>
            <b/>
            <sz val="9"/>
            <color indexed="81"/>
            <rFont val="Tahoma"/>
            <family val="2"/>
          </rPr>
          <t>Freeman J:</t>
        </r>
        <r>
          <rPr>
            <sz val="9"/>
            <color indexed="81"/>
            <rFont val="Tahoma"/>
            <family val="2"/>
          </rPr>
          <t xml:space="preserve">
</t>
        </r>
        <r>
          <rPr>
            <sz val="8"/>
            <color indexed="81"/>
            <rFont val="Tahoma"/>
            <family val="2"/>
          </rPr>
          <t>Hydraulic diameter (mm) - Dh</t>
        </r>
      </text>
    </comment>
    <comment ref="H34" authorId="0" shapeId="0" xr:uid="{836C68DC-63B5-45A5-B662-C14752C7310D}">
      <text>
        <r>
          <rPr>
            <b/>
            <sz val="9"/>
            <color indexed="81"/>
            <rFont val="Tahoma"/>
            <family val="2"/>
          </rPr>
          <t>Freeman J:</t>
        </r>
        <r>
          <rPr>
            <sz val="9"/>
            <color indexed="81"/>
            <rFont val="Tahoma"/>
            <family val="2"/>
          </rPr>
          <t xml:space="preserve">
</t>
        </r>
        <r>
          <rPr>
            <sz val="8"/>
            <color indexed="81"/>
            <rFont val="Tahoma"/>
            <family val="2"/>
          </rPr>
          <t>ASHRAE Fundamental 2017: for standard air and temperature between 4 and 38°C, Re can be calculated by Re=66.4 DhV</t>
        </r>
      </text>
    </comment>
    <comment ref="I34" authorId="0" shapeId="0" xr:uid="{D2BB4F73-1A36-4E32-975F-5D487A0C9C4C}">
      <text>
        <r>
          <rPr>
            <b/>
            <sz val="9"/>
            <color indexed="81"/>
            <rFont val="Tahoma"/>
            <family val="2"/>
          </rPr>
          <t>Freeman J:</t>
        </r>
        <r>
          <rPr>
            <sz val="9"/>
            <color indexed="81"/>
            <rFont val="Tahoma"/>
            <family val="2"/>
          </rPr>
          <t xml:space="preserve">
</t>
        </r>
        <r>
          <rPr>
            <sz val="8"/>
            <color indexed="81"/>
            <rFont val="Tahoma"/>
            <family val="2"/>
          </rPr>
          <t>Friction Loss calculation:
Colebrook Equation Approximations
Swamee and Jain Equation (1976)</t>
        </r>
      </text>
    </comment>
    <comment ref="J34" authorId="0" shapeId="0" xr:uid="{D3A5CF4E-12A6-4385-8747-17536DE44C8C}">
      <text>
        <r>
          <rPr>
            <b/>
            <sz val="9"/>
            <color indexed="81"/>
            <rFont val="Tahoma"/>
            <family val="2"/>
          </rPr>
          <t>Freeman J:</t>
        </r>
        <r>
          <rPr>
            <sz val="9"/>
            <color indexed="81"/>
            <rFont val="Tahoma"/>
            <family val="2"/>
          </rPr>
          <t xml:space="preserve">
</t>
        </r>
        <r>
          <rPr>
            <sz val="8"/>
            <color indexed="81"/>
            <rFont val="Tahoma"/>
            <family val="2"/>
          </rPr>
          <t>ASHRAE Fundamental 2017: Darcy–Weisbach equation</t>
        </r>
      </text>
    </comment>
    <comment ref="Q34" authorId="0" shapeId="0" xr:uid="{43E9572A-D509-4DAE-B52F-C63B2F9DBFA9}">
      <text>
        <r>
          <rPr>
            <b/>
            <sz val="9"/>
            <color indexed="81"/>
            <rFont val="Tahoma"/>
            <family val="2"/>
          </rPr>
          <t>Freeman J:</t>
        </r>
        <r>
          <rPr>
            <sz val="9"/>
            <color indexed="81"/>
            <rFont val="Tahoma"/>
            <family val="2"/>
          </rPr>
          <t xml:space="preserve">
Material absolute roughness factor (mm) - ε</t>
        </r>
      </text>
    </comment>
    <comment ref="R34" authorId="0" shapeId="0" xr:uid="{DC609BE8-B069-4CC1-A307-7D2B95E47A62}">
      <text>
        <r>
          <rPr>
            <b/>
            <sz val="9"/>
            <color indexed="81"/>
            <rFont val="Tahoma"/>
            <family val="2"/>
          </rPr>
          <t>Freeman J:</t>
        </r>
        <r>
          <rPr>
            <sz val="9"/>
            <color indexed="81"/>
            <rFont val="Tahoma"/>
            <family val="2"/>
          </rPr>
          <t xml:space="preserve">
</t>
        </r>
        <r>
          <rPr>
            <sz val="8"/>
            <color indexed="81"/>
            <rFont val="Tahoma"/>
            <family val="2"/>
          </rPr>
          <t>Hydraulic diameter (mm) - Dh</t>
        </r>
      </text>
    </comment>
    <comment ref="S34" authorId="0" shapeId="0" xr:uid="{6AB3751A-CEBD-41E4-88D4-AE322A0A9485}">
      <text>
        <r>
          <rPr>
            <b/>
            <sz val="9"/>
            <color indexed="81"/>
            <rFont val="Tahoma"/>
            <family val="2"/>
          </rPr>
          <t>Freeman J:</t>
        </r>
        <r>
          <rPr>
            <sz val="9"/>
            <color indexed="81"/>
            <rFont val="Tahoma"/>
            <family val="2"/>
          </rPr>
          <t xml:space="preserve">
</t>
        </r>
        <r>
          <rPr>
            <sz val="8"/>
            <color indexed="81"/>
            <rFont val="Tahoma"/>
            <family val="2"/>
          </rPr>
          <t>ASHRAE Fundamental 2017: for standard air and temperature between 4 and 38°C, Re can be calculated by Re=66.4 DhV</t>
        </r>
      </text>
    </comment>
    <comment ref="T34" authorId="0" shapeId="0" xr:uid="{518C2027-520D-45F6-A614-8D2793478EC4}">
      <text>
        <r>
          <rPr>
            <b/>
            <sz val="9"/>
            <color indexed="81"/>
            <rFont val="Tahoma"/>
            <family val="2"/>
          </rPr>
          <t>Freeman J:</t>
        </r>
        <r>
          <rPr>
            <sz val="9"/>
            <color indexed="81"/>
            <rFont val="Tahoma"/>
            <family val="2"/>
          </rPr>
          <t xml:space="preserve">
</t>
        </r>
        <r>
          <rPr>
            <sz val="8"/>
            <color indexed="81"/>
            <rFont val="Tahoma"/>
            <family val="2"/>
          </rPr>
          <t>Friction Loss calculation:
Colebrook Equation Approximations
Swamee and Jain Equation (1976)</t>
        </r>
      </text>
    </comment>
    <comment ref="U34" authorId="0" shapeId="0" xr:uid="{4158D003-854F-4143-91FD-AD2D9801708F}">
      <text>
        <r>
          <rPr>
            <b/>
            <sz val="9"/>
            <color indexed="81"/>
            <rFont val="Tahoma"/>
            <family val="2"/>
          </rPr>
          <t>Freeman J:</t>
        </r>
        <r>
          <rPr>
            <sz val="9"/>
            <color indexed="81"/>
            <rFont val="Tahoma"/>
            <family val="2"/>
          </rPr>
          <t xml:space="preserve">
</t>
        </r>
        <r>
          <rPr>
            <sz val="8"/>
            <color indexed="81"/>
            <rFont val="Tahoma"/>
            <family val="2"/>
          </rPr>
          <t>ASHRAE Fundamental 2017: Darcy–Weisbach equation</t>
        </r>
      </text>
    </comment>
    <comment ref="AA34" authorId="0" shapeId="0" xr:uid="{1BCF51EE-3BF6-4C61-98A2-55AF1F6AB759}">
      <text>
        <r>
          <rPr>
            <b/>
            <sz val="9"/>
            <color indexed="81"/>
            <rFont val="Tahoma"/>
            <family val="2"/>
          </rPr>
          <t>Freeman J:</t>
        </r>
        <r>
          <rPr>
            <sz val="9"/>
            <color indexed="81"/>
            <rFont val="Tahoma"/>
            <family val="2"/>
          </rPr>
          <t xml:space="preserve">
Material absolute roughness factor (mm) - ε</t>
        </r>
      </text>
    </comment>
    <comment ref="AB34" authorId="0" shapeId="0" xr:uid="{53B43928-1F65-4AB4-B27C-D81742B8172B}">
      <text>
        <r>
          <rPr>
            <b/>
            <sz val="9"/>
            <color indexed="81"/>
            <rFont val="Tahoma"/>
            <family val="2"/>
          </rPr>
          <t>Freeman J:</t>
        </r>
        <r>
          <rPr>
            <sz val="9"/>
            <color indexed="81"/>
            <rFont val="Tahoma"/>
            <family val="2"/>
          </rPr>
          <t xml:space="preserve">
</t>
        </r>
        <r>
          <rPr>
            <sz val="8"/>
            <color indexed="81"/>
            <rFont val="Tahoma"/>
            <family val="2"/>
          </rPr>
          <t>Hydraulic diameter (mm) - Dh</t>
        </r>
      </text>
    </comment>
    <comment ref="AC34" authorId="0" shapeId="0" xr:uid="{06D6F3E6-C23E-47EA-8774-E0976685108B}">
      <text>
        <r>
          <rPr>
            <b/>
            <sz val="9"/>
            <color indexed="81"/>
            <rFont val="Tahoma"/>
            <family val="2"/>
          </rPr>
          <t>Freeman J:</t>
        </r>
        <r>
          <rPr>
            <sz val="9"/>
            <color indexed="81"/>
            <rFont val="Tahoma"/>
            <family val="2"/>
          </rPr>
          <t xml:space="preserve">
</t>
        </r>
        <r>
          <rPr>
            <sz val="8"/>
            <color indexed="81"/>
            <rFont val="Tahoma"/>
            <family val="2"/>
          </rPr>
          <t>ASHRAE Fundamental 2017: for standard air and temperature between 4 and 38°C, Re can be calculated by Re=66.4 DhV</t>
        </r>
      </text>
    </comment>
    <comment ref="AD34" authorId="0" shapeId="0" xr:uid="{B26A5B64-6C0E-41DA-9E83-B3E1AF81574B}">
      <text>
        <r>
          <rPr>
            <b/>
            <sz val="9"/>
            <color indexed="81"/>
            <rFont val="Tahoma"/>
            <family val="2"/>
          </rPr>
          <t>Freeman J:</t>
        </r>
        <r>
          <rPr>
            <sz val="9"/>
            <color indexed="81"/>
            <rFont val="Tahoma"/>
            <family val="2"/>
          </rPr>
          <t xml:space="preserve">
</t>
        </r>
        <r>
          <rPr>
            <sz val="8"/>
            <color indexed="81"/>
            <rFont val="Tahoma"/>
            <family val="2"/>
          </rPr>
          <t>Friction Loss calculation:
Colebrook Equation Approximations
Swamee and Jain Equation (1976)</t>
        </r>
      </text>
    </comment>
    <comment ref="AE34" authorId="0" shapeId="0" xr:uid="{D71AAB26-1F37-4B64-995C-9D6B0C92B02A}">
      <text>
        <r>
          <rPr>
            <b/>
            <sz val="9"/>
            <color indexed="81"/>
            <rFont val="Tahoma"/>
            <family val="2"/>
          </rPr>
          <t>Freeman J:</t>
        </r>
        <r>
          <rPr>
            <sz val="9"/>
            <color indexed="81"/>
            <rFont val="Tahoma"/>
            <family val="2"/>
          </rPr>
          <t xml:space="preserve">
</t>
        </r>
        <r>
          <rPr>
            <sz val="8"/>
            <color indexed="81"/>
            <rFont val="Tahoma"/>
            <family val="2"/>
          </rPr>
          <t>ASHRAE Fundamental 2017: Darcy–Weisbach equation</t>
        </r>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<sst xmlns="http://schemas.openxmlformats.org/spreadsheetml/2006/main" count="2019" uniqueCount="525">
  <si>
    <t>Vf</t>
  </si>
  <si>
    <t>P</t>
  </si>
  <si>
    <t>H</t>
  </si>
  <si>
    <t>Q</t>
  </si>
  <si>
    <t>L</t>
  </si>
  <si>
    <t xml:space="preserve">Hood Type </t>
  </si>
  <si>
    <t>Cook Type</t>
  </si>
  <si>
    <t>150mm overhange</t>
  </si>
  <si>
    <t>Type 1-4 =</t>
  </si>
  <si>
    <t>Type 5 =</t>
  </si>
  <si>
    <t>G</t>
  </si>
  <si>
    <t>300mm overhange</t>
  </si>
  <si>
    <t>m2</t>
  </si>
  <si>
    <t>NO.</t>
  </si>
  <si>
    <t>NO.</t>
    <phoneticPr fontId="20" type="noConversion"/>
  </si>
  <si>
    <t>System:</t>
  </si>
  <si>
    <t>Level</t>
  </si>
  <si>
    <t>Room Type 1</t>
  </si>
  <si>
    <t>Room Type 2</t>
  </si>
  <si>
    <t>Room Type 3</t>
  </si>
  <si>
    <t>Room Type4</t>
  </si>
  <si>
    <t>Room Type 5</t>
  </si>
  <si>
    <t>Room Type 6</t>
  </si>
  <si>
    <t>Room Type 7</t>
  </si>
  <si>
    <t>Room Type 8</t>
  </si>
  <si>
    <t>Total 
Flow</t>
  </si>
  <si>
    <t>Duct Sizer</t>
  </si>
  <si>
    <t>Room</t>
  </si>
  <si>
    <t>Rate</t>
  </si>
  <si>
    <t>Flow</t>
  </si>
  <si>
    <t>X</t>
  </si>
  <si>
    <t>Y</t>
  </si>
  <si>
    <t>Actu, Velocity</t>
  </si>
  <si>
    <t>L/s</t>
  </si>
  <si>
    <t>m</t>
  </si>
  <si>
    <t>m/s</t>
  </si>
  <si>
    <t>B1</t>
  </si>
  <si>
    <t>Ensuite</t>
  </si>
  <si>
    <t>L1</t>
  </si>
  <si>
    <t>L2</t>
  </si>
  <si>
    <t>Cleaning</t>
  </si>
  <si>
    <t>staff WC</t>
  </si>
  <si>
    <t>TEF-R-6</t>
  </si>
  <si>
    <t>TEF-R-7</t>
  </si>
  <si>
    <t>TEF-R-8</t>
  </si>
  <si>
    <t>TEF-R-9</t>
  </si>
  <si>
    <t>GEF-B-2</t>
  </si>
  <si>
    <t>MSR</t>
  </si>
  <si>
    <t>Room
Name</t>
  </si>
  <si>
    <t>Area</t>
  </si>
  <si>
    <t>Load rate</t>
  </si>
  <si>
    <t>W/m2</t>
  </si>
  <si>
    <t>kW</t>
  </si>
  <si>
    <t>Type 6 =</t>
    <phoneticPr fontId="20" type="noConversion"/>
  </si>
  <si>
    <t>600mm overhange</t>
    <phoneticPr fontId="20" type="noConversion"/>
  </si>
  <si>
    <t>450mm overhange</t>
    <phoneticPr fontId="20" type="noConversion"/>
  </si>
  <si>
    <t>Type 7 =</t>
    <phoneticPr fontId="20" type="noConversion"/>
  </si>
  <si>
    <t>REF.</t>
  </si>
  <si>
    <t>Air
Flow</t>
  </si>
  <si>
    <t>Grille Sizer</t>
  </si>
  <si>
    <t>FCU</t>
  </si>
  <si>
    <t>L/s</t>
    <phoneticPr fontId="21" type="noConversion"/>
  </si>
  <si>
    <t>Air flow</t>
    <phoneticPr fontId="21" type="noConversion"/>
  </si>
  <si>
    <t>CPEF</t>
  </si>
  <si>
    <t>Supply air</t>
  </si>
  <si>
    <t>Exhaust 1</t>
  </si>
  <si>
    <t>Exhaust 2</t>
  </si>
  <si>
    <t>CPSF-2, S</t>
  </si>
  <si>
    <t>CPSF-1, N</t>
  </si>
  <si>
    <t>FPSF-1</t>
  </si>
  <si>
    <t>SAF-G-1</t>
  </si>
  <si>
    <t>Store</t>
  </si>
  <si>
    <t>SAF-G-2</t>
  </si>
  <si>
    <t>GEF-R-1</t>
  </si>
  <si>
    <t>Garbage</t>
  </si>
  <si>
    <t>SAF-G-3</t>
  </si>
  <si>
    <t>Unit</t>
  </si>
  <si>
    <t>Equipment</t>
    <phoneticPr fontId="22" type="noConversion"/>
  </si>
  <si>
    <t>Water</t>
    <phoneticPr fontId="22" type="noConversion"/>
  </si>
  <si>
    <t>Light</t>
    <phoneticPr fontId="22" type="noConversion"/>
  </si>
  <si>
    <t>People</t>
    <phoneticPr fontId="22" type="noConversion"/>
  </si>
  <si>
    <t>O/A=E/A</t>
    <phoneticPr fontId="22" type="noConversion"/>
  </si>
  <si>
    <t>Face Velocity</t>
  </si>
  <si>
    <t>Room/Grille Type 3</t>
  </si>
  <si>
    <t>Room/Grille Type 1</t>
  </si>
  <si>
    <t>Room/Grille Type 2</t>
  </si>
  <si>
    <t>Room/Grille Type 4</t>
  </si>
  <si>
    <t xml:space="preserve">Duct Branch Sizer </t>
  </si>
  <si>
    <t>01</t>
  </si>
  <si>
    <t>02</t>
  </si>
  <si>
    <t>03</t>
  </si>
  <si>
    <t>04</t>
  </si>
  <si>
    <t>05</t>
  </si>
  <si>
    <t>06</t>
  </si>
  <si>
    <t>AC Load Estimation</t>
  </si>
  <si>
    <t>07</t>
  </si>
  <si>
    <t>08</t>
  </si>
  <si>
    <t>Exhaust Hood Flow Rate</t>
  </si>
  <si>
    <t>Table of Content</t>
  </si>
  <si>
    <t>Friction Loss (Pa/m)</t>
  </si>
  <si>
    <t>Duct Width (mm) - a</t>
  </si>
  <si>
    <t>Duct Height (mm) - b</t>
  </si>
  <si>
    <t>Duct Length (m) - L</t>
  </si>
  <si>
    <t>mm</t>
  </si>
  <si>
    <t>m3/s</t>
  </si>
  <si>
    <t>Airflow (l/s) - Q</t>
  </si>
  <si>
    <t>Airflow (m3/s) - Q</t>
  </si>
  <si>
    <t>l/s</t>
  </si>
  <si>
    <t>Pa/m</t>
  </si>
  <si>
    <t>Pa</t>
  </si>
  <si>
    <t>Velocity (m/s) - v</t>
  </si>
  <si>
    <t>Hydraulic diameter (mm) - Dh</t>
  </si>
  <si>
    <t>Equivalent Diameter (mm) - De</t>
  </si>
  <si>
    <r>
      <t xml:space="preserve">Material absolute roughness factor (mm) - </t>
    </r>
    <r>
      <rPr>
        <b/>
        <sz val="12"/>
        <rFont val="Calibri"/>
        <family val="2"/>
        <scheme val="minor"/>
      </rPr>
      <t>ε</t>
    </r>
  </si>
  <si>
    <t>kg/m3</t>
  </si>
  <si>
    <r>
      <t xml:space="preserve">Air density (kg/m3) - </t>
    </r>
    <r>
      <rPr>
        <b/>
        <sz val="10"/>
        <rFont val="Calibri"/>
        <family val="2"/>
      </rPr>
      <t>ρ</t>
    </r>
  </si>
  <si>
    <r>
      <t>ASHRAE Fundemental 2017: for standard air and temperature between 4 and 38</t>
    </r>
    <r>
      <rPr>
        <sz val="10"/>
        <color theme="1"/>
        <rFont val="Calibri"/>
        <family val="2"/>
      </rPr>
      <t xml:space="preserve">°C, Re can be </t>
    </r>
    <r>
      <rPr>
        <sz val="10"/>
        <color theme="1"/>
        <rFont val="Calibri"/>
        <family val="2"/>
        <scheme val="minor"/>
      </rPr>
      <t>calculated by Re=66.4 DhV</t>
    </r>
  </si>
  <si>
    <t>Colebrook Equation Approximations</t>
  </si>
  <si>
    <t>Swamee and Jain Equation (1976)</t>
  </si>
  <si>
    <t>Haaland</t>
  </si>
  <si>
    <t>Haaland (1983)</t>
  </si>
  <si>
    <t>Darcy–Weisbach friction factor - f (Swamee and Jain)</t>
  </si>
  <si>
    <t>Darcy–Weisbach friction factor - f (Haaland)</t>
  </si>
  <si>
    <t>Calcualtion Method</t>
  </si>
  <si>
    <t>Imperical</t>
  </si>
  <si>
    <t>Swamee Jain</t>
  </si>
  <si>
    <r>
      <t>Friction Loss Section (Pa) -</t>
    </r>
    <r>
      <rPr>
        <sz val="10"/>
        <rFont val="Calibri"/>
        <family val="2"/>
      </rPr>
      <t>Δ</t>
    </r>
    <r>
      <rPr>
        <sz val="10"/>
        <rFont val="Calibri"/>
        <family val="2"/>
        <scheme val="minor"/>
      </rPr>
      <t>P</t>
    </r>
  </si>
  <si>
    <t>Reynolds Number</t>
  </si>
  <si>
    <t>Imperical friction loss (Pa/m)</t>
  </si>
  <si>
    <t>Galvanized steel 0.15mm; Ordinary concrete 0.3-1mm</t>
  </si>
  <si>
    <t>Re</t>
  </si>
  <si>
    <r>
      <t>F</t>
    </r>
    <r>
      <rPr>
        <vertAlign val="subscript"/>
        <sz val="10"/>
        <color theme="1"/>
        <rFont val="Arial"/>
        <family val="2"/>
      </rPr>
      <t>d</t>
    </r>
  </si>
  <si>
    <t>ε (mm)</t>
  </si>
  <si>
    <t>Tsai（1989）</t>
  </si>
  <si>
    <t>Tsai</t>
  </si>
  <si>
    <t>Darcy–Weisbach friction factor - f (Tsai)</t>
  </si>
  <si>
    <t>Duct material</t>
  </si>
  <si>
    <t>Galvanised steel</t>
  </si>
  <si>
    <t>Flexible duct</t>
  </si>
  <si>
    <t>Ordinary concrete</t>
  </si>
  <si>
    <t>Coarse concrete</t>
  </si>
  <si>
    <t>Absolute roughness - k - for some common materials</t>
  </si>
  <si>
    <t>Lagged duct</t>
  </si>
  <si>
    <t>Stainless steel</t>
  </si>
  <si>
    <t>Fluid density (kg/m3)</t>
  </si>
  <si>
    <t>Abs. roughness (mm)</t>
  </si>
  <si>
    <t>%</t>
  </si>
  <si>
    <t>Area Ratio</t>
  </si>
  <si>
    <t>Act, Velocity</t>
  </si>
  <si>
    <t>Face velocity</t>
  </si>
  <si>
    <t>ε</t>
  </si>
  <si>
    <t>Fric Loss</t>
  </si>
  <si>
    <t>Revision</t>
  </si>
  <si>
    <t>Date</t>
  </si>
  <si>
    <t>Created by</t>
  </si>
  <si>
    <t>Reviewed by</t>
  </si>
  <si>
    <t>Description</t>
  </si>
  <si>
    <t>1.0</t>
  </si>
  <si>
    <t>prior to 2022</t>
  </si>
  <si>
    <t>Felix Y</t>
  </si>
  <si>
    <t>PCE original template</t>
  </si>
  <si>
    <t>1.1</t>
  </si>
  <si>
    <t>Freeman J</t>
  </si>
  <si>
    <t>1.2</t>
  </si>
  <si>
    <t>'Exhaust Hood' friction loss calculation added</t>
  </si>
  <si>
    <t>'Duct System' friction loss calculation added</t>
  </si>
  <si>
    <t>Ventilation Rate</t>
  </si>
  <si>
    <t>Air Duct System Sizer</t>
  </si>
  <si>
    <t>Examples</t>
  </si>
  <si>
    <t>Toilet</t>
  </si>
  <si>
    <t>Stoage</t>
  </si>
  <si>
    <t>Type</t>
  </si>
  <si>
    <t>Exhaust</t>
  </si>
  <si>
    <t>Supply</t>
  </si>
  <si>
    <t>Gabage room</t>
  </si>
  <si>
    <t>Grease Arrestor</t>
  </si>
  <si>
    <t>Main Switch room</t>
  </si>
  <si>
    <t>Distribuiotn Borad room</t>
  </si>
  <si>
    <t>Lobby/Corridor</t>
  </si>
  <si>
    <t>Plant room</t>
  </si>
  <si>
    <t>Exhaust/Supply</t>
  </si>
  <si>
    <t>Duct Riser Sizer</t>
  </si>
  <si>
    <t>Width</t>
  </si>
  <si>
    <t>Height</t>
  </si>
  <si>
    <t>CU</t>
  </si>
  <si>
    <t>FDYAN50AV1</t>
  </si>
  <si>
    <t>FBA50BAVMA</t>
  </si>
  <si>
    <t>FDYAN60AV1</t>
  </si>
  <si>
    <t>FBA60BAVMA</t>
  </si>
  <si>
    <t>FDYAN71AV1</t>
  </si>
  <si>
    <t>FBA71BVMA</t>
  </si>
  <si>
    <t>FDYAN85AV1</t>
  </si>
  <si>
    <t>FBA85BVMA</t>
  </si>
  <si>
    <t>FDYAN100AV1</t>
  </si>
  <si>
    <t>FBA100BVMA</t>
  </si>
  <si>
    <t>FDYAN125AV1</t>
  </si>
  <si>
    <t>FBA125BVMA</t>
  </si>
  <si>
    <t>FDYAN140AV1</t>
  </si>
  <si>
    <t>FBA140BVMA</t>
  </si>
  <si>
    <t>FDYQN180LCV1</t>
  </si>
  <si>
    <t>FDYQN200LCV1</t>
  </si>
  <si>
    <t>FDYQN250LBV1</t>
  </si>
  <si>
    <t>RXYMQ3AV4A</t>
  </si>
  <si>
    <t>RXYMQ4AV4A</t>
  </si>
  <si>
    <t>RXYMQ5AV4A</t>
  </si>
  <si>
    <t>RXYMQ6AV4A</t>
  </si>
  <si>
    <t>FXMQ20PAVE</t>
  </si>
  <si>
    <t>FXMQ25PAVE</t>
  </si>
  <si>
    <t>FXMQ32PAVE</t>
  </si>
  <si>
    <t>FXMQ40PAVE</t>
  </si>
  <si>
    <t>FXMQ50PAVE</t>
  </si>
  <si>
    <t>FXMQ63PAVE</t>
  </si>
  <si>
    <t>FXMQ80PAVE</t>
  </si>
  <si>
    <t>FXMQ100PAVE</t>
  </si>
  <si>
    <t>FXMQ125PAVE</t>
  </si>
  <si>
    <t>FXMQ140PAVE</t>
  </si>
  <si>
    <t>FXMQ160PV1A</t>
  </si>
  <si>
    <t>FXMQ180PV1A</t>
  </si>
  <si>
    <t>FXMQ200PV1A</t>
  </si>
  <si>
    <t>FXMQ250PV1A</t>
  </si>
  <si>
    <t>Dropper Qty</t>
  </si>
  <si>
    <t>Exhaust∑</t>
  </si>
  <si>
    <t>Flow rate</t>
  </si>
  <si>
    <t>Duct size</t>
  </si>
  <si>
    <t>Velocity</t>
  </si>
  <si>
    <t>Grille size</t>
  </si>
  <si>
    <t>Flex size</t>
  </si>
  <si>
    <t>DN(mm)</t>
  </si>
  <si>
    <t>Split Ducted Standard</t>
  </si>
  <si>
    <t>Model Number</t>
  </si>
  <si>
    <t>Nominal Air Flow (l/s)</t>
  </si>
  <si>
    <t>Nominal Cooling Capacity(kW)</t>
  </si>
  <si>
    <t>Nominal Heating Capacity(kW)</t>
  </si>
  <si>
    <t>CU/FCU</t>
  </si>
  <si>
    <t>Split Ducted Low Profile</t>
  </si>
  <si>
    <t>VRV</t>
  </si>
  <si>
    <t>STANDARD DUCTED TYPE</t>
  </si>
  <si>
    <t>System</t>
  </si>
  <si>
    <t>SPC</t>
  </si>
  <si>
    <t>Diameter</t>
  </si>
  <si>
    <t>Chilled water pipe size</t>
  </si>
  <si>
    <t>Hot water pipe size</t>
  </si>
  <si>
    <t>Condenser water pipe size</t>
  </si>
  <si>
    <t>Chilled</t>
  </si>
  <si>
    <t>chilled_water_pipe</t>
  </si>
  <si>
    <t>hot_water_pipe</t>
  </si>
  <si>
    <t>condenser_water_pipe</t>
  </si>
  <si>
    <t>Flow Rate</t>
  </si>
  <si>
    <t xml:space="preserve">To do:
1. 'AC Load' - add 'Split AC' selection and then check agaisnt room's AC load
2. 'AC Load' - add 'Duct system' and allocate air flow to each room
3. 'AC Load' - add CHW/HHW flow rate (if AC water system is designed)
4. One table per system (group of rooms)
5. 'Exhaust hood' - combine Dropper calculation into the  main table
6. New Tab 'duct and griller sizer' - from separatre file (Felix)
7. 'Plantroom Vent' added. Fire pump room ventilation added
8. Added Pipe Sizing Calculator in '05-Pipe Sizing'
9. Quick Duct Sizing Chart added in '03-Air Duct Sizer'
10. REF - Daikin Equ Sch variables
11. REF- lookup chart variables </t>
  </si>
  <si>
    <t>Flowrate
 (l/s)</t>
  </si>
  <si>
    <t>350</t>
  </si>
  <si>
    <t>209.1</t>
  </si>
  <si>
    <t>VRV IV S</t>
  </si>
  <si>
    <t>Load Calculation</t>
  </si>
  <si>
    <t>Chris P</t>
  </si>
  <si>
    <t xml:space="preserve">Cooling
Load </t>
  </si>
  <si>
    <t xml:space="preserve">Room
Total Cooling </t>
  </si>
  <si>
    <t>Room
Total OA</t>
  </si>
  <si>
    <t>Grille Qty</t>
  </si>
  <si>
    <t>#</t>
  </si>
  <si>
    <t>Grille flowrate</t>
  </si>
  <si>
    <t>TOTAL</t>
  </si>
  <si>
    <t>Total FCU Capacity:</t>
  </si>
  <si>
    <t>Nos. of Grille</t>
  </si>
  <si>
    <t>Fire Pump Plantroom Ventilation</t>
  </si>
  <si>
    <t>REF-Duct Size Chart</t>
  </si>
  <si>
    <t>REF-Pipe Size Chart</t>
  </si>
  <si>
    <t>Water System Sizer (to add)</t>
  </si>
  <si>
    <t>Cooling Load (kW)</t>
  </si>
  <si>
    <t>01-AC Load - equipment/system auto-configuration added. REF-AC Data Sheet merged into 01-AC Load
REF-Duct Size Chart added
REF-Pipe Size Chart - AC Condensate pipe size chart added</t>
  </si>
  <si>
    <t>AC selection</t>
  </si>
  <si>
    <t>Cooling</t>
  </si>
  <si>
    <t>Air Flow</t>
  </si>
  <si>
    <t>VRV CU Selection</t>
  </si>
  <si>
    <t>GRILLE Size</t>
  </si>
  <si>
    <t>Pipe Size Guide</t>
  </si>
  <si>
    <t>Type ID</t>
  </si>
  <si>
    <t>Hot Water</t>
  </si>
  <si>
    <t>Condenser Water</t>
  </si>
  <si>
    <t>ID</t>
  </si>
  <si>
    <t>Parameter</t>
  </si>
  <si>
    <t>Lowest In Range</t>
  </si>
  <si>
    <t>Highest In Range</t>
  </si>
  <si>
    <t>&lt; L/s</t>
  </si>
  <si>
    <t>Main Exhaust Grille</t>
  </si>
  <si>
    <t>Main Supply Grille</t>
  </si>
  <si>
    <t>01-AC Load - simplfied calculation table
REF-Duct Sizer - calculator added
REF- Pipe Size Chart - quick lookup calculator added
04-Exhaust Hood - main exhaust and air intake grille size added</t>
  </si>
  <si>
    <t>Grille Size Rounded</t>
  </si>
  <si>
    <t>Highest Air Flow (l/s)</t>
  </si>
  <si>
    <t>Room Air flow</t>
  </si>
  <si>
    <t>FCU Modle</t>
  </si>
  <si>
    <t>Grille sizing</t>
  </si>
  <si>
    <r>
      <t>W/m</t>
    </r>
    <r>
      <rPr>
        <vertAlign val="superscript"/>
        <sz val="10"/>
        <color theme="1"/>
        <rFont val="Calibri"/>
        <family val="2"/>
        <scheme val="minor"/>
      </rPr>
      <t>2</t>
    </r>
  </si>
  <si>
    <r>
      <t>D</t>
    </r>
    <r>
      <rPr>
        <vertAlign val="subscript"/>
        <sz val="10"/>
        <color theme="1"/>
        <rFont val="Arial"/>
        <family val="2"/>
      </rPr>
      <t>h</t>
    </r>
  </si>
  <si>
    <r>
      <t>F</t>
    </r>
    <r>
      <rPr>
        <vertAlign val="subscript"/>
        <sz val="10"/>
        <color theme="1"/>
        <rFont val="Calibri"/>
        <family val="2"/>
        <scheme val="minor"/>
      </rPr>
      <t>d</t>
    </r>
  </si>
  <si>
    <t xml:space="preserve">Makeup∑ </t>
  </si>
  <si>
    <r>
      <t>D</t>
    </r>
    <r>
      <rPr>
        <vertAlign val="subscript"/>
        <sz val="10"/>
        <color theme="1"/>
        <rFont val="Calibri"/>
        <family val="2"/>
        <scheme val="minor"/>
      </rPr>
      <t>h</t>
    </r>
    <r>
      <rPr>
        <sz val="10"/>
        <color theme="1"/>
        <rFont val="Calibri"/>
        <family val="2"/>
        <scheme val="minor"/>
      </rPr>
      <t>(mm)</t>
    </r>
  </si>
  <si>
    <t>-</t>
  </si>
  <si>
    <t>Chris</t>
  </si>
  <si>
    <t>Made formatting the same, Calibri and size 10
Blue text for manual inputs
Added E. Dh, Re,Fd and Fric Loss in duct sizer
Did not add a calculator in duct sizer, wasn't too sure how you wanted it to be arranged
Altered formula of pipe sizer to match each table
Added in manual calculator, pipe sizer</t>
  </si>
  <si>
    <t>MASONRY Duct Size Table</t>
  </si>
  <si>
    <t>METAL Duct Size Table</t>
  </si>
  <si>
    <t>FLEX Duct Size Table</t>
  </si>
  <si>
    <t>MASONRY Duct Sizer</t>
  </si>
  <si>
    <t>METAL Duct Sizer</t>
  </si>
  <si>
    <t>FLEX Duct Sizer</t>
  </si>
  <si>
    <t>GRILLE Sizer</t>
  </si>
  <si>
    <t>Chilled Water Pipe Size Lookup Table</t>
  </si>
  <si>
    <t>Heating Hot Water Pipe Lookup Table</t>
  </si>
  <si>
    <t>AC Condensate Water Pipe Lookup Table</t>
  </si>
  <si>
    <t>Chilled Water Pipe Sizer</t>
  </si>
  <si>
    <t>Heating Hot Water Pipe Sizer</t>
  </si>
  <si>
    <t>AC Condensate Water Pipe Sizer</t>
  </si>
  <si>
    <t>Functionality Check</t>
  </si>
  <si>
    <t>O/A=E/A</t>
  </si>
  <si>
    <t>People</t>
  </si>
  <si>
    <t>Light</t>
  </si>
  <si>
    <t>Water</t>
  </si>
  <si>
    <t>Equipment</t>
  </si>
  <si>
    <t>TENANCY, AREA 1</t>
  </si>
  <si>
    <t>PLEASE SELECT</t>
  </si>
  <si>
    <t>TENANCY, AREA 2</t>
  </si>
  <si>
    <t>W/m</t>
  </si>
  <si>
    <t>H/m</t>
  </si>
  <si>
    <t>Dia/m</t>
  </si>
  <si>
    <t>WARDROBE TYPE</t>
  </si>
  <si>
    <t>FXDQ20TV1B</t>
  </si>
  <si>
    <t>FXDQ25TV1B</t>
  </si>
  <si>
    <t>FXDQ32TV1B</t>
  </si>
  <si>
    <t>FXDQ40TV1B</t>
  </si>
  <si>
    <t>FXDQ50TV1B</t>
  </si>
  <si>
    <t>FXDQ63TV1B</t>
  </si>
  <si>
    <t>RXYMQ8AV4A</t>
  </si>
  <si>
    <t>RXYMQ9AV4A</t>
  </si>
  <si>
    <t>FDYAN160AV1</t>
  </si>
  <si>
    <t>-Daikin AC Data Sheet listed in Separte Tab 'REF-DATA'
-Wardrobe Type AC data added</t>
  </si>
  <si>
    <t>REF-AC Data</t>
  </si>
  <si>
    <t>2.0</t>
  </si>
  <si>
    <t>Published</t>
  </si>
  <si>
    <t>Pipe Sizer lookup tables updated</t>
  </si>
  <si>
    <t>X or Dia</t>
  </si>
  <si>
    <t>KE Dropper/ MA Flex Sizer</t>
  </si>
  <si>
    <t>Project Number</t>
  </si>
  <si>
    <t>Project Name</t>
  </si>
  <si>
    <t>DESIGN CHECKLIST</t>
  </si>
  <si>
    <t>No.</t>
  </si>
  <si>
    <t>Checking Items</t>
  </si>
  <si>
    <t>First Check</t>
  </si>
  <si>
    <t xml:space="preserve">Second Check </t>
  </si>
  <si>
    <t>Final Check</t>
  </si>
  <si>
    <t>By whom</t>
  </si>
  <si>
    <t>Cooling Load</t>
  </si>
  <si>
    <t>Cooling/Condensate Water Pipe Sizer</t>
  </si>
  <si>
    <t>Cooling/Condensate Water Pipe Lookup Table</t>
  </si>
  <si>
    <t>Check is there any Existing Mechanical drwings with any existing mechanical system provided by clients?</t>
  </si>
  <si>
    <t>Kitchen Design</t>
  </si>
  <si>
    <t>A/C Design</t>
  </si>
  <si>
    <t>Check kitchen make up air and exhaust air fans air flow are correct? Descriptions correct?</t>
  </si>
  <si>
    <t>Date correct?</t>
  </si>
  <si>
    <t>Type of issued? For construction? For Approve? For As-built? etc.</t>
  </si>
  <si>
    <t>Drawing number Correct?</t>
  </si>
  <si>
    <t>Arch/Mech Drawings Setup</t>
  </si>
  <si>
    <t>Check all the description are correct ?</t>
  </si>
  <si>
    <t>One more time to Check all the description are correct?</t>
  </si>
  <si>
    <t>The tenancy address on google map are match project name?</t>
  </si>
  <si>
    <t>The tenancy location shown on drawings are mathc in google map, satellite photos snapshot taken?</t>
  </si>
  <si>
    <t>The project name is not too long? Is the shop name put on?</t>
  </si>
  <si>
    <t>Search tenacy phoho on internet, snapshot/save in the photo folder for reference, how may photos available? Inside, outside, roof?</t>
  </si>
  <si>
    <t>Dishwasher in the tenancy, what type, underbench dishwasher? commercial dishwasher need hood? Hoodless type commercial dishwasher?</t>
  </si>
  <si>
    <t>Check kitchen hood(s) size, correct overhang with right type of cooking?</t>
  </si>
  <si>
    <t>Check kitchen make up  and exhaust air flow for any ductworks, diffusers, flexable ducts and dropper size are corrects?</t>
  </si>
  <si>
    <t>Check the calculation of kitchen make up and exhaust air flow for hoods are corrects?</t>
  </si>
  <si>
    <t>Existing Mechanical drwings put into mech drawings and sketch out properly?</t>
  </si>
  <si>
    <t>Check is there any photo provided by clients? Put important one in the drawings</t>
  </si>
  <si>
    <t>Check is there any 360 photo we taken? Put important one in the drawings with doc's name</t>
  </si>
  <si>
    <t>Did all the kitchen equipment schedule are snap shot and put in the drawings</t>
  </si>
  <si>
    <t xml:space="preserve"> Area calculation done? Check the AC load estimation w/sqm are within the range</t>
  </si>
  <si>
    <t>AC is in the scope of work?</t>
  </si>
  <si>
    <t>Mechanical outside air or natural ventilation?</t>
  </si>
  <si>
    <t>AC grilles design matching the architect RCP drawings?</t>
  </si>
  <si>
    <t xml:space="preserve">A/C Return  type: open ceiling, Egg crate grille or linar bar grille? size correctly? </t>
  </si>
  <si>
    <t>The total supply Air Flow on grilles match FCU supply air?</t>
  </si>
  <si>
    <t>Outside air flow to each FCU shown? match AC load calcualtion?</t>
  </si>
  <si>
    <t xml:space="preserve">A/C supply type: 4 way blow diffuser, linear bar grille or linear slot diffuser (?? slots)? Air flow match AC load calculation? Size correct? </t>
  </si>
  <si>
    <t>Condensate Drain pipe and Tundish provided in drawing?  Drain pipe sized correctly?</t>
  </si>
  <si>
    <t>AC pipe type: Refrigeration pipe, Chiller water pipe or condensing water pipe, sized correctly? Connection schemtic/details shown?</t>
  </si>
  <si>
    <t>Initial setup / Drawing template</t>
  </si>
  <si>
    <t xml:space="preserve">Get right project number? </t>
  </si>
  <si>
    <t>Drawing size correct? Scale is 1:100 or 1:50?</t>
  </si>
  <si>
    <t xml:space="preserve">Access panel for FCU, Fan shown? </t>
  </si>
  <si>
    <t>Type of ceiling: Plasterboard, T bar, Open ceiling or featured ceiling, provided Access panel for fan and exhaust duct ?</t>
  </si>
  <si>
    <t>Prior Issue</t>
  </si>
  <si>
    <t>Used right drawing template? A3 or A1, Restaurant or Office, Class 2 or other class?</t>
  </si>
  <si>
    <t xml:space="preserve">Used latest version Background? Flatten correctly? </t>
  </si>
  <si>
    <t>Need roof layout?</t>
  </si>
  <si>
    <t>Kitchen ventilation scope, table top BBQ(dropper or exhaust at low level), horizontal discharge, KE riser provision, Charcoal, etc</t>
  </si>
  <si>
    <t>Drawing list updated in fee proposal excel?</t>
  </si>
  <si>
    <t>XXX</t>
  </si>
  <si>
    <t>Y/N</t>
  </si>
  <si>
    <t>XXXX</t>
  </si>
  <si>
    <t>AC TYPE, PAC, SPILT OR VRV?</t>
  </si>
  <si>
    <t>Shop 301</t>
  </si>
  <si>
    <t>4300Wx1200D</t>
  </si>
  <si>
    <t>Hood-1</t>
  </si>
  <si>
    <t>Designed Air Flow,L/s</t>
  </si>
  <si>
    <t>Fliter</t>
  </si>
  <si>
    <t>Size X, mm</t>
  </si>
  <si>
    <t>Size Y, mm</t>
  </si>
  <si>
    <t>Velocity point 1</t>
  </si>
  <si>
    <t>Velocity point 2</t>
  </si>
  <si>
    <t>Velocity point 3</t>
  </si>
  <si>
    <t>Velocity point 4</t>
  </si>
  <si>
    <t>Velocity point 5</t>
  </si>
  <si>
    <t>Air Flow, L/s</t>
  </si>
  <si>
    <t xml:space="preserve">SS Filter </t>
  </si>
  <si>
    <t>Total</t>
  </si>
  <si>
    <t>Percentage, %</t>
  </si>
  <si>
    <t>Shop 302</t>
  </si>
  <si>
    <t>2300Wx1150D</t>
  </si>
  <si>
    <t>Hood-2</t>
  </si>
  <si>
    <t>1000Wx1000D</t>
  </si>
  <si>
    <t>Dishwasher hood</t>
  </si>
  <si>
    <t>No filter</t>
  </si>
  <si>
    <t>KITCHEN</t>
  </si>
  <si>
    <t>Adding Design Certificate, Design compliance cert</t>
  </si>
  <si>
    <t>Mechanical Design Certificate</t>
  </si>
  <si>
    <t>Pursuant to the provisions of Clause A5G3 of the National Construction Code 2022, Volume 1.</t>
  </si>
  <si>
    <t>Pursuant to the provisions of Clause A5.2 of the  National Construction Code 2019 Admt 1, Volume 1.</t>
  </si>
  <si>
    <t>I</t>
  </si>
  <si>
    <t>Qing Felix Ye</t>
  </si>
  <si>
    <t>of</t>
  </si>
  <si>
    <t>Premium Consulting Engineers</t>
  </si>
  <si>
    <t>(Appropriately qualified person)</t>
  </si>
  <si>
    <t xml:space="preserve">                                  (Firm)</t>
  </si>
  <si>
    <t>Suite 802, 299 Sussex Street, Sydney NSW 2000</t>
  </si>
  <si>
    <t>(Address)</t>
  </si>
  <si>
    <t xml:space="preserve">Qualifications and experience: </t>
  </si>
  <si>
    <t>Master of HVAC Engineering, Chartered Professional Engineer (MIEAust No.: 3631369);</t>
  </si>
  <si>
    <t>NSW Fair Trading C9 Certifier (Reg No.: BDC04672); and</t>
  </si>
  <si>
    <t>NSW Fair Trading Mechanical Design Practitioner (Reg No.: DEP0000275)</t>
  </si>
  <si>
    <t>Hereby certify:</t>
  </si>
  <si>
    <t xml:space="preserve">That the Mechanical Services Drawings and Specifications have been checked and comply with: </t>
  </si>
  <si>
    <t>•</t>
  </si>
  <si>
    <t>The relevant clauses of the National Construction Code 2022.</t>
  </si>
  <si>
    <t>The relevant clauses of the National Construction Code 2019 Amendment 1.</t>
  </si>
  <si>
    <t>BCA Clause</t>
  </si>
  <si>
    <t>Description (Mechanical)</t>
  </si>
  <si>
    <t>Specification 7(S7C5)</t>
  </si>
  <si>
    <t>Fire Resistance
Fire Hazard Property
Air-handling ductwork</t>
  </si>
  <si>
    <t>Specification C1.10(5)</t>
  </si>
  <si>
    <t>C2D11</t>
  </si>
  <si>
    <t>C1.10(5)</t>
  </si>
  <si>
    <t>C4D10</t>
  </si>
  <si>
    <t>Fire Resistance
Protection of openings
Service penetrations in fire-isolated exits</t>
  </si>
  <si>
    <t>C3.9</t>
  </si>
  <si>
    <t>C4D13</t>
  </si>
  <si>
    <t>Fire resistance
Protection of Openings
Openings in floors and ceilings for services</t>
  </si>
  <si>
    <t>C3.12</t>
  </si>
  <si>
    <t>C4D15</t>
  </si>
  <si>
    <t>Fire resistance
Protection of Openings
Openings for service installations</t>
  </si>
  <si>
    <t>C3.15</t>
  </si>
  <si>
    <t>E2D3</t>
  </si>
  <si>
    <t>Smoke Hazard Management
General requirements
Air Handling Systems</t>
  </si>
  <si>
    <t>E2.2 (a), (b)&amp; (c)</t>
  </si>
  <si>
    <t>F6D6</t>
  </si>
  <si>
    <t>Health and Amenity
Light and Ventilation
Ventilation of rooms</t>
  </si>
  <si>
    <t>F4.5</t>
  </si>
  <si>
    <t>F6D7</t>
  </si>
  <si>
    <t>Health and amenity
Light and ventilation
Natural Ventilation</t>
  </si>
  <si>
    <t>F4.6</t>
  </si>
  <si>
    <t>F6D11</t>
  </si>
  <si>
    <t>Health and Amenity
Light and Ventilation
Carparks</t>
  </si>
  <si>
    <t>F4.11</t>
  </si>
  <si>
    <t>F6D12</t>
  </si>
  <si>
    <t>Health and Amenity
Light and Ventilation
Kitchen local exhaust ventilation</t>
  </si>
  <si>
    <t>F4.12</t>
  </si>
  <si>
    <t>F8D4</t>
  </si>
  <si>
    <t>Health and amenity
Condensation management
Flow rate and discharge of exhaust systems</t>
  </si>
  <si>
    <t>F6.3</t>
  </si>
  <si>
    <t>J5D6</t>
  </si>
  <si>
    <t>Energy Efficiency
Building Sealing
Exhaust Fans</t>
  </si>
  <si>
    <t>J3.5</t>
  </si>
  <si>
    <t>Health and amenity
Condensation Management
Ventilation of roof spaces</t>
  </si>
  <si>
    <t>J6</t>
  </si>
  <si>
    <t xml:space="preserve">Energy Efficiency
Air-conditioning and Ventilation Systems
</t>
  </si>
  <si>
    <t>J5</t>
  </si>
  <si>
    <t>Energy Efficiency
Air-conditioning and Ventilation Systems</t>
  </si>
  <si>
    <t>NSW E2D16</t>
  </si>
  <si>
    <t>Automatic Shutdown</t>
  </si>
  <si>
    <t>The referenced Australian Standards listed in the Building Code of Australia (Schedule 4 Referenced Documents) as follows:</t>
  </si>
  <si>
    <t>Standard</t>
  </si>
  <si>
    <t>AS1668.1:2015</t>
  </si>
  <si>
    <t>The use of ventilation and airconditioning in Buildings
Part 1: Fire and Smoke Control in buildings</t>
  </si>
  <si>
    <t>AS1668.2:2012</t>
  </si>
  <si>
    <t>The use of ventilation and air conditioning in buildings
Part 2: Mechanical ventilation for acceptable indoor-air quality</t>
  </si>
  <si>
    <t>AS1668.4:2012</t>
  </si>
  <si>
    <t>The use of ventilation and air conditioning in buildings
Part 4: Natural ventilation of the buildings</t>
  </si>
  <si>
    <t>4254.1:2012</t>
  </si>
  <si>
    <t>Ductwork for Air-Handling Systems in Buildings - Flexible Duct</t>
  </si>
  <si>
    <t>AS5149.1:2016</t>
  </si>
  <si>
    <t>Refrigerating systems and heat pumps - Safety and environmental requirements
Part 1: Definitions, classification and selection criteria</t>
  </si>
  <si>
    <t>4254.2:2012</t>
  </si>
  <si>
    <t>Ductwork for Air-Handling Systems in Buildings - Rigid Duct</t>
  </si>
  <si>
    <t>AS5149.2:2016</t>
  </si>
  <si>
    <t>Refrigerating systems and heat pumps - Safety and environmental requirements
Part 2: Design, construction, testing, marking and documentation</t>
  </si>
  <si>
    <t>AS3666.1:2011</t>
  </si>
  <si>
    <t>Air-handling and water systems of buildings — Microbial control</t>
  </si>
  <si>
    <t>The following is a schedule of the relevant service design drawings and specifications.</t>
  </si>
  <si>
    <t>Drawing Number</t>
  </si>
  <si>
    <t>Drawing Name</t>
  </si>
  <si>
    <t>Yours faithfully,</t>
  </si>
  <si>
    <t>Name:</t>
  </si>
  <si>
    <t xml:space="preserve">  Qing Ye (Felix)</t>
  </si>
  <si>
    <t xml:space="preserve">Date:  </t>
  </si>
  <si>
    <t>M-000</t>
  </si>
  <si>
    <t>Cover Sheet</t>
  </si>
  <si>
    <t>A</t>
  </si>
  <si>
    <t>M-001</t>
  </si>
  <si>
    <t>Tenancy Level Layout</t>
  </si>
  <si>
    <t>M-002</t>
  </si>
  <si>
    <t>Roof Layout</t>
  </si>
  <si>
    <t>Mechanical Design Compliance Certificate</t>
  </si>
  <si>
    <t>Pursuant to the provisions of Clause A5.2 of the Building Code of Australia Amendament 1, Volume 1.</t>
  </si>
  <si>
    <t>Subject to effective and thorough implementation of advice issued by Premium Consulting Engineers and to the extent that can reasonably be expected based on our inspections of visible work, we confirm our opinion that the works appear to have been undertaken in accordance with the intent of our documentation.</t>
  </si>
  <si>
    <t>The Mechanical system installation on site to date has to the best of our knowledge and belief, confirmed that the works designed and installed have been in accordance with the requirements of the design intent expressed in the design prepared by Premium Consulting Engineers Pty Ltd.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</si>
</sst>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5">
    <numFmt numFmtId="43" formatCode="_-* #,##0.00_-;\-* #,##0.00_-;_-* &quot;-&quot;??_-;_-@_-"/>
    <numFmt numFmtId="164" formatCode="0.00_ "/>
    <numFmt numFmtId="165" formatCode="0_);[Red]\(0\)"/>
    <numFmt numFmtId="166" formatCode="0_ "/>
    <numFmt numFmtId="167" formatCode="0.0"/>
    <numFmt numFmtId="168" formatCode="0.000"/>
    <numFmt numFmtId="169" formatCode="0.00000"/>
    <numFmt numFmtId="170" formatCode="_-* #,##0_-;\-* #,##0_-;_-* &quot;-&quot;??_-;_-@_-"/>
    <numFmt numFmtId="171" formatCode="_-* #,##0.00000_-;\-* #,##0.00000_-;_-* &quot;-&quot;??_-;_-@_-"/>
    <numFmt numFmtId="172" formatCode="0.0000"/>
    <numFmt numFmtId="173" formatCode="yyyy\-mm\-dd;@"/>
    <numFmt numFmtId="174" formatCode="0.0\ &quot;sqm&quot;"/>
    <numFmt numFmtId="175" formatCode="0.0\ &quot;l/s&quot;"/>
    <numFmt numFmtId="176" formatCode="0\ &quot;p&quot;"/>
    <numFmt numFmtId="177" formatCode="0\ &quot;W/sqm&quot;"/>
    <numFmt numFmtId="178" formatCode="0.00\ &quot;kW&quot;"/>
    <numFmt numFmtId="179" formatCode="0.00\ &quot;sqm&quot;"/>
    <numFmt numFmtId="180" formatCode="0\ &quot;sqm&quot;"/>
    <numFmt numFmtId="181" formatCode="0.0\ &quot;kW&quot;"/>
    <numFmt numFmtId="182" formatCode="0\ &quot;l/s&quot;"/>
    <numFmt numFmtId="183" formatCode="0\ &quot;person&quot;"/>
    <numFmt numFmtId="184" formatCode="0\ &quot;Nos.&quot;"/>
    <numFmt numFmtId="185" formatCode="#,##0_ ;\-#,##0\ "/>
    <numFmt numFmtId="186" formatCode="&quot;&lt;&quot;\ 0.00"/>
    <numFmt numFmtId="187" formatCode="[$-C09]d\ mmmm\ yyyy;@"/>
  </numFmts>
  <fonts count="65" x14ac:knownFonts="1">
    <font>
      <sz val="10"/>
      <color theme="1"/>
      <name val="Arial"/>
      <family val="2"/>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9"/>
      <name val="FangSong"/>
      <family val="3"/>
      <charset val="134"/>
    </font>
    <font>
      <sz val="9"/>
      <name val="DengXian"/>
      <family val="3"/>
      <charset val="134"/>
    </font>
    <font>
      <u/>
      <sz val="10"/>
      <color theme="11"/>
      <name val="Arial"/>
      <family val="2"/>
    </font>
    <font>
      <sz val="10"/>
      <color theme="1"/>
      <name val="Arial"/>
      <family val="2"/>
    </font>
    <font>
      <sz val="8"/>
      <name val="Arial"/>
      <family val="2"/>
    </font>
    <font>
      <sz val="10"/>
      <color theme="1"/>
      <name val="Calibri"/>
      <family val="2"/>
      <scheme val="minor"/>
    </font>
    <font>
      <b/>
      <sz val="14"/>
      <color theme="1"/>
      <name val="Calibri"/>
      <family val="2"/>
      <scheme val="minor"/>
    </font>
    <font>
      <sz val="10"/>
      <color rgb="FF000000"/>
      <name val="Arial"/>
      <family val="2"/>
    </font>
    <font>
      <b/>
      <sz val="10"/>
      <name val="Calibri"/>
      <family val="2"/>
    </font>
    <font>
      <b/>
      <sz val="10"/>
      <name val="Calibri"/>
      <family val="2"/>
      <scheme val="minor"/>
    </font>
    <font>
      <sz val="10"/>
      <name val="Calibri"/>
      <family val="2"/>
      <scheme val="minor"/>
    </font>
    <font>
      <b/>
      <sz val="12"/>
      <name val="Calibri"/>
      <family val="2"/>
      <scheme val="minor"/>
    </font>
    <font>
      <sz val="10"/>
      <color rgb="FF0000FF"/>
      <name val="Calibri"/>
      <family val="2"/>
      <scheme val="minor"/>
    </font>
    <font>
      <sz val="10"/>
      <color theme="1"/>
      <name val="Calibri"/>
      <family val="2"/>
    </font>
    <font>
      <sz val="10"/>
      <name val="Calibri"/>
      <family val="2"/>
    </font>
    <font>
      <sz val="9"/>
      <color indexed="81"/>
      <name val="Tahoma"/>
      <family val="2"/>
    </font>
    <font>
      <b/>
      <sz val="9"/>
      <color indexed="81"/>
      <name val="Tahoma"/>
      <family val="2"/>
    </font>
    <font>
      <sz val="8"/>
      <color indexed="81"/>
      <name val="Tahoma"/>
      <family val="2"/>
    </font>
    <font>
      <vertAlign val="subscript"/>
      <sz val="10"/>
      <color theme="1"/>
      <name val="Arial"/>
      <family val="2"/>
    </font>
    <font>
      <sz val="10"/>
      <color theme="3" tint="0.39997558519241921"/>
      <name val="Arial"/>
      <family val="2"/>
    </font>
    <font>
      <b/>
      <sz val="11"/>
      <color theme="1"/>
      <name val="Calibri"/>
      <family val="2"/>
      <scheme val="minor"/>
    </font>
    <font>
      <sz val="10"/>
      <name val="Arial"/>
      <family val="2"/>
    </font>
    <font>
      <sz val="10"/>
      <color theme="4"/>
      <name val="Arial"/>
      <family val="2"/>
    </font>
    <font>
      <b/>
      <sz val="10"/>
      <color theme="1"/>
      <name val="Calibri"/>
      <family val="2"/>
      <scheme val="minor"/>
    </font>
    <font>
      <vertAlign val="superscript"/>
      <sz val="10"/>
      <color theme="1"/>
      <name val="Calibri"/>
      <family val="2"/>
      <scheme val="minor"/>
    </font>
    <font>
      <sz val="10"/>
      <color theme="3" tint="0.39997558519241921"/>
      <name val="Calibri"/>
      <family val="2"/>
      <scheme val="minor"/>
    </font>
    <font>
      <vertAlign val="subscript"/>
      <sz val="10"/>
      <color theme="1"/>
      <name val="Calibri"/>
      <family val="2"/>
      <scheme val="minor"/>
    </font>
    <font>
      <sz val="10"/>
      <color theme="4"/>
      <name val="Calibri"/>
      <family val="2"/>
      <scheme val="minor"/>
    </font>
    <font>
      <b/>
      <sz val="10"/>
      <color theme="3" tint="0.39997558519241921"/>
      <name val="Calibri"/>
      <family val="2"/>
      <scheme val="minor"/>
    </font>
    <font>
      <sz val="11"/>
      <color rgb="FF000000"/>
      <name val="Calibri"/>
      <family val="2"/>
      <scheme val="minor"/>
    </font>
    <font>
      <sz val="10"/>
      <color theme="3"/>
      <name val="Calibri"/>
      <family val="2"/>
      <scheme val="minor"/>
    </font>
    <font>
      <sz val="14"/>
      <color theme="1"/>
      <name val="Calibri"/>
      <family val="2"/>
      <scheme val="minor"/>
    </font>
    <font>
      <b/>
      <sz val="10"/>
      <color theme="4"/>
      <name val="Calibri"/>
      <family val="2"/>
      <scheme val="minor"/>
    </font>
    <font>
      <sz val="10"/>
      <color theme="8" tint="-0.249977111117893"/>
      <name val="Calibri"/>
      <family val="2"/>
      <scheme val="minor"/>
    </font>
    <font>
      <sz val="8"/>
      <name val="Calibri"/>
      <family val="2"/>
      <scheme val="minor"/>
    </font>
    <font>
      <b/>
      <sz val="8"/>
      <name val="Calibri"/>
      <family val="2"/>
      <scheme val="minor"/>
    </font>
    <font>
      <sz val="8"/>
      <color theme="1"/>
      <name val="Calibri"/>
      <family val="2"/>
      <scheme val="minor"/>
    </font>
    <font>
      <b/>
      <sz val="8"/>
      <color theme="1"/>
      <name val="Calibri"/>
      <family val="2"/>
      <scheme val="minor"/>
    </font>
    <font>
      <sz val="8"/>
      <color rgb="FFFF0000"/>
      <name val="Calibri"/>
      <family val="2"/>
      <scheme val="minor"/>
    </font>
    <font>
      <b/>
      <sz val="10"/>
      <color theme="1"/>
      <name val="Arial"/>
      <family val="2"/>
    </font>
    <font>
      <b/>
      <sz val="24"/>
      <color theme="1"/>
      <name val="Calibri"/>
      <family val="2"/>
      <scheme val="minor"/>
    </font>
    <font>
      <b/>
      <sz val="24"/>
      <color theme="1"/>
      <name val="Arial"/>
      <family val="2"/>
    </font>
    <font>
      <b/>
      <sz val="16"/>
      <color theme="1"/>
      <name val="Calibri"/>
      <family val="2"/>
      <scheme val="minor"/>
    </font>
    <font>
      <b/>
      <sz val="12"/>
      <color theme="1"/>
      <name val="Arial"/>
      <family val="2"/>
    </font>
    <font>
      <sz val="12"/>
      <color theme="1"/>
      <name val="Times New Roman"/>
      <family val="1"/>
    </font>
  </fonts>
  <fills count="27">
    <fill>
      <patternFill patternType="none"/>
    </fill>
    <fill>
      <patternFill patternType="gray125"/>
    </fill>
    <fill>
      <patternFill patternType="solid">
        <fgColor theme="9" tint="0.39997558519241921"/>
        <bgColor indexed="64"/>
      </patternFill>
    </fill>
    <fill>
      <patternFill patternType="solid">
        <fgColor rgb="FFFFFF00"/>
        <bgColor indexed="64"/>
      </patternFill>
    </fill>
    <fill>
      <patternFill patternType="solid">
        <fgColor rgb="FF33CCFF"/>
        <bgColor indexed="64"/>
      </patternFill>
    </fill>
    <fill>
      <patternFill patternType="solid">
        <fgColor rgb="FF92D050"/>
        <bgColor indexed="64"/>
      </patternFill>
    </fill>
    <fill>
      <patternFill patternType="solid">
        <fgColor theme="0"/>
        <bgColor indexed="64"/>
      </patternFill>
    </fill>
    <fill>
      <patternFill patternType="solid">
        <fgColor rgb="FFFFFED5"/>
        <bgColor rgb="FFFFFED5"/>
      </patternFill>
    </fill>
    <fill>
      <patternFill patternType="solid">
        <fgColor theme="6" tint="0.59999389629810485"/>
        <bgColor indexed="64"/>
      </patternFill>
    </fill>
    <fill>
      <patternFill patternType="solid">
        <fgColor theme="6" tint="0.59999389629810485"/>
        <bgColor rgb="FFFFFED5"/>
      </patternFill>
    </fill>
    <fill>
      <patternFill patternType="solid">
        <fgColor theme="3" tint="0.79998168889431442"/>
        <bgColor indexed="64"/>
      </patternFill>
    </fill>
    <fill>
      <patternFill patternType="solid">
        <fgColor theme="6" tint="0.39997558519241921"/>
        <bgColor indexed="64"/>
      </patternFill>
    </fill>
    <fill>
      <patternFill patternType="solid">
        <fgColor theme="0" tint="-0.14999847407452621"/>
        <bgColor indexed="64"/>
      </patternFill>
    </fill>
    <fill>
      <patternFill patternType="solid">
        <fgColor theme="0" tint="-0.14999847407452621"/>
        <bgColor theme="9" tint="0.79998168889431442"/>
      </patternFill>
    </fill>
    <fill>
      <patternFill patternType="solid">
        <fgColor theme="9" tint="0.79998168889431442"/>
        <bgColor indexed="64"/>
      </patternFill>
    </fill>
    <fill>
      <patternFill patternType="solid">
        <fgColor theme="4" tint="0.59999389629810485"/>
        <bgColor indexed="64"/>
      </patternFill>
    </fill>
    <fill>
      <patternFill patternType="solid">
        <fgColor theme="3" tint="0.39997558519241921"/>
        <bgColor indexed="64"/>
      </patternFill>
    </fill>
    <fill>
      <patternFill patternType="solid">
        <fgColor theme="5" tint="0.59999389629810485"/>
        <bgColor indexed="64"/>
      </patternFill>
    </fill>
    <fill>
      <patternFill patternType="solid">
        <fgColor theme="7" tint="0.79998168889431442"/>
        <bgColor indexed="64"/>
      </patternFill>
    </fill>
    <fill>
      <patternFill patternType="solid">
        <fgColor theme="4"/>
        <bgColor indexed="64"/>
      </patternFill>
    </fill>
    <fill>
      <patternFill patternType="solid">
        <fgColor theme="9" tint="0.59999389629810485"/>
        <bgColor indexed="64"/>
      </patternFill>
    </fill>
    <fill>
      <patternFill patternType="solid">
        <fgColor rgb="FFFDE9D9"/>
        <bgColor indexed="64"/>
      </patternFill>
    </fill>
    <fill>
      <patternFill patternType="solid">
        <fgColor rgb="FFFFC7CE"/>
        <bgColor indexed="64"/>
      </patternFill>
    </fill>
    <fill>
      <patternFill patternType="solid">
        <fgColor theme="5" tint="0.39997558519241921"/>
        <bgColor indexed="64"/>
      </patternFill>
    </fill>
    <fill>
      <patternFill patternType="solid">
        <fgColor theme="1"/>
        <bgColor indexed="64"/>
      </patternFill>
    </fill>
    <fill>
      <patternFill patternType="solid">
        <fgColor theme="2" tint="-9.9978637043366805E-2"/>
        <bgColor indexed="64"/>
      </patternFill>
    </fill>
    <fill>
      <patternFill patternType="solid">
        <fgColor theme="1" tint="0.499984740745262"/>
        <bgColor indexed="64"/>
      </patternFill>
    </fill>
  </fills>
  <borders count="50">
    <border>
      <left/>
      <right/>
      <top/>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thin">
        <color indexed="64"/>
      </right>
      <top style="medium">
        <color indexed="64"/>
      </top>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double">
        <color indexed="64"/>
      </bottom>
      <diagonal/>
    </border>
    <border>
      <left style="thin">
        <color indexed="64"/>
      </left>
      <right style="thin">
        <color indexed="64"/>
      </right>
      <top style="thin">
        <color indexed="64"/>
      </top>
      <bottom style="double">
        <color indexed="64"/>
      </bottom>
      <diagonal/>
    </border>
    <border>
      <left style="thin">
        <color indexed="64"/>
      </left>
      <right style="medium">
        <color indexed="64"/>
      </right>
      <top style="thin">
        <color indexed="64"/>
      </top>
      <bottom style="double">
        <color indexed="64"/>
      </bottom>
      <diagonal/>
    </border>
    <border>
      <left style="medium">
        <color indexed="64"/>
      </left>
      <right style="thin">
        <color indexed="64"/>
      </right>
      <top/>
      <bottom style="thin">
        <color indexed="64"/>
      </bottom>
      <diagonal/>
    </border>
    <border>
      <left style="thin">
        <color indexed="64"/>
      </left>
      <right style="medium">
        <color indexed="64"/>
      </right>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top style="medium">
        <color indexed="64"/>
      </top>
      <bottom style="medium">
        <color indexed="64"/>
      </bottom>
      <diagonal/>
    </border>
    <border>
      <left style="thin">
        <color indexed="64"/>
      </left>
      <right/>
      <top style="thin">
        <color indexed="64"/>
      </top>
      <bottom style="thin">
        <color indexed="64"/>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medium">
        <color indexed="64"/>
      </left>
      <right/>
      <top/>
      <bottom/>
      <diagonal/>
    </border>
    <border>
      <left/>
      <right style="medium">
        <color indexed="64"/>
      </right>
      <top/>
      <bottom/>
      <diagonal/>
    </border>
    <border>
      <left style="thin">
        <color indexed="64"/>
      </left>
      <right/>
      <top style="medium">
        <color indexed="64"/>
      </top>
      <bottom style="thin">
        <color indexed="64"/>
      </bottom>
      <diagonal/>
    </border>
    <border>
      <left/>
      <right/>
      <top style="medium">
        <color indexed="64"/>
      </top>
      <bottom style="thin">
        <color indexed="64"/>
      </bottom>
      <diagonal/>
    </border>
    <border>
      <left/>
      <right style="medium">
        <color indexed="64"/>
      </right>
      <top style="medium">
        <color indexed="64"/>
      </top>
      <bottom style="thin">
        <color indexed="64"/>
      </bottom>
      <diagonal/>
    </border>
    <border>
      <left style="thin">
        <color indexed="64"/>
      </left>
      <right style="thin">
        <color indexed="64"/>
      </right>
      <top style="thin">
        <color indexed="64"/>
      </top>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medium">
        <color indexed="64"/>
      </left>
      <right style="thin">
        <color indexed="64"/>
      </right>
      <top style="medium">
        <color indexed="64"/>
      </top>
      <bottom/>
      <diagonal/>
    </border>
    <border>
      <left style="thin">
        <color indexed="64"/>
      </left>
      <right/>
      <top/>
      <bottom style="thin">
        <color indexed="64"/>
      </bottom>
      <diagonal/>
    </border>
    <border>
      <left/>
      <right/>
      <top/>
      <bottom style="thin">
        <color indexed="64"/>
      </bottom>
      <diagonal/>
    </border>
    <border>
      <left/>
      <right/>
      <top/>
      <bottom style="double">
        <color indexed="64"/>
      </bottom>
      <diagonal/>
    </border>
    <border>
      <left style="thin">
        <color indexed="64"/>
      </left>
      <right/>
      <top style="thin">
        <color indexed="64"/>
      </top>
      <bottom style="double">
        <color indexed="64"/>
      </bottom>
      <diagonal/>
    </border>
    <border>
      <left style="thin">
        <color indexed="64"/>
      </left>
      <right style="thin">
        <color indexed="64"/>
      </right>
      <top style="double">
        <color indexed="64"/>
      </top>
      <bottom style="thin">
        <color indexed="64"/>
      </bottom>
      <diagonal/>
    </border>
    <border>
      <left style="thin">
        <color indexed="64"/>
      </left>
      <right/>
      <top style="thin">
        <color indexed="64"/>
      </top>
      <bottom/>
      <diagonal/>
    </border>
    <border>
      <left/>
      <right/>
      <top style="thin">
        <color indexed="64"/>
      </top>
      <bottom/>
      <diagonal/>
    </border>
    <border>
      <left/>
      <right/>
      <top/>
      <bottom style="hair">
        <color indexed="64"/>
      </bottom>
      <diagonal/>
    </border>
    <border>
      <left/>
      <right/>
      <top style="hair">
        <color indexed="64"/>
      </top>
      <bottom/>
      <diagonal/>
    </border>
    <border>
      <left/>
      <right/>
      <top style="hair">
        <color indexed="64"/>
      </top>
      <bottom style="hair">
        <color indexed="64"/>
      </bottom>
      <diagonal/>
    </border>
    <border>
      <left/>
      <right style="thin">
        <color indexed="64"/>
      </right>
      <top style="thin">
        <color indexed="64"/>
      </top>
      <bottom/>
      <diagonal/>
    </border>
  </borders>
  <cellStyleXfs count="12">
    <xf numFmtId="0" fontId="0" fillId="0" borderId="0"/>
    <xf numFmtId="0" fontId="19" fillId="0" borderId="0"/>
    <xf numFmtId="0" fontId="17" fillId="0" borderId="0"/>
    <xf numFmtId="43" fontId="23" fillId="0" borderId="0" applyFont="0" applyFill="0" applyBorder="0" applyAlignment="0" applyProtection="0"/>
    <xf numFmtId="0" fontId="27" fillId="0" borderId="0"/>
    <xf numFmtId="9" fontId="23" fillId="0" borderId="0" applyFont="0" applyFill="0" applyBorder="0" applyAlignment="0" applyProtection="0"/>
    <xf numFmtId="0" fontId="15" fillId="0" borderId="0"/>
    <xf numFmtId="0" fontId="41" fillId="0" borderId="0"/>
    <xf numFmtId="0" fontId="10" fillId="0" borderId="0"/>
    <xf numFmtId="0" fontId="7" fillId="0" borderId="0"/>
    <xf numFmtId="0" fontId="3" fillId="0" borderId="0"/>
    <xf numFmtId="0" fontId="2" fillId="0" borderId="0"/>
  </cellStyleXfs>
  <cellXfs count="491">
    <xf numFmtId="0" fontId="0" fillId="0" borderId="0" xfId="0"/>
    <xf numFmtId="0" fontId="19" fillId="0" borderId="0" xfId="1"/>
    <xf numFmtId="0" fontId="19" fillId="0" borderId="2" xfId="1" applyBorder="1"/>
    <xf numFmtId="0" fontId="19" fillId="0" borderId="1" xfId="1" applyBorder="1"/>
    <xf numFmtId="0" fontId="19" fillId="0" borderId="1" xfId="1" applyBorder="1" applyAlignment="1">
      <alignment vertical="center" wrapText="1"/>
    </xf>
    <xf numFmtId="0" fontId="19" fillId="0" borderId="11" xfId="1" applyBorder="1"/>
    <xf numFmtId="0" fontId="19" fillId="0" borderId="13" xfId="1" applyBorder="1"/>
    <xf numFmtId="0" fontId="19" fillId="0" borderId="14" xfId="1" applyBorder="1"/>
    <xf numFmtId="0" fontId="19" fillId="0" borderId="10" xfId="1" applyBorder="1"/>
    <xf numFmtId="0" fontId="19" fillId="0" borderId="16" xfId="1" applyBorder="1"/>
    <xf numFmtId="0" fontId="19" fillId="2" borderId="1" xfId="1" applyFill="1" applyBorder="1"/>
    <xf numFmtId="2" fontId="19" fillId="2" borderId="1" xfId="1" applyNumberFormat="1" applyFill="1" applyBorder="1"/>
    <xf numFmtId="2" fontId="19" fillId="2" borderId="11" xfId="1" applyNumberFormat="1" applyFill="1" applyBorder="1"/>
    <xf numFmtId="0" fontId="19" fillId="2" borderId="18" xfId="1" applyFill="1" applyBorder="1"/>
    <xf numFmtId="2" fontId="19" fillId="2" borderId="19" xfId="1" applyNumberFormat="1" applyFill="1" applyBorder="1"/>
    <xf numFmtId="0" fontId="19" fillId="2" borderId="20" xfId="1" applyFill="1" applyBorder="1"/>
    <xf numFmtId="2" fontId="19" fillId="0" borderId="3" xfId="1" applyNumberFormat="1" applyBorder="1"/>
    <xf numFmtId="2" fontId="19" fillId="0" borderId="4" xfId="1" applyNumberFormat="1" applyBorder="1"/>
    <xf numFmtId="0" fontId="19" fillId="0" borderId="6" xfId="1" applyBorder="1" applyAlignment="1">
      <alignment horizontal="center"/>
    </xf>
    <xf numFmtId="0" fontId="19" fillId="0" borderId="17" xfId="1" applyBorder="1" applyAlignment="1">
      <alignment horizontal="center"/>
    </xf>
    <xf numFmtId="0" fontId="18" fillId="0" borderId="0" xfId="1" applyFont="1"/>
    <xf numFmtId="0" fontId="18" fillId="0" borderId="1" xfId="1" applyFont="1" applyBorder="1"/>
    <xf numFmtId="0" fontId="25" fillId="0" borderId="0" xfId="0" applyFont="1" applyAlignment="1">
      <alignment horizontal="left"/>
    </xf>
    <xf numFmtId="0" fontId="25" fillId="0" borderId="0" xfId="0" applyFont="1"/>
    <xf numFmtId="0" fontId="16" fillId="0" borderId="0" xfId="0" applyFont="1"/>
    <xf numFmtId="0" fontId="16" fillId="0" borderId="0" xfId="0" quotePrefix="1" applyFont="1" applyAlignment="1">
      <alignment horizontal="center"/>
    </xf>
    <xf numFmtId="0" fontId="26" fillId="0" borderId="0" xfId="0" applyFont="1" applyAlignment="1">
      <alignment horizontal="left"/>
    </xf>
    <xf numFmtId="0" fontId="29" fillId="7" borderId="22" xfId="4" applyFont="1" applyFill="1" applyBorder="1" applyAlignment="1">
      <alignment horizontal="left" vertical="center" wrapText="1"/>
    </xf>
    <xf numFmtId="0" fontId="30" fillId="0" borderId="0" xfId="4" quotePrefix="1" applyFont="1" applyAlignment="1">
      <alignment horizontal="center"/>
    </xf>
    <xf numFmtId="0" fontId="30" fillId="0" borderId="0" xfId="4" applyFont="1" applyAlignment="1">
      <alignment horizontal="center"/>
    </xf>
    <xf numFmtId="0" fontId="29" fillId="7" borderId="23" xfId="4" applyFont="1" applyFill="1" applyBorder="1" applyAlignment="1">
      <alignment horizontal="left" vertical="center" wrapText="1"/>
    </xf>
    <xf numFmtId="2" fontId="32" fillId="0" borderId="0" xfId="4" applyNumberFormat="1" applyFont="1"/>
    <xf numFmtId="0" fontId="30" fillId="0" borderId="0" xfId="4" applyFont="1" applyAlignment="1">
      <alignment horizontal="right"/>
    </xf>
    <xf numFmtId="167" fontId="30" fillId="0" borderId="0" xfId="4" applyNumberFormat="1" applyFont="1" applyAlignment="1">
      <alignment horizontal="right"/>
    </xf>
    <xf numFmtId="170" fontId="30" fillId="0" borderId="0" xfId="3" applyNumberFormat="1" applyFont="1" applyAlignment="1">
      <alignment horizontal="right"/>
    </xf>
    <xf numFmtId="2" fontId="30" fillId="0" borderId="0" xfId="4" applyNumberFormat="1" applyFont="1" applyAlignment="1">
      <alignment horizontal="right"/>
    </xf>
    <xf numFmtId="168" fontId="30" fillId="0" borderId="0" xfId="4" applyNumberFormat="1" applyFont="1" applyAlignment="1">
      <alignment horizontal="right"/>
    </xf>
    <xf numFmtId="0" fontId="25" fillId="8" borderId="0" xfId="0" applyFont="1" applyFill="1"/>
    <xf numFmtId="169" fontId="32" fillId="0" borderId="0" xfId="4" applyNumberFormat="1" applyFont="1" applyAlignment="1">
      <alignment horizontal="right"/>
    </xf>
    <xf numFmtId="0" fontId="30" fillId="9" borderId="22" xfId="4" applyFont="1" applyFill="1" applyBorder="1" applyAlignment="1">
      <alignment horizontal="left" vertical="center" wrapText="1"/>
    </xf>
    <xf numFmtId="167" fontId="32" fillId="0" borderId="0" xfId="4" applyNumberFormat="1" applyFont="1" applyAlignment="1">
      <alignment horizontal="right"/>
    </xf>
    <xf numFmtId="168" fontId="32" fillId="0" borderId="0" xfId="4" applyNumberFormat="1" applyFont="1"/>
    <xf numFmtId="0" fontId="40" fillId="0" borderId="0" xfId="6" applyFont="1"/>
    <xf numFmtId="0" fontId="40" fillId="0" borderId="0" xfId="6" applyFont="1" applyAlignment="1">
      <alignment horizontal="center"/>
    </xf>
    <xf numFmtId="0" fontId="15" fillId="0" borderId="0" xfId="6"/>
    <xf numFmtId="0" fontId="15" fillId="0" borderId="0" xfId="6" quotePrefix="1" applyAlignment="1">
      <alignment horizontal="center"/>
    </xf>
    <xf numFmtId="0" fontId="15" fillId="0" borderId="0" xfId="6" applyAlignment="1">
      <alignment horizontal="center"/>
    </xf>
    <xf numFmtId="173" fontId="15" fillId="0" borderId="0" xfId="6" applyNumberFormat="1" applyAlignment="1">
      <alignment horizontal="center"/>
    </xf>
    <xf numFmtId="0" fontId="15" fillId="0" borderId="0" xfId="6" quotePrefix="1"/>
    <xf numFmtId="0" fontId="14" fillId="0" borderId="0" xfId="0" applyFont="1"/>
    <xf numFmtId="0" fontId="15" fillId="0" borderId="0" xfId="6" quotePrefix="1" applyAlignment="1">
      <alignment horizontal="center" vertical="top"/>
    </xf>
    <xf numFmtId="173" fontId="15" fillId="0" borderId="0" xfId="6" applyNumberFormat="1" applyAlignment="1">
      <alignment horizontal="center" vertical="top"/>
    </xf>
    <xf numFmtId="0" fontId="13" fillId="0" borderId="0" xfId="6" quotePrefix="1" applyFont="1" applyAlignment="1">
      <alignment vertical="top" wrapText="1"/>
    </xf>
    <xf numFmtId="0" fontId="12" fillId="0" borderId="0" xfId="6" applyFont="1" applyAlignment="1">
      <alignment horizontal="center" vertical="top"/>
    </xf>
    <xf numFmtId="0" fontId="42" fillId="0" borderId="1" xfId="0" applyFont="1" applyBorder="1" applyAlignment="1">
      <alignment horizontal="center"/>
    </xf>
    <xf numFmtId="0" fontId="11" fillId="0" borderId="0" xfId="6" applyFont="1" applyAlignment="1">
      <alignment wrapText="1"/>
    </xf>
    <xf numFmtId="0" fontId="11" fillId="0" borderId="0" xfId="0" applyFont="1"/>
    <xf numFmtId="0" fontId="10" fillId="0" borderId="0" xfId="6" applyFont="1" applyAlignment="1">
      <alignment wrapText="1"/>
    </xf>
    <xf numFmtId="0" fontId="10" fillId="0" borderId="0" xfId="6" applyFont="1" applyAlignment="1">
      <alignment horizontal="center" vertical="top"/>
    </xf>
    <xf numFmtId="0" fontId="25" fillId="0" borderId="0" xfId="0" applyFont="1" applyAlignment="1">
      <alignment horizontal="center" vertical="center"/>
    </xf>
    <xf numFmtId="0" fontId="25" fillId="0" borderId="0" xfId="0" applyFont="1" applyAlignment="1">
      <alignment horizontal="right" vertical="center"/>
    </xf>
    <xf numFmtId="2" fontId="25" fillId="0" borderId="0" xfId="0" applyNumberFormat="1" applyFont="1" applyAlignment="1">
      <alignment horizontal="center" vertical="center"/>
    </xf>
    <xf numFmtId="1" fontId="25" fillId="0" borderId="0" xfId="0" applyNumberFormat="1" applyFont="1" applyAlignment="1">
      <alignment horizontal="center" vertical="center"/>
    </xf>
    <xf numFmtId="1" fontId="25" fillId="0" borderId="0" xfId="0" applyNumberFormat="1" applyFont="1"/>
    <xf numFmtId="0" fontId="25" fillId="0" borderId="0" xfId="0" applyFont="1" applyAlignment="1">
      <alignment horizontal="center"/>
    </xf>
    <xf numFmtId="0" fontId="30" fillId="12" borderId="1" xfId="0" applyFont="1" applyFill="1" applyBorder="1" applyAlignment="1">
      <alignment horizontal="center"/>
    </xf>
    <xf numFmtId="0" fontId="30" fillId="0" borderId="1" xfId="0" applyFont="1" applyBorder="1"/>
    <xf numFmtId="0" fontId="43" fillId="0" borderId="1" xfId="0" applyFont="1" applyBorder="1" applyAlignment="1">
      <alignment horizontal="center" vertical="center" wrapText="1"/>
    </xf>
    <xf numFmtId="2" fontId="25" fillId="0" borderId="1" xfId="0" applyNumberFormat="1" applyFont="1" applyBorder="1" applyAlignment="1">
      <alignment horizontal="center"/>
    </xf>
    <xf numFmtId="0" fontId="25" fillId="0" borderId="1" xfId="0" applyFont="1" applyBorder="1"/>
    <xf numFmtId="0" fontId="25" fillId="0" borderId="1" xfId="0" applyFont="1" applyBorder="1" applyAlignment="1">
      <alignment horizontal="right"/>
    </xf>
    <xf numFmtId="0" fontId="25" fillId="0" borderId="1" xfId="0" applyFont="1" applyBorder="1" applyAlignment="1">
      <alignment horizontal="center"/>
    </xf>
    <xf numFmtId="0" fontId="25" fillId="0" borderId="10" xfId="0" applyFont="1" applyBorder="1"/>
    <xf numFmtId="175" fontId="25" fillId="0" borderId="1" xfId="0" applyNumberFormat="1" applyFont="1" applyBorder="1"/>
    <xf numFmtId="2" fontId="25" fillId="0" borderId="0" xfId="0" applyNumberFormat="1" applyFont="1"/>
    <xf numFmtId="0" fontId="25" fillId="0" borderId="9" xfId="0" applyFont="1" applyBorder="1"/>
    <xf numFmtId="167" fontId="25" fillId="0" borderId="1" xfId="0" applyNumberFormat="1" applyFont="1" applyBorder="1"/>
    <xf numFmtId="167" fontId="25" fillId="0" borderId="1" xfId="0" applyNumberFormat="1" applyFont="1" applyBorder="1" applyAlignment="1">
      <alignment horizontal="right"/>
    </xf>
    <xf numFmtId="3" fontId="30" fillId="13" borderId="1" xfId="0" applyNumberFormat="1" applyFont="1" applyFill="1" applyBorder="1" applyAlignment="1">
      <alignment horizontal="center"/>
    </xf>
    <xf numFmtId="3" fontId="30" fillId="12" borderId="1" xfId="0" applyNumberFormat="1" applyFont="1" applyFill="1" applyBorder="1" applyAlignment="1">
      <alignment horizontal="center"/>
    </xf>
    <xf numFmtId="3" fontId="30" fillId="12" borderId="1" xfId="0" applyNumberFormat="1" applyFont="1" applyFill="1" applyBorder="1" applyAlignment="1">
      <alignment vertical="center"/>
    </xf>
    <xf numFmtId="0" fontId="25" fillId="0" borderId="30" xfId="0" applyFont="1" applyBorder="1"/>
    <xf numFmtId="2" fontId="25" fillId="0" borderId="0" xfId="0" applyNumberFormat="1" applyFont="1" applyAlignment="1">
      <alignment horizontal="center"/>
    </xf>
    <xf numFmtId="0" fontId="25" fillId="0" borderId="15" xfId="0" applyFont="1" applyBorder="1"/>
    <xf numFmtId="167" fontId="25" fillId="0" borderId="10" xfId="0" applyNumberFormat="1" applyFont="1" applyBorder="1"/>
    <xf numFmtId="167" fontId="25" fillId="0" borderId="10" xfId="0" applyNumberFormat="1" applyFont="1" applyBorder="1" applyAlignment="1">
      <alignment horizontal="right"/>
    </xf>
    <xf numFmtId="2" fontId="25" fillId="0" borderId="10" xfId="0" applyNumberFormat="1" applyFont="1" applyBorder="1" applyAlignment="1">
      <alignment horizontal="center"/>
    </xf>
    <xf numFmtId="167" fontId="25" fillId="0" borderId="1" xfId="0" applyNumberFormat="1" applyFont="1" applyBorder="1" applyAlignment="1">
      <alignment horizontal="center"/>
    </xf>
    <xf numFmtId="1" fontId="25" fillId="0" borderId="1" xfId="0" applyNumberFormat="1" applyFont="1" applyBorder="1"/>
    <xf numFmtId="0" fontId="39" fillId="0" borderId="1" xfId="0" applyFont="1" applyBorder="1"/>
    <xf numFmtId="0" fontId="42" fillId="14" borderId="1" xfId="0" applyFont="1" applyFill="1" applyBorder="1" applyAlignment="1">
      <alignment horizontal="center"/>
    </xf>
    <xf numFmtId="9" fontId="42" fillId="14" borderId="1" xfId="5" applyFont="1" applyFill="1" applyBorder="1" applyAlignment="1">
      <alignment horizontal="center"/>
    </xf>
    <xf numFmtId="1" fontId="25" fillId="0" borderId="1" xfId="0" applyNumberFormat="1" applyFont="1" applyBorder="1" applyAlignment="1">
      <alignment horizontal="center"/>
    </xf>
    <xf numFmtId="3" fontId="30" fillId="12" borderId="1" xfId="0" applyNumberFormat="1" applyFont="1" applyFill="1" applyBorder="1" applyAlignment="1">
      <alignment horizontal="center" vertical="center"/>
    </xf>
    <xf numFmtId="0" fontId="25" fillId="14" borderId="1" xfId="0" applyFont="1" applyFill="1" applyBorder="1" applyAlignment="1">
      <alignment horizontal="center" vertical="center" wrapText="1"/>
    </xf>
    <xf numFmtId="0" fontId="25" fillId="14" borderId="1" xfId="0" applyFont="1" applyFill="1" applyBorder="1" applyAlignment="1">
      <alignment horizontal="center" vertical="center"/>
    </xf>
    <xf numFmtId="0" fontId="25" fillId="14" borderId="1" xfId="0" applyFont="1" applyFill="1" applyBorder="1" applyAlignment="1">
      <alignment horizontal="right" vertical="center"/>
    </xf>
    <xf numFmtId="2" fontId="25" fillId="14" borderId="1" xfId="0" applyNumberFormat="1" applyFont="1" applyFill="1" applyBorder="1" applyAlignment="1">
      <alignment horizontal="center" vertical="center" wrapText="1"/>
    </xf>
    <xf numFmtId="0" fontId="43" fillId="0" borderId="1" xfId="0" applyFont="1" applyBorder="1"/>
    <xf numFmtId="0" fontId="25" fillId="0" borderId="0" xfId="2" applyFont="1"/>
    <xf numFmtId="0" fontId="23" fillId="0" borderId="0" xfId="0" applyFont="1"/>
    <xf numFmtId="0" fontId="25" fillId="0" borderId="0" xfId="2" applyFont="1" applyAlignment="1">
      <alignment horizontal="center"/>
    </xf>
    <xf numFmtId="0" fontId="23" fillId="0" borderId="1" xfId="0" applyFont="1" applyBorder="1"/>
    <xf numFmtId="0" fontId="23" fillId="10" borderId="1" xfId="0" applyFont="1" applyFill="1" applyBorder="1"/>
    <xf numFmtId="0" fontId="23" fillId="0" borderId="21" xfId="0" applyFont="1" applyBorder="1"/>
    <xf numFmtId="0" fontId="23" fillId="0" borderId="1" xfId="0" applyFont="1" applyBorder="1" applyAlignment="1">
      <alignment horizontal="center"/>
    </xf>
    <xf numFmtId="0" fontId="23" fillId="10" borderId="1" xfId="0" applyFont="1" applyFill="1" applyBorder="1" applyAlignment="1">
      <alignment horizontal="left"/>
    </xf>
    <xf numFmtId="0" fontId="23" fillId="10" borderId="21" xfId="0" applyFont="1" applyFill="1" applyBorder="1"/>
    <xf numFmtId="168" fontId="23" fillId="0" borderId="1" xfId="0" applyNumberFormat="1" applyFont="1" applyBorder="1"/>
    <xf numFmtId="0" fontId="25" fillId="0" borderId="1" xfId="2" applyFont="1" applyBorder="1"/>
    <xf numFmtId="0" fontId="25" fillId="0" borderId="1" xfId="2" applyFont="1" applyBorder="1" applyAlignment="1">
      <alignment horizontal="center"/>
    </xf>
    <xf numFmtId="0" fontId="25" fillId="0" borderId="1" xfId="2" applyFont="1" applyBorder="1" applyAlignment="1">
      <alignment horizontal="center" vertical="center" wrapText="1"/>
    </xf>
    <xf numFmtId="0" fontId="25" fillId="14" borderId="1" xfId="2" applyFont="1" applyFill="1" applyBorder="1"/>
    <xf numFmtId="2" fontId="25" fillId="14" borderId="1" xfId="2" applyNumberFormat="1" applyFont="1" applyFill="1" applyBorder="1"/>
    <xf numFmtId="172" fontId="23" fillId="14" borderId="1" xfId="0" applyNumberFormat="1" applyFont="1" applyFill="1" applyBorder="1" applyAlignment="1">
      <alignment horizontal="right"/>
    </xf>
    <xf numFmtId="167" fontId="23" fillId="14" borderId="1" xfId="0" applyNumberFormat="1" applyFont="1" applyFill="1" applyBorder="1" applyAlignment="1">
      <alignment horizontal="right"/>
    </xf>
    <xf numFmtId="170" fontId="23" fillId="14" borderId="1" xfId="3" applyNumberFormat="1" applyFont="1" applyFill="1" applyBorder="1" applyAlignment="1">
      <alignment horizontal="right"/>
    </xf>
    <xf numFmtId="171" fontId="23" fillId="14" borderId="1" xfId="3" applyNumberFormat="1" applyFont="1" applyFill="1" applyBorder="1" applyAlignment="1">
      <alignment horizontal="right"/>
    </xf>
    <xf numFmtId="2" fontId="23" fillId="14" borderId="1" xfId="0" applyNumberFormat="1" applyFont="1" applyFill="1" applyBorder="1" applyAlignment="1">
      <alignment horizontal="right"/>
    </xf>
    <xf numFmtId="2" fontId="25" fillId="14" borderId="1" xfId="2" applyNumberFormat="1" applyFont="1" applyFill="1" applyBorder="1" applyAlignment="1">
      <alignment horizontal="right"/>
    </xf>
    <xf numFmtId="0" fontId="25" fillId="14" borderId="0" xfId="2" applyFont="1" applyFill="1"/>
    <xf numFmtId="165" fontId="23" fillId="14" borderId="1" xfId="0" applyNumberFormat="1" applyFont="1" applyFill="1" applyBorder="1" applyAlignment="1">
      <alignment horizontal="center"/>
    </xf>
    <xf numFmtId="2" fontId="23" fillId="14" borderId="1" xfId="0" applyNumberFormat="1" applyFont="1" applyFill="1" applyBorder="1" applyAlignment="1">
      <alignment horizontal="center"/>
    </xf>
    <xf numFmtId="0" fontId="45" fillId="0" borderId="1" xfId="2" applyFont="1" applyBorder="1" applyAlignment="1">
      <alignment horizontal="center"/>
    </xf>
    <xf numFmtId="0" fontId="45" fillId="0" borderId="1" xfId="2" applyFont="1" applyBorder="1"/>
    <xf numFmtId="165" fontId="23" fillId="0" borderId="1" xfId="0" applyNumberFormat="1" applyFont="1" applyBorder="1" applyAlignment="1">
      <alignment horizontal="center"/>
    </xf>
    <xf numFmtId="0" fontId="25" fillId="0" borderId="24" xfId="0" applyFont="1" applyBorder="1"/>
    <xf numFmtId="0" fontId="25" fillId="0" borderId="25" xfId="0" applyFont="1" applyBorder="1"/>
    <xf numFmtId="0" fontId="25" fillId="10" borderId="25" xfId="0" applyFont="1" applyFill="1" applyBorder="1"/>
    <xf numFmtId="0" fontId="25" fillId="0" borderId="26" xfId="0" applyFont="1" applyBorder="1"/>
    <xf numFmtId="0" fontId="25" fillId="10" borderId="0" xfId="0" applyFont="1" applyFill="1" applyAlignment="1">
      <alignment horizontal="left"/>
    </xf>
    <xf numFmtId="0" fontId="25" fillId="10" borderId="31" xfId="0" applyFont="1" applyFill="1" applyBorder="1"/>
    <xf numFmtId="0" fontId="25" fillId="0" borderId="27" xfId="0" applyFont="1" applyBorder="1"/>
    <xf numFmtId="0" fontId="25" fillId="0" borderId="28" xfId="0" applyFont="1" applyBorder="1"/>
    <xf numFmtId="168" fontId="25" fillId="0" borderId="28" xfId="0" applyNumberFormat="1" applyFont="1" applyBorder="1"/>
    <xf numFmtId="0" fontId="25" fillId="0" borderId="29" xfId="0" applyFont="1" applyBorder="1"/>
    <xf numFmtId="0" fontId="25" fillId="0" borderId="25" xfId="0" applyFont="1" applyBorder="1" applyAlignment="1">
      <alignment horizontal="center"/>
    </xf>
    <xf numFmtId="0" fontId="25" fillId="0" borderId="31" xfId="0" applyFont="1" applyBorder="1"/>
    <xf numFmtId="168" fontId="25" fillId="0" borderId="0" xfId="0" applyNumberFormat="1" applyFont="1"/>
    <xf numFmtId="0" fontId="25" fillId="0" borderId="5" xfId="0" applyFont="1" applyBorder="1"/>
    <xf numFmtId="0" fontId="25" fillId="0" borderId="6" xfId="0" applyFont="1" applyBorder="1"/>
    <xf numFmtId="0" fontId="25" fillId="0" borderId="8" xfId="0" applyFont="1" applyBorder="1"/>
    <xf numFmtId="0" fontId="25" fillId="0" borderId="11" xfId="0" applyFont="1" applyBorder="1"/>
    <xf numFmtId="0" fontId="25" fillId="0" borderId="17" xfId="0" applyFont="1" applyBorder="1"/>
    <xf numFmtId="0" fontId="25" fillId="0" borderId="18" xfId="0" applyFont="1" applyBorder="1"/>
    <xf numFmtId="0" fontId="25" fillId="0" borderId="19" xfId="0" applyFont="1" applyBorder="1"/>
    <xf numFmtId="0" fontId="25" fillId="0" borderId="1" xfId="0" applyFont="1" applyBorder="1" applyAlignment="1">
      <alignment horizontal="center" vertical="center" wrapText="1"/>
    </xf>
    <xf numFmtId="0" fontId="25" fillId="0" borderId="10" xfId="0" applyFont="1" applyBorder="1" applyAlignment="1">
      <alignment horizontal="center" vertical="center" wrapText="1"/>
    </xf>
    <xf numFmtId="0" fontId="25" fillId="0" borderId="10" xfId="0" applyFont="1" applyBorder="1" applyAlignment="1">
      <alignment horizontal="center"/>
    </xf>
    <xf numFmtId="0" fontId="25" fillId="0" borderId="16" xfId="0" applyFont="1" applyBorder="1" applyAlignment="1">
      <alignment horizontal="center"/>
    </xf>
    <xf numFmtId="0" fontId="25" fillId="0" borderId="18" xfId="0" applyFont="1" applyBorder="1" applyAlignment="1">
      <alignment horizontal="center"/>
    </xf>
    <xf numFmtId="0" fontId="25" fillId="0" borderId="19" xfId="0" applyFont="1" applyBorder="1" applyAlignment="1">
      <alignment horizontal="center"/>
    </xf>
    <xf numFmtId="0" fontId="43" fillId="0" borderId="1" xfId="0" applyFont="1" applyBorder="1" applyAlignment="1">
      <alignment horizontal="center"/>
    </xf>
    <xf numFmtId="166" fontId="25" fillId="0" borderId="1" xfId="0" applyNumberFormat="1" applyFont="1" applyBorder="1"/>
    <xf numFmtId="164" fontId="47" fillId="0" borderId="1" xfId="0" applyNumberFormat="1" applyFont="1" applyBorder="1"/>
    <xf numFmtId="164" fontId="25" fillId="0" borderId="1" xfId="0" applyNumberFormat="1" applyFont="1" applyBorder="1" applyAlignment="1">
      <alignment horizontal="center"/>
    </xf>
    <xf numFmtId="0" fontId="45" fillId="0" borderId="0" xfId="0" applyFont="1"/>
    <xf numFmtId="165" fontId="25" fillId="0" borderId="1" xfId="0" applyNumberFormat="1" applyFont="1" applyBorder="1"/>
    <xf numFmtId="0" fontId="47" fillId="0" borderId="1" xfId="0" applyFont="1" applyBorder="1"/>
    <xf numFmtId="14" fontId="25" fillId="0" borderId="1" xfId="0" applyNumberFormat="1" applyFont="1" applyBorder="1" applyAlignment="1">
      <alignment horizontal="center"/>
    </xf>
    <xf numFmtId="164" fontId="47" fillId="6" borderId="1" xfId="0" applyNumberFormat="1" applyFont="1" applyFill="1" applyBorder="1"/>
    <xf numFmtId="0" fontId="25" fillId="0" borderId="0" xfId="0" applyFont="1" applyAlignment="1">
      <alignment horizontal="right"/>
    </xf>
    <xf numFmtId="170" fontId="25" fillId="0" borderId="1" xfId="3" applyNumberFormat="1" applyFont="1" applyFill="1" applyBorder="1"/>
    <xf numFmtId="2" fontId="47" fillId="0" borderId="1" xfId="0" applyNumberFormat="1" applyFont="1" applyBorder="1"/>
    <xf numFmtId="9" fontId="47" fillId="0" borderId="1" xfId="5" applyFont="1" applyFill="1" applyBorder="1"/>
    <xf numFmtId="172" fontId="25" fillId="0" borderId="1" xfId="0" applyNumberFormat="1" applyFont="1" applyBorder="1" applyAlignment="1">
      <alignment horizontal="right"/>
    </xf>
    <xf numFmtId="170" fontId="25" fillId="0" borderId="1" xfId="3" applyNumberFormat="1" applyFont="1" applyFill="1" applyBorder="1" applyAlignment="1">
      <alignment horizontal="center"/>
    </xf>
    <xf numFmtId="171" fontId="25" fillId="0" borderId="1" xfId="3" applyNumberFormat="1" applyFont="1" applyFill="1" applyBorder="1" applyAlignment="1">
      <alignment horizontal="center"/>
    </xf>
    <xf numFmtId="172" fontId="25" fillId="0" borderId="1" xfId="0" applyNumberFormat="1" applyFont="1" applyBorder="1" applyAlignment="1">
      <alignment horizontal="center"/>
    </xf>
    <xf numFmtId="0" fontId="25" fillId="0" borderId="0" xfId="8" applyFont="1" applyAlignment="1">
      <alignment horizontal="center"/>
    </xf>
    <xf numFmtId="0" fontId="25" fillId="0" borderId="0" xfId="8" applyFont="1"/>
    <xf numFmtId="0" fontId="33" fillId="0" borderId="0" xfId="8" applyFont="1" applyAlignment="1">
      <alignment horizontal="left" vertical="center" wrapText="1"/>
    </xf>
    <xf numFmtId="0" fontId="25" fillId="0" borderId="1" xfId="8" applyFont="1" applyBorder="1"/>
    <xf numFmtId="2" fontId="25" fillId="0" borderId="0" xfId="8" applyNumberFormat="1" applyFont="1"/>
    <xf numFmtId="0" fontId="25" fillId="0" borderId="1" xfId="8" applyFont="1" applyBorder="1" applyAlignment="1">
      <alignment horizontal="center"/>
    </xf>
    <xf numFmtId="0" fontId="9" fillId="0" borderId="1" xfId="0" applyFont="1" applyBorder="1" applyAlignment="1">
      <alignment vertical="center"/>
    </xf>
    <xf numFmtId="0" fontId="9" fillId="0" borderId="1" xfId="0" applyFont="1" applyBorder="1" applyAlignment="1">
      <alignment horizontal="center" vertical="center"/>
    </xf>
    <xf numFmtId="0" fontId="43" fillId="0" borderId="0" xfId="0" applyFont="1"/>
    <xf numFmtId="0" fontId="48" fillId="0" borderId="0" xfId="0" applyFont="1" applyAlignment="1">
      <alignment horizontal="center"/>
    </xf>
    <xf numFmtId="0" fontId="43" fillId="0" borderId="0" xfId="0" applyFont="1" applyAlignment="1">
      <alignment horizontal="center"/>
    </xf>
    <xf numFmtId="49" fontId="9" fillId="0" borderId="1" xfId="0" applyNumberFormat="1" applyFont="1" applyBorder="1" applyAlignment="1">
      <alignment horizontal="center" vertical="center"/>
    </xf>
    <xf numFmtId="49" fontId="25" fillId="0" borderId="1" xfId="0" applyNumberFormat="1" applyFont="1" applyBorder="1" applyAlignment="1">
      <alignment horizontal="center"/>
    </xf>
    <xf numFmtId="49" fontId="49" fillId="0" borderId="1" xfId="0" applyNumberFormat="1" applyFont="1" applyBorder="1" applyAlignment="1">
      <alignment horizontal="center" vertical="center"/>
    </xf>
    <xf numFmtId="0" fontId="43" fillId="0" borderId="1" xfId="0" applyFont="1" applyBorder="1" applyAlignment="1">
      <alignment horizontal="center" vertical="center"/>
    </xf>
    <xf numFmtId="170" fontId="25" fillId="0" borderId="1" xfId="3" applyNumberFormat="1" applyFont="1" applyBorder="1" applyAlignment="1">
      <alignment horizontal="center"/>
    </xf>
    <xf numFmtId="0" fontId="49" fillId="0" borderId="1" xfId="0" applyFont="1" applyBorder="1" applyAlignment="1">
      <alignment horizontal="center" vertical="center"/>
    </xf>
    <xf numFmtId="0" fontId="9" fillId="0" borderId="0" xfId="2" applyFont="1"/>
    <xf numFmtId="0" fontId="9" fillId="0" borderId="0" xfId="2" applyFont="1" applyAlignment="1">
      <alignment horizontal="center"/>
    </xf>
    <xf numFmtId="0" fontId="45" fillId="2" borderId="1" xfId="0" applyFont="1" applyFill="1" applyBorder="1"/>
    <xf numFmtId="2" fontId="25" fillId="0" borderId="1" xfId="8" applyNumberFormat="1" applyFont="1" applyBorder="1"/>
    <xf numFmtId="1" fontId="25" fillId="0" borderId="0" xfId="8" applyNumberFormat="1" applyFont="1"/>
    <xf numFmtId="0" fontId="50" fillId="0" borderId="1" xfId="8" applyFont="1" applyBorder="1"/>
    <xf numFmtId="1" fontId="50" fillId="0" borderId="1" xfId="8" applyNumberFormat="1" applyFont="1" applyBorder="1"/>
    <xf numFmtId="0" fontId="8" fillId="0" borderId="0" xfId="6" applyFont="1" applyAlignment="1">
      <alignment wrapText="1"/>
    </xf>
    <xf numFmtId="0" fontId="8" fillId="0" borderId="0" xfId="6" applyFont="1" applyAlignment="1">
      <alignment horizontal="center" vertical="top"/>
    </xf>
    <xf numFmtId="9" fontId="47" fillId="0" borderId="1" xfId="0" applyNumberFormat="1" applyFont="1" applyBorder="1"/>
    <xf numFmtId="2" fontId="25" fillId="0" borderId="1" xfId="8" applyNumberFormat="1" applyFont="1" applyBorder="1" applyAlignment="1">
      <alignment horizontal="center"/>
    </xf>
    <xf numFmtId="0" fontId="7" fillId="0" borderId="0" xfId="6" applyFont="1"/>
    <xf numFmtId="9" fontId="43" fillId="0" borderId="0" xfId="5" applyFont="1" applyFill="1" applyBorder="1" applyAlignment="1">
      <alignment horizontal="center"/>
    </xf>
    <xf numFmtId="181" fontId="43" fillId="0" borderId="0" xfId="0" applyNumberFormat="1" applyFont="1" applyAlignment="1">
      <alignment horizontal="center"/>
    </xf>
    <xf numFmtId="0" fontId="25" fillId="0" borderId="41" xfId="0" applyFont="1" applyBorder="1"/>
    <xf numFmtId="1" fontId="25" fillId="0" borderId="41" xfId="0" applyNumberFormat="1" applyFont="1" applyBorder="1"/>
    <xf numFmtId="2" fontId="25" fillId="0" borderId="41" xfId="0" applyNumberFormat="1" applyFont="1" applyBorder="1"/>
    <xf numFmtId="2" fontId="25" fillId="0" borderId="42" xfId="0" applyNumberFormat="1" applyFont="1" applyBorder="1" applyAlignment="1">
      <alignment horizontal="center"/>
    </xf>
    <xf numFmtId="2" fontId="25" fillId="0" borderId="13" xfId="0" applyNumberFormat="1" applyFont="1" applyBorder="1" applyAlignment="1">
      <alignment horizontal="center"/>
    </xf>
    <xf numFmtId="167" fontId="25" fillId="0" borderId="13" xfId="0" applyNumberFormat="1" applyFont="1" applyBorder="1" applyAlignment="1">
      <alignment horizontal="right"/>
    </xf>
    <xf numFmtId="167" fontId="25" fillId="0" borderId="13" xfId="0" applyNumberFormat="1" applyFont="1" applyBorder="1"/>
    <xf numFmtId="0" fontId="25" fillId="0" borderId="12" xfId="0" applyFont="1" applyBorder="1"/>
    <xf numFmtId="167" fontId="25" fillId="0" borderId="0" xfId="0" applyNumberFormat="1" applyFont="1" applyAlignment="1">
      <alignment horizontal="center"/>
    </xf>
    <xf numFmtId="164" fontId="25" fillId="0" borderId="0" xfId="0" applyNumberFormat="1" applyFont="1"/>
    <xf numFmtId="176" fontId="45" fillId="0" borderId="1" xfId="9" applyNumberFormat="1" applyFont="1" applyBorder="1" applyAlignment="1">
      <alignment horizontal="center"/>
    </xf>
    <xf numFmtId="179" fontId="30" fillId="0" borderId="1" xfId="9" applyNumberFormat="1" applyFont="1" applyBorder="1" applyAlignment="1">
      <alignment horizontal="center"/>
    </xf>
    <xf numFmtId="2" fontId="45" fillId="0" borderId="0" xfId="9" applyNumberFormat="1" applyFont="1" applyAlignment="1">
      <alignment horizontal="center"/>
    </xf>
    <xf numFmtId="2" fontId="45" fillId="0" borderId="1" xfId="9" applyNumberFormat="1" applyFont="1" applyBorder="1" applyAlignment="1">
      <alignment horizontal="center"/>
    </xf>
    <xf numFmtId="1" fontId="45" fillId="0" borderId="1" xfId="9" applyNumberFormat="1" applyFont="1" applyBorder="1" applyAlignment="1">
      <alignment horizontal="right"/>
    </xf>
    <xf numFmtId="174" fontId="45" fillId="0" borderId="1" xfId="9" applyNumberFormat="1" applyFont="1" applyBorder="1" applyAlignment="1">
      <alignment horizontal="center"/>
    </xf>
    <xf numFmtId="2" fontId="43" fillId="0" borderId="0" xfId="0" applyNumberFormat="1" applyFont="1" applyAlignment="1">
      <alignment horizontal="center"/>
    </xf>
    <xf numFmtId="167" fontId="43" fillId="0" borderId="0" xfId="0" applyNumberFormat="1" applyFont="1" applyAlignment="1">
      <alignment horizontal="center"/>
    </xf>
    <xf numFmtId="178" fontId="25" fillId="0" borderId="0" xfId="0" applyNumberFormat="1" applyFont="1" applyAlignment="1">
      <alignment horizontal="right"/>
    </xf>
    <xf numFmtId="175" fontId="25" fillId="0" borderId="0" xfId="0" applyNumberFormat="1" applyFont="1" applyAlignment="1">
      <alignment horizontal="right"/>
    </xf>
    <xf numFmtId="178" fontId="25" fillId="0" borderId="0" xfId="0" applyNumberFormat="1" applyFont="1"/>
    <xf numFmtId="2" fontId="43" fillId="0" borderId="0" xfId="0" applyNumberFormat="1" applyFont="1"/>
    <xf numFmtId="9" fontId="25" fillId="0" borderId="0" xfId="5" applyFont="1" applyFill="1" applyBorder="1" applyAlignment="1">
      <alignment horizontal="center"/>
    </xf>
    <xf numFmtId="181" fontId="25" fillId="0" borderId="0" xfId="0" applyNumberFormat="1" applyFont="1" applyAlignment="1">
      <alignment horizontal="center"/>
    </xf>
    <xf numFmtId="182" fontId="25" fillId="0" borderId="0" xfId="0" applyNumberFormat="1" applyFont="1" applyAlignment="1">
      <alignment horizontal="center"/>
    </xf>
    <xf numFmtId="184" fontId="25" fillId="0" borderId="0" xfId="0" applyNumberFormat="1" applyFont="1" applyAlignment="1">
      <alignment horizontal="center"/>
    </xf>
    <xf numFmtId="175" fontId="25" fillId="14" borderId="1" xfId="0" applyNumberFormat="1" applyFont="1" applyFill="1" applyBorder="1" applyAlignment="1">
      <alignment horizontal="center"/>
    </xf>
    <xf numFmtId="178" fontId="25" fillId="14" borderId="1" xfId="0" applyNumberFormat="1" applyFont="1" applyFill="1" applyBorder="1" applyAlignment="1">
      <alignment horizontal="center"/>
    </xf>
    <xf numFmtId="2" fontId="25" fillId="14" borderId="1" xfId="0" applyNumberFormat="1" applyFont="1" applyFill="1" applyBorder="1" applyAlignment="1">
      <alignment horizontal="center"/>
    </xf>
    <xf numFmtId="177" fontId="25" fillId="14" borderId="1" xfId="0" applyNumberFormat="1" applyFont="1" applyFill="1" applyBorder="1" applyAlignment="1">
      <alignment horizontal="right"/>
    </xf>
    <xf numFmtId="174" fontId="25" fillId="14" borderId="1" xfId="0" applyNumberFormat="1" applyFont="1" applyFill="1" applyBorder="1" applyAlignment="1">
      <alignment horizontal="center"/>
    </xf>
    <xf numFmtId="0" fontId="25" fillId="14" borderId="1" xfId="0" applyFont="1" applyFill="1" applyBorder="1"/>
    <xf numFmtId="2" fontId="25" fillId="0" borderId="35" xfId="0" applyNumberFormat="1" applyFont="1" applyBorder="1" applyAlignment="1">
      <alignment horizontal="center"/>
    </xf>
    <xf numFmtId="0" fontId="25" fillId="0" borderId="35" xfId="0" applyFont="1" applyBorder="1" applyAlignment="1">
      <alignment horizontal="right"/>
    </xf>
    <xf numFmtId="175" fontId="25" fillId="0" borderId="35" xfId="0" applyNumberFormat="1" applyFont="1" applyBorder="1"/>
    <xf numFmtId="0" fontId="25" fillId="14" borderId="35" xfId="0" applyFont="1" applyFill="1" applyBorder="1"/>
    <xf numFmtId="0" fontId="25" fillId="14" borderId="9" xfId="0" applyFont="1" applyFill="1" applyBorder="1"/>
    <xf numFmtId="174" fontId="25" fillId="14" borderId="21" xfId="0" applyNumberFormat="1" applyFont="1" applyFill="1" applyBorder="1" applyAlignment="1">
      <alignment horizontal="center"/>
    </xf>
    <xf numFmtId="178" fontId="25" fillId="14" borderId="21" xfId="0" applyNumberFormat="1" applyFont="1" applyFill="1" applyBorder="1" applyAlignment="1">
      <alignment horizontal="center"/>
    </xf>
    <xf numFmtId="0" fontId="45" fillId="2" borderId="9" xfId="0" applyFont="1" applyFill="1" applyBorder="1"/>
    <xf numFmtId="0" fontId="25" fillId="2" borderId="15" xfId="0" applyFont="1" applyFill="1" applyBorder="1"/>
    <xf numFmtId="180" fontId="25" fillId="2" borderId="39" xfId="0" applyNumberFormat="1" applyFont="1" applyFill="1" applyBorder="1" applyAlignment="1">
      <alignment horizontal="center"/>
    </xf>
    <xf numFmtId="177" fontId="25" fillId="2" borderId="10" xfId="0" applyNumberFormat="1" applyFont="1" applyFill="1" applyBorder="1" applyAlignment="1">
      <alignment horizontal="right"/>
    </xf>
    <xf numFmtId="2" fontId="25" fillId="2" borderId="10" xfId="0" applyNumberFormat="1" applyFont="1" applyFill="1" applyBorder="1" applyAlignment="1">
      <alignment horizontal="center"/>
    </xf>
    <xf numFmtId="181" fontId="25" fillId="2" borderId="39" xfId="0" applyNumberFormat="1" applyFont="1" applyFill="1" applyBorder="1" applyAlignment="1">
      <alignment horizontal="center"/>
    </xf>
    <xf numFmtId="0" fontId="47" fillId="14" borderId="1" xfId="0" applyFont="1" applyFill="1" applyBorder="1"/>
    <xf numFmtId="0" fontId="6" fillId="0" borderId="0" xfId="6" applyFont="1" applyAlignment="1">
      <alignment horizontal="center"/>
    </xf>
    <xf numFmtId="0" fontId="25" fillId="0" borderId="41" xfId="0" applyFont="1" applyBorder="1" applyAlignment="1">
      <alignment horizontal="center"/>
    </xf>
    <xf numFmtId="1" fontId="47" fillId="0" borderId="1" xfId="0" applyNumberFormat="1" applyFont="1" applyBorder="1" applyAlignment="1">
      <alignment horizontal="center" vertical="center"/>
    </xf>
    <xf numFmtId="1" fontId="25" fillId="0" borderId="0" xfId="0" applyNumberFormat="1" applyFont="1" applyAlignment="1">
      <alignment horizontal="center"/>
    </xf>
    <xf numFmtId="1" fontId="47" fillId="0" borderId="1" xfId="9" applyNumberFormat="1" applyFont="1" applyBorder="1" applyAlignment="1">
      <alignment horizontal="center"/>
    </xf>
    <xf numFmtId="1" fontId="47" fillId="0" borderId="1" xfId="0" applyNumberFormat="1" applyFont="1" applyBorder="1" applyAlignment="1">
      <alignment horizontal="center"/>
    </xf>
    <xf numFmtId="2" fontId="47" fillId="0" borderId="1" xfId="9" applyNumberFormat="1" applyFont="1" applyBorder="1" applyAlignment="1">
      <alignment horizontal="center"/>
    </xf>
    <xf numFmtId="182" fontId="25" fillId="2" borderId="43" xfId="0" applyNumberFormat="1" applyFont="1" applyFill="1" applyBorder="1" applyAlignment="1">
      <alignment horizontal="center"/>
    </xf>
    <xf numFmtId="183" fontId="25" fillId="2" borderId="1" xfId="0" applyNumberFormat="1" applyFont="1" applyFill="1" applyBorder="1"/>
    <xf numFmtId="185" fontId="25" fillId="0" borderId="1" xfId="3" applyNumberFormat="1" applyFont="1" applyBorder="1" applyAlignment="1">
      <alignment horizontal="center" vertical="center"/>
    </xf>
    <xf numFmtId="2" fontId="23" fillId="0" borderId="1" xfId="0" applyNumberFormat="1" applyFont="1" applyBorder="1"/>
    <xf numFmtId="0" fontId="47" fillId="0" borderId="1" xfId="2" applyFont="1" applyBorder="1" applyAlignment="1">
      <alignment horizontal="center"/>
    </xf>
    <xf numFmtId="0" fontId="39" fillId="0" borderId="1" xfId="0" applyFont="1" applyBorder="1" applyAlignment="1">
      <alignment horizontal="left"/>
    </xf>
    <xf numFmtId="0" fontId="47" fillId="14" borderId="1" xfId="0" applyFont="1" applyFill="1" applyBorder="1" applyAlignment="1">
      <alignment horizontal="center"/>
    </xf>
    <xf numFmtId="1" fontId="25" fillId="14" borderId="1" xfId="0" applyNumberFormat="1" applyFont="1" applyFill="1" applyBorder="1"/>
    <xf numFmtId="166" fontId="25" fillId="14" borderId="1" xfId="0" applyNumberFormat="1" applyFont="1" applyFill="1" applyBorder="1"/>
    <xf numFmtId="2" fontId="47" fillId="14" borderId="1" xfId="0" applyNumberFormat="1" applyFont="1" applyFill="1" applyBorder="1"/>
    <xf numFmtId="172" fontId="25" fillId="14" borderId="1" xfId="0" applyNumberFormat="1" applyFont="1" applyFill="1" applyBorder="1" applyAlignment="1">
      <alignment horizontal="right"/>
    </xf>
    <xf numFmtId="167" fontId="25" fillId="14" borderId="1" xfId="0" applyNumberFormat="1" applyFont="1" applyFill="1" applyBorder="1" applyAlignment="1">
      <alignment horizontal="center"/>
    </xf>
    <xf numFmtId="170" fontId="25" fillId="14" borderId="1" xfId="3" applyNumberFormat="1" applyFont="1" applyFill="1" applyBorder="1" applyAlignment="1">
      <alignment horizontal="center"/>
    </xf>
    <xf numFmtId="171" fontId="25" fillId="14" borderId="1" xfId="3" applyNumberFormat="1" applyFont="1" applyFill="1" applyBorder="1" applyAlignment="1">
      <alignment horizontal="center"/>
    </xf>
    <xf numFmtId="164" fontId="47" fillId="14" borderId="1" xfId="0" applyNumberFormat="1" applyFont="1" applyFill="1" applyBorder="1"/>
    <xf numFmtId="172" fontId="25" fillId="14" borderId="1" xfId="0" applyNumberFormat="1" applyFont="1" applyFill="1" applyBorder="1" applyAlignment="1">
      <alignment horizontal="center"/>
    </xf>
    <xf numFmtId="170" fontId="25" fillId="14" borderId="1" xfId="3" applyNumberFormat="1" applyFont="1" applyFill="1" applyBorder="1"/>
    <xf numFmtId="170" fontId="25" fillId="14" borderId="1" xfId="3" applyNumberFormat="1" applyFont="1" applyFill="1" applyBorder="1" applyAlignment="1">
      <alignment horizontal="right"/>
    </xf>
    <xf numFmtId="2" fontId="25" fillId="14" borderId="1" xfId="0" applyNumberFormat="1" applyFont="1" applyFill="1" applyBorder="1" applyAlignment="1">
      <alignment horizontal="right"/>
    </xf>
    <xf numFmtId="165" fontId="25" fillId="14" borderId="1" xfId="0" applyNumberFormat="1" applyFont="1" applyFill="1" applyBorder="1"/>
    <xf numFmtId="9" fontId="47" fillId="14" borderId="1" xfId="5" applyFont="1" applyFill="1" applyBorder="1"/>
    <xf numFmtId="0" fontId="25" fillId="14" borderId="1" xfId="8" applyFont="1" applyFill="1" applyBorder="1" applyAlignment="1">
      <alignment horizontal="center"/>
    </xf>
    <xf numFmtId="2" fontId="25" fillId="14" borderId="1" xfId="8" applyNumberFormat="1" applyFont="1" applyFill="1" applyBorder="1" applyAlignment="1">
      <alignment horizontal="center"/>
    </xf>
    <xf numFmtId="2" fontId="25" fillId="14" borderId="1" xfId="8" applyNumberFormat="1" applyFont="1" applyFill="1" applyBorder="1"/>
    <xf numFmtId="0" fontId="25" fillId="14" borderId="1" xfId="0" applyFont="1" applyFill="1" applyBorder="1" applyAlignment="1">
      <alignment horizontal="center"/>
    </xf>
    <xf numFmtId="167" fontId="25" fillId="0" borderId="1" xfId="0" applyNumberFormat="1" applyFont="1" applyBorder="1" applyAlignment="1">
      <alignment horizontal="right" indent="1"/>
    </xf>
    <xf numFmtId="0" fontId="31" fillId="19" borderId="1" xfId="0" applyFont="1" applyFill="1" applyBorder="1" applyAlignment="1">
      <alignment horizontal="center"/>
    </xf>
    <xf numFmtId="0" fontId="31" fillId="19" borderId="1" xfId="0" applyFont="1" applyFill="1" applyBorder="1" applyAlignment="1">
      <alignment horizontal="center" vertical="center"/>
    </xf>
    <xf numFmtId="0" fontId="30" fillId="20" borderId="1" xfId="0" applyFont="1" applyFill="1" applyBorder="1" applyAlignment="1">
      <alignment horizontal="center"/>
    </xf>
    <xf numFmtId="0" fontId="30" fillId="20" borderId="1" xfId="0" applyFont="1" applyFill="1" applyBorder="1"/>
    <xf numFmtId="167" fontId="25" fillId="20" borderId="1" xfId="0" applyNumberFormat="1" applyFont="1" applyFill="1" applyBorder="1" applyAlignment="1">
      <alignment horizontal="center"/>
    </xf>
    <xf numFmtId="167" fontId="25" fillId="20" borderId="1" xfId="0" applyNumberFormat="1" applyFont="1" applyFill="1" applyBorder="1"/>
    <xf numFmtId="3" fontId="30" fillId="20" borderId="1" xfId="0" applyNumberFormat="1" applyFont="1" applyFill="1" applyBorder="1" applyAlignment="1">
      <alignment horizontal="center" vertical="center"/>
    </xf>
    <xf numFmtId="185" fontId="25" fillId="20" borderId="1" xfId="3" applyNumberFormat="1" applyFont="1" applyFill="1" applyBorder="1" applyAlignment="1">
      <alignment horizontal="center" vertical="center"/>
    </xf>
    <xf numFmtId="3" fontId="30" fillId="20" borderId="1" xfId="0" applyNumberFormat="1" applyFont="1" applyFill="1" applyBorder="1" applyAlignment="1">
      <alignment horizontal="center"/>
    </xf>
    <xf numFmtId="0" fontId="25" fillId="20" borderId="1" xfId="0" applyFont="1" applyFill="1" applyBorder="1" applyAlignment="1">
      <alignment horizontal="center"/>
    </xf>
    <xf numFmtId="3" fontId="30" fillId="20" borderId="1" xfId="0" applyNumberFormat="1" applyFont="1" applyFill="1" applyBorder="1" applyAlignment="1">
      <alignment vertical="center"/>
    </xf>
    <xf numFmtId="167" fontId="25" fillId="20" borderId="1" xfId="0" applyNumberFormat="1" applyFont="1" applyFill="1" applyBorder="1" applyAlignment="1">
      <alignment horizontal="right" indent="1"/>
    </xf>
    <xf numFmtId="0" fontId="5" fillId="0" borderId="0" xfId="6" quotePrefix="1" applyFont="1" applyAlignment="1">
      <alignment wrapText="1"/>
    </xf>
    <xf numFmtId="0" fontId="5" fillId="0" borderId="0" xfId="0" applyFont="1"/>
    <xf numFmtId="174" fontId="47" fillId="0" borderId="1" xfId="9" applyNumberFormat="1" applyFont="1" applyBorder="1" applyAlignment="1">
      <alignment horizontal="center"/>
    </xf>
    <xf numFmtId="1" fontId="47" fillId="0" borderId="1" xfId="9" applyNumberFormat="1" applyFont="1" applyBorder="1" applyAlignment="1">
      <alignment horizontal="right"/>
    </xf>
    <xf numFmtId="176" fontId="47" fillId="0" borderId="1" xfId="9" applyNumberFormat="1" applyFont="1" applyBorder="1" applyAlignment="1">
      <alignment horizontal="center"/>
    </xf>
    <xf numFmtId="0" fontId="42" fillId="0" borderId="1" xfId="0" applyFont="1" applyBorder="1"/>
    <xf numFmtId="0" fontId="47" fillId="0" borderId="1" xfId="2" applyFont="1" applyBorder="1"/>
    <xf numFmtId="2" fontId="47" fillId="14" borderId="1" xfId="2" applyNumberFormat="1" applyFont="1" applyFill="1" applyBorder="1"/>
    <xf numFmtId="2" fontId="47" fillId="14" borderId="1" xfId="2" applyNumberFormat="1" applyFont="1" applyFill="1" applyBorder="1" applyAlignment="1">
      <alignment horizontal="center"/>
    </xf>
    <xf numFmtId="0" fontId="47" fillId="14" borderId="1" xfId="8" applyFont="1" applyFill="1" applyBorder="1"/>
    <xf numFmtId="2" fontId="47" fillId="14" borderId="1" xfId="8" applyNumberFormat="1" applyFont="1" applyFill="1" applyBorder="1"/>
    <xf numFmtId="0" fontId="47" fillId="0" borderId="1" xfId="8" applyFont="1" applyBorder="1"/>
    <xf numFmtId="2" fontId="47" fillId="0" borderId="1" xfId="8" applyNumberFormat="1" applyFont="1" applyBorder="1"/>
    <xf numFmtId="0" fontId="52" fillId="0" borderId="1" xfId="0" applyFont="1" applyBorder="1" applyAlignment="1">
      <alignment horizontal="center"/>
    </xf>
    <xf numFmtId="0" fontId="52" fillId="14" borderId="1" xfId="0" applyFont="1" applyFill="1" applyBorder="1" applyAlignment="1">
      <alignment horizontal="center"/>
    </xf>
    <xf numFmtId="0" fontId="4" fillId="0" borderId="0" xfId="6" quotePrefix="1" applyFont="1" applyAlignment="1">
      <alignment horizontal="center"/>
    </xf>
    <xf numFmtId="0" fontId="4" fillId="0" borderId="0" xfId="6" applyFont="1"/>
    <xf numFmtId="186" fontId="25" fillId="0" borderId="1" xfId="0" applyNumberFormat="1" applyFont="1" applyBorder="1" applyAlignment="1">
      <alignment horizontal="center"/>
    </xf>
    <xf numFmtId="186" fontId="25" fillId="21" borderId="1" xfId="0" applyNumberFormat="1" applyFont="1" applyFill="1" applyBorder="1" applyAlignment="1">
      <alignment horizontal="center"/>
    </xf>
    <xf numFmtId="170" fontId="25" fillId="0" borderId="1" xfId="3" applyNumberFormat="1" applyFont="1" applyBorder="1" applyAlignment="1">
      <alignment horizontal="right"/>
    </xf>
    <xf numFmtId="0" fontId="25" fillId="14" borderId="1" xfId="0" applyFont="1" applyFill="1" applyBorder="1" applyAlignment="1">
      <alignment horizontal="right"/>
    </xf>
    <xf numFmtId="0" fontId="45" fillId="0" borderId="0" xfId="0" applyFont="1" applyAlignment="1">
      <alignment horizontal="center" vertical="center"/>
    </xf>
    <xf numFmtId="2" fontId="25" fillId="14" borderId="1" xfId="0" applyNumberFormat="1" applyFont="1" applyFill="1" applyBorder="1" applyAlignment="1">
      <alignment horizontal="center" vertical="center"/>
    </xf>
    <xf numFmtId="43" fontId="25" fillId="14" borderId="1" xfId="3" applyFont="1" applyFill="1" applyBorder="1" applyAlignment="1">
      <alignment horizontal="center" vertical="center"/>
    </xf>
    <xf numFmtId="43" fontId="53" fillId="0" borderId="0" xfId="3" applyFont="1" applyAlignment="1">
      <alignment horizontal="center" vertical="center"/>
    </xf>
    <xf numFmtId="2" fontId="53" fillId="0" borderId="0" xfId="0" applyNumberFormat="1" applyFont="1"/>
    <xf numFmtId="2" fontId="53" fillId="0" borderId="0" xfId="0" applyNumberFormat="1" applyFont="1" applyAlignment="1">
      <alignment horizontal="center" vertical="center"/>
    </xf>
    <xf numFmtId="2" fontId="53" fillId="0" borderId="0" xfId="0" applyNumberFormat="1" applyFont="1" applyAlignment="1">
      <alignment horizontal="center"/>
    </xf>
    <xf numFmtId="0" fontId="54" fillId="0" borderId="0" xfId="1" applyFont="1" applyAlignment="1">
      <alignment vertical="top"/>
    </xf>
    <xf numFmtId="0" fontId="55" fillId="0" borderId="0" xfId="0" applyFont="1" applyAlignment="1">
      <alignment horizontal="left" vertical="center"/>
    </xf>
    <xf numFmtId="0" fontId="54" fillId="0" borderId="0" xfId="1" applyFont="1" applyAlignment="1">
      <alignment horizontal="center" vertical="top"/>
    </xf>
    <xf numFmtId="0" fontId="26" fillId="0" borderId="0" xfId="0" applyFont="1" applyProtection="1">
      <protection locked="0"/>
    </xf>
    <xf numFmtId="0" fontId="56" fillId="0" borderId="0" xfId="2" applyFont="1"/>
    <xf numFmtId="0" fontId="56" fillId="0" borderId="0" xfId="2" applyFont="1" applyAlignment="1">
      <alignment vertical="center"/>
    </xf>
    <xf numFmtId="0" fontId="56" fillId="22" borderId="1" xfId="2" applyFont="1" applyFill="1" applyBorder="1" applyAlignment="1">
      <alignment horizontal="center" vertical="center"/>
    </xf>
    <xf numFmtId="0" fontId="56" fillId="18" borderId="1" xfId="2" applyFont="1" applyFill="1" applyBorder="1" applyAlignment="1">
      <alignment horizontal="center" vertical="center"/>
    </xf>
    <xf numFmtId="0" fontId="56" fillId="20" borderId="1" xfId="2" applyFont="1" applyFill="1" applyBorder="1" applyAlignment="1">
      <alignment horizontal="center" vertical="center"/>
    </xf>
    <xf numFmtId="0" fontId="54" fillId="0" borderId="1" xfId="2" applyFont="1" applyBorder="1" applyAlignment="1">
      <alignment horizontal="center" vertical="center"/>
    </xf>
    <xf numFmtId="0" fontId="56" fillId="0" borderId="1" xfId="2" applyFont="1" applyBorder="1" applyAlignment="1">
      <alignment horizontal="left" vertical="center"/>
    </xf>
    <xf numFmtId="0" fontId="56" fillId="0" borderId="1" xfId="2" applyFont="1" applyBorder="1" applyAlignment="1">
      <alignment vertical="center"/>
    </xf>
    <xf numFmtId="0" fontId="54" fillId="0" borderId="1" xfId="2" applyFont="1" applyBorder="1" applyAlignment="1">
      <alignment horizontal="left" vertical="center"/>
    </xf>
    <xf numFmtId="0" fontId="56" fillId="0" borderId="1" xfId="2" applyFont="1" applyBorder="1" applyAlignment="1">
      <alignment horizontal="center" vertical="center"/>
    </xf>
    <xf numFmtId="2" fontId="54" fillId="0" borderId="1" xfId="2" applyNumberFormat="1" applyFont="1" applyBorder="1" applyAlignment="1">
      <alignment horizontal="center" vertical="center"/>
    </xf>
    <xf numFmtId="0" fontId="58" fillId="22" borderId="1" xfId="2" applyFont="1" applyFill="1" applyBorder="1" applyAlignment="1">
      <alignment horizontal="center" vertical="center"/>
    </xf>
    <xf numFmtId="0" fontId="0" fillId="20" borderId="0" xfId="0" applyFill="1"/>
    <xf numFmtId="0" fontId="59" fillId="0" borderId="1" xfId="0" applyFont="1" applyBorder="1" applyAlignment="1">
      <alignment horizontal="center"/>
    </xf>
    <xf numFmtId="0" fontId="0" fillId="0" borderId="1" xfId="0" applyBorder="1" applyAlignment="1">
      <alignment horizontal="center"/>
    </xf>
    <xf numFmtId="0" fontId="0" fillId="0" borderId="21" xfId="0" applyBorder="1"/>
    <xf numFmtId="0" fontId="0" fillId="0" borderId="1" xfId="0" applyBorder="1"/>
    <xf numFmtId="0" fontId="0" fillId="2" borderId="1" xfId="0" applyFill="1" applyBorder="1" applyAlignment="1">
      <alignment horizontal="center"/>
    </xf>
    <xf numFmtId="0" fontId="0" fillId="2" borderId="1" xfId="0" applyFill="1" applyBorder="1"/>
    <xf numFmtId="1" fontId="0" fillId="2" borderId="1" xfId="0" applyNumberFormat="1" applyFill="1" applyBorder="1"/>
    <xf numFmtId="1" fontId="0" fillId="0" borderId="1" xfId="0" applyNumberFormat="1" applyBorder="1"/>
    <xf numFmtId="9" fontId="0" fillId="0" borderId="0" xfId="0" applyNumberFormat="1"/>
    <xf numFmtId="0" fontId="0" fillId="24" borderId="0" xfId="0" applyFill="1"/>
    <xf numFmtId="9" fontId="0" fillId="24" borderId="0" xfId="0" applyNumberFormat="1" applyFill="1"/>
    <xf numFmtId="0" fontId="3" fillId="0" borderId="0" xfId="6" applyFont="1" applyAlignment="1">
      <alignment horizontal="center" vertical="top"/>
    </xf>
    <xf numFmtId="0" fontId="3" fillId="0" borderId="0" xfId="6" applyFont="1"/>
    <xf numFmtId="0" fontId="3" fillId="0" borderId="0" xfId="10"/>
    <xf numFmtId="0" fontId="61" fillId="0" borderId="0" xfId="10" applyFont="1" applyAlignment="1">
      <alignment vertical="center" shrinkToFit="1"/>
    </xf>
    <xf numFmtId="0" fontId="40" fillId="0" borderId="0" xfId="10" applyFont="1"/>
    <xf numFmtId="0" fontId="63" fillId="0" borderId="0" xfId="10" applyFont="1" applyAlignment="1">
      <alignment vertical="top" wrapText="1"/>
    </xf>
    <xf numFmtId="0" fontId="3" fillId="0" borderId="0" xfId="10" applyAlignment="1">
      <alignment horizontal="center"/>
    </xf>
    <xf numFmtId="0" fontId="49" fillId="0" borderId="0" xfId="10" applyFont="1"/>
    <xf numFmtId="0" fontId="3" fillId="0" borderId="0" xfId="10" applyAlignment="1">
      <alignment horizontal="right"/>
    </xf>
    <xf numFmtId="0" fontId="56" fillId="0" borderId="47" xfId="10" applyFont="1" applyBorder="1" applyAlignment="1">
      <alignment vertical="top"/>
    </xf>
    <xf numFmtId="0" fontId="56" fillId="0" borderId="0" xfId="10" applyFont="1" applyAlignment="1">
      <alignment vertical="top"/>
    </xf>
    <xf numFmtId="0" fontId="56" fillId="0" borderId="0" xfId="10" applyFont="1" applyAlignment="1">
      <alignment vertical="center"/>
    </xf>
    <xf numFmtId="0" fontId="3" fillId="0" borderId="46" xfId="10" applyBorder="1" applyAlignment="1">
      <alignment horizontal="left" vertical="top"/>
    </xf>
    <xf numFmtId="0" fontId="3" fillId="0" borderId="46" xfId="10" applyBorder="1" applyAlignment="1">
      <alignment vertical="top"/>
    </xf>
    <xf numFmtId="0" fontId="3" fillId="0" borderId="0" xfId="10" applyAlignment="1">
      <alignment horizontal="left" vertical="top"/>
    </xf>
    <xf numFmtId="0" fontId="3" fillId="0" borderId="48" xfId="10" applyBorder="1"/>
    <xf numFmtId="0" fontId="3" fillId="0" borderId="0" xfId="10" applyAlignment="1">
      <alignment horizontal="left"/>
    </xf>
    <xf numFmtId="0" fontId="3" fillId="0" borderId="0" xfId="10" applyAlignment="1">
      <alignment horizontal="center" vertical="top"/>
    </xf>
    <xf numFmtId="0" fontId="3" fillId="0" borderId="0" xfId="10" applyAlignment="1">
      <alignment vertical="top"/>
    </xf>
    <xf numFmtId="0" fontId="3" fillId="25" borderId="1" xfId="10" applyFill="1" applyBorder="1" applyAlignment="1">
      <alignment horizontal="center" vertical="center"/>
    </xf>
    <xf numFmtId="0" fontId="3" fillId="0" borderId="0" xfId="10" applyAlignment="1">
      <alignment horizontal="left" vertical="top" wrapText="1"/>
    </xf>
    <xf numFmtId="0" fontId="3" fillId="0" borderId="21" xfId="10" applyBorder="1" applyAlignment="1">
      <alignment horizontal="left" vertical="top"/>
    </xf>
    <xf numFmtId="0" fontId="3" fillId="0" borderId="37" xfId="10" applyBorder="1" applyAlignment="1">
      <alignment horizontal="left" vertical="top"/>
    </xf>
    <xf numFmtId="0" fontId="3" fillId="0" borderId="0" xfId="10" applyAlignment="1">
      <alignment horizontal="center" vertical="center"/>
    </xf>
    <xf numFmtId="0" fontId="3" fillId="26" borderId="0" xfId="10" applyFill="1" applyAlignment="1">
      <alignment horizontal="center" vertical="center"/>
    </xf>
    <xf numFmtId="0" fontId="3" fillId="0" borderId="1" xfId="10" applyBorder="1" applyAlignment="1">
      <alignment horizontal="center" vertical="center"/>
    </xf>
    <xf numFmtId="0" fontId="3" fillId="0" borderId="0" xfId="10" applyAlignment="1">
      <alignment vertical="center"/>
    </xf>
    <xf numFmtId="0" fontId="64" fillId="0" borderId="0" xfId="10" applyFont="1" applyAlignment="1">
      <alignment vertical="center"/>
    </xf>
    <xf numFmtId="0" fontId="3" fillId="0" borderId="46" xfId="10" applyBorder="1" applyAlignment="1">
      <alignment horizontal="left"/>
    </xf>
    <xf numFmtId="187" fontId="3" fillId="0" borderId="46" xfId="10" applyNumberFormat="1" applyBorder="1"/>
    <xf numFmtId="0" fontId="3" fillId="3" borderId="1" xfId="10" applyFill="1" applyBorder="1" applyAlignment="1">
      <alignment horizontal="center" vertical="center"/>
    </xf>
    <xf numFmtId="0" fontId="2" fillId="3" borderId="1" xfId="11" applyFill="1" applyBorder="1" applyAlignment="1">
      <alignment horizontal="center" vertical="center"/>
    </xf>
    <xf numFmtId="0" fontId="2" fillId="25" borderId="1" xfId="11" applyFill="1" applyBorder="1" applyAlignment="1">
      <alignment horizontal="center" vertical="center"/>
    </xf>
    <xf numFmtId="0" fontId="2" fillId="6" borderId="1" xfId="11" applyFill="1" applyBorder="1" applyAlignment="1">
      <alignment horizontal="center" vertical="center"/>
    </xf>
    <xf numFmtId="0" fontId="19" fillId="0" borderId="9" xfId="1" applyBorder="1" applyAlignment="1">
      <alignment horizontal="center"/>
    </xf>
    <xf numFmtId="0" fontId="18" fillId="0" borderId="3" xfId="1" applyFont="1" applyBorder="1" applyAlignment="1">
      <alignment horizontal="center"/>
    </xf>
    <xf numFmtId="0" fontId="19" fillId="0" borderId="4" xfId="1" applyBorder="1" applyAlignment="1">
      <alignment horizontal="center"/>
    </xf>
    <xf numFmtId="0" fontId="19" fillId="0" borderId="0" xfId="1" applyAlignment="1">
      <alignment horizontal="center"/>
    </xf>
    <xf numFmtId="0" fontId="19" fillId="0" borderId="7" xfId="1" applyBorder="1" applyAlignment="1">
      <alignment horizontal="center" wrapText="1"/>
    </xf>
    <xf numFmtId="0" fontId="19" fillId="0" borderId="10" xfId="1" applyBorder="1" applyAlignment="1">
      <alignment horizontal="center" wrapText="1"/>
    </xf>
    <xf numFmtId="0" fontId="19" fillId="0" borderId="6" xfId="1" applyBorder="1" applyAlignment="1">
      <alignment horizontal="center" vertical="center" wrapText="1"/>
    </xf>
    <xf numFmtId="0" fontId="19" fillId="0" borderId="8" xfId="1" applyBorder="1" applyAlignment="1">
      <alignment horizontal="center" vertical="center" wrapText="1"/>
    </xf>
    <xf numFmtId="0" fontId="19" fillId="0" borderId="15" xfId="1" applyBorder="1" applyAlignment="1">
      <alignment horizontal="center"/>
    </xf>
    <xf numFmtId="0" fontId="19" fillId="0" borderId="5" xfId="1" applyBorder="1" applyAlignment="1">
      <alignment horizontal="center"/>
    </xf>
    <xf numFmtId="0" fontId="19" fillId="0" borderId="12" xfId="1" applyBorder="1" applyAlignment="1">
      <alignment horizontal="center"/>
    </xf>
    <xf numFmtId="0" fontId="19" fillId="0" borderId="6" xfId="1" applyBorder="1" applyAlignment="1">
      <alignment horizontal="center"/>
    </xf>
    <xf numFmtId="0" fontId="18" fillId="0" borderId="15" xfId="1" applyFont="1" applyBorder="1" applyAlignment="1">
      <alignment horizontal="center"/>
    </xf>
    <xf numFmtId="0" fontId="19" fillId="0" borderId="17" xfId="1" applyBorder="1" applyAlignment="1">
      <alignment horizontal="center"/>
    </xf>
    <xf numFmtId="0" fontId="19" fillId="0" borderId="3" xfId="1" applyBorder="1" applyAlignment="1">
      <alignment horizontal="center"/>
    </xf>
    <xf numFmtId="187" fontId="3" fillId="0" borderId="46" xfId="10" applyNumberFormat="1" applyBorder="1" applyAlignment="1">
      <alignment horizontal="left"/>
    </xf>
    <xf numFmtId="187" fontId="3" fillId="0" borderId="0" xfId="10" applyNumberFormat="1" applyAlignment="1">
      <alignment horizontal="center"/>
    </xf>
    <xf numFmtId="0" fontId="3" fillId="0" borderId="0" xfId="10" applyAlignment="1">
      <alignment horizontal="left" vertical="top"/>
    </xf>
    <xf numFmtId="0" fontId="3" fillId="0" borderId="0" xfId="10" applyAlignment="1">
      <alignment horizontal="left" vertical="top" wrapText="1"/>
    </xf>
    <xf numFmtId="0" fontId="3" fillId="0" borderId="1" xfId="10" applyBorder="1" applyAlignment="1">
      <alignment horizontal="left" vertical="center"/>
    </xf>
    <xf numFmtId="0" fontId="3" fillId="0" borderId="37" xfId="10" applyBorder="1" applyAlignment="1">
      <alignment horizontal="left" vertical="center"/>
    </xf>
    <xf numFmtId="0" fontId="3" fillId="3" borderId="1" xfId="10" applyFill="1" applyBorder="1" applyAlignment="1">
      <alignment horizontal="left" vertical="center"/>
    </xf>
    <xf numFmtId="0" fontId="3" fillId="3" borderId="37" xfId="10" applyFill="1" applyBorder="1" applyAlignment="1">
      <alignment horizontal="left" vertical="center"/>
    </xf>
    <xf numFmtId="0" fontId="3" fillId="0" borderId="1" xfId="10" applyBorder="1" applyAlignment="1">
      <alignment horizontal="left" vertical="top"/>
    </xf>
    <xf numFmtId="0" fontId="3" fillId="0" borderId="1" xfId="10" applyBorder="1" applyAlignment="1">
      <alignment horizontal="left" vertical="top" wrapText="1"/>
    </xf>
    <xf numFmtId="0" fontId="3" fillId="26" borderId="0" xfId="10" applyFill="1" applyAlignment="1">
      <alignment horizontal="center" vertical="center"/>
    </xf>
    <xf numFmtId="0" fontId="3" fillId="25" borderId="1" xfId="10" applyFill="1" applyBorder="1" applyAlignment="1">
      <alignment horizontal="center" vertical="center"/>
    </xf>
    <xf numFmtId="0" fontId="3" fillId="0" borderId="21" xfId="10" applyBorder="1" applyAlignment="1">
      <alignment horizontal="left" vertical="top"/>
    </xf>
    <xf numFmtId="0" fontId="3" fillId="0" borderId="37" xfId="10" applyBorder="1" applyAlignment="1">
      <alignment horizontal="left" vertical="top"/>
    </xf>
    <xf numFmtId="0" fontId="3" fillId="0" borderId="21" xfId="10" applyBorder="1" applyAlignment="1">
      <alignment horizontal="left" vertical="top" wrapText="1"/>
    </xf>
    <xf numFmtId="0" fontId="3" fillId="0" borderId="36" xfId="10" applyBorder="1" applyAlignment="1">
      <alignment horizontal="left" vertical="top" wrapText="1"/>
    </xf>
    <xf numFmtId="0" fontId="3" fillId="0" borderId="37" xfId="10" applyBorder="1" applyAlignment="1">
      <alignment horizontal="left" vertical="top" wrapText="1"/>
    </xf>
    <xf numFmtId="0" fontId="3" fillId="0" borderId="1" xfId="10" applyBorder="1" applyAlignment="1">
      <alignment horizontal="center"/>
    </xf>
    <xf numFmtId="0" fontId="3" fillId="26" borderId="1" xfId="10" applyFill="1" applyBorder="1" applyAlignment="1">
      <alignment horizontal="center" vertical="center"/>
    </xf>
    <xf numFmtId="0" fontId="3" fillId="0" borderId="44" xfId="10" applyBorder="1" applyAlignment="1">
      <alignment horizontal="left" vertical="top"/>
    </xf>
    <xf numFmtId="0" fontId="3" fillId="0" borderId="49" xfId="10" applyBorder="1" applyAlignment="1">
      <alignment horizontal="left" vertical="top"/>
    </xf>
    <xf numFmtId="0" fontId="3" fillId="0" borderId="44" xfId="10" applyBorder="1" applyAlignment="1">
      <alignment horizontal="left" vertical="top" wrapText="1"/>
    </xf>
    <xf numFmtId="0" fontId="3" fillId="0" borderId="45" xfId="10" applyBorder="1" applyAlignment="1">
      <alignment horizontal="left" vertical="top" wrapText="1"/>
    </xf>
    <xf numFmtId="0" fontId="3" fillId="0" borderId="49" xfId="10" applyBorder="1" applyAlignment="1">
      <alignment horizontal="left" vertical="top" wrapText="1"/>
    </xf>
    <xf numFmtId="0" fontId="60" fillId="0" borderId="0" xfId="10" applyFont="1" applyAlignment="1">
      <alignment horizontal="center" vertical="center" shrinkToFit="1"/>
    </xf>
    <xf numFmtId="0" fontId="62" fillId="3" borderId="0" xfId="10" applyFont="1" applyFill="1" applyAlignment="1">
      <alignment horizontal="center" wrapText="1"/>
    </xf>
    <xf numFmtId="0" fontId="3" fillId="26" borderId="0" xfId="10" applyFill="1" applyAlignment="1">
      <alignment horizontal="left" vertical="center"/>
    </xf>
    <xf numFmtId="0" fontId="63" fillId="0" borderId="0" xfId="10" applyFont="1" applyAlignment="1">
      <alignment horizontal="center" vertical="top" wrapText="1"/>
    </xf>
    <xf numFmtId="0" fontId="3" fillId="0" borderId="46" xfId="10" applyBorder="1" applyAlignment="1">
      <alignment horizontal="center"/>
    </xf>
    <xf numFmtId="0" fontId="56" fillId="0" borderId="47" xfId="10" applyFont="1" applyBorder="1" applyAlignment="1">
      <alignment horizontal="center" vertical="top"/>
    </xf>
    <xf numFmtId="0" fontId="56" fillId="0" borderId="47" xfId="10" applyFont="1" applyBorder="1" applyAlignment="1">
      <alignment horizontal="center" vertical="center"/>
    </xf>
    <xf numFmtId="0" fontId="40" fillId="0" borderId="0" xfId="10" applyFont="1" applyAlignment="1">
      <alignment horizontal="left"/>
    </xf>
    <xf numFmtId="0" fontId="3" fillId="0" borderId="0" xfId="10" applyAlignment="1">
      <alignment horizontal="left"/>
    </xf>
    <xf numFmtId="0" fontId="2" fillId="6" borderId="1" xfId="11" applyFill="1" applyBorder="1" applyAlignment="1">
      <alignment horizontal="left" vertical="center"/>
    </xf>
    <xf numFmtId="0" fontId="2" fillId="6" borderId="37" xfId="11" applyFill="1" applyBorder="1" applyAlignment="1">
      <alignment horizontal="left" vertical="center"/>
    </xf>
    <xf numFmtId="0" fontId="1" fillId="0" borderId="0" xfId="10" applyFont="1" applyAlignment="1">
      <alignment horizontal="left" vertical="top" wrapText="1"/>
    </xf>
    <xf numFmtId="0" fontId="2" fillId="3" borderId="1" xfId="11" applyFill="1" applyBorder="1" applyAlignment="1">
      <alignment horizontal="left" vertical="center"/>
    </xf>
    <xf numFmtId="0" fontId="2" fillId="3" borderId="37" xfId="11" applyFill="1" applyBorder="1" applyAlignment="1">
      <alignment horizontal="left" vertical="center"/>
    </xf>
    <xf numFmtId="0" fontId="2" fillId="25" borderId="1" xfId="11" applyFill="1" applyBorder="1" applyAlignment="1">
      <alignment horizontal="center" vertical="center"/>
    </xf>
    <xf numFmtId="0" fontId="52" fillId="2" borderId="44" xfId="0" applyFont="1" applyFill="1" applyBorder="1" applyAlignment="1">
      <alignment horizontal="center"/>
    </xf>
    <xf numFmtId="0" fontId="52" fillId="2" borderId="45" xfId="0" applyFont="1" applyFill="1" applyBorder="1" applyAlignment="1">
      <alignment horizontal="center"/>
    </xf>
    <xf numFmtId="0" fontId="43" fillId="14" borderId="1" xfId="0" applyFont="1" applyFill="1" applyBorder="1" applyAlignment="1">
      <alignment horizontal="center"/>
    </xf>
    <xf numFmtId="0" fontId="45" fillId="0" borderId="1" xfId="2" applyFont="1" applyBorder="1" applyAlignment="1">
      <alignment horizontal="center" vertical="center"/>
    </xf>
    <xf numFmtId="0" fontId="25" fillId="0" borderId="1" xfId="2" applyFont="1" applyBorder="1" applyAlignment="1">
      <alignment horizontal="center" wrapText="1"/>
    </xf>
    <xf numFmtId="0" fontId="25" fillId="3" borderId="1" xfId="2" applyFont="1" applyFill="1" applyBorder="1" applyAlignment="1">
      <alignment horizontal="center" vertical="center" wrapText="1"/>
    </xf>
    <xf numFmtId="0" fontId="47" fillId="0" borderId="1" xfId="2" applyFont="1" applyBorder="1" applyAlignment="1">
      <alignment horizontal="center" vertical="center"/>
    </xf>
    <xf numFmtId="0" fontId="25" fillId="0" borderId="1" xfId="2" applyFont="1" applyBorder="1" applyAlignment="1">
      <alignment horizontal="center"/>
    </xf>
    <xf numFmtId="0" fontId="25" fillId="0" borderId="0" xfId="2" applyFont="1" applyAlignment="1">
      <alignment horizontal="center"/>
    </xf>
    <xf numFmtId="0" fontId="25" fillId="5" borderId="1" xfId="2" applyFont="1" applyFill="1" applyBorder="1" applyAlignment="1">
      <alignment horizontal="center" vertical="center" wrapText="1"/>
    </xf>
    <xf numFmtId="0" fontId="23" fillId="0" borderId="1" xfId="0" applyFont="1" applyBorder="1" applyAlignment="1">
      <alignment horizontal="center" wrapText="1"/>
    </xf>
    <xf numFmtId="0" fontId="23" fillId="4" borderId="1" xfId="0" applyFont="1" applyFill="1" applyBorder="1" applyAlignment="1">
      <alignment horizontal="center" vertical="center" wrapText="1"/>
    </xf>
    <xf numFmtId="0" fontId="59" fillId="0" borderId="1" xfId="0" applyFont="1" applyBorder="1" applyAlignment="1">
      <alignment horizontal="center"/>
    </xf>
    <xf numFmtId="0" fontId="0" fillId="0" borderId="1" xfId="0" applyBorder="1" applyAlignment="1">
      <alignment horizontal="center"/>
    </xf>
    <xf numFmtId="0" fontId="25" fillId="0" borderId="1" xfId="0" applyFont="1" applyBorder="1" applyAlignment="1">
      <alignment horizontal="center" wrapText="1"/>
    </xf>
    <xf numFmtId="0" fontId="25" fillId="0" borderId="1" xfId="0" applyFont="1" applyBorder="1" applyAlignment="1">
      <alignment horizontal="center"/>
    </xf>
    <xf numFmtId="0" fontId="25" fillId="0" borderId="35" xfId="0" applyFont="1" applyBorder="1" applyAlignment="1">
      <alignment horizontal="center" wrapText="1"/>
    </xf>
    <xf numFmtId="0" fontId="25" fillId="0" borderId="10" xfId="0" applyFont="1" applyBorder="1" applyAlignment="1">
      <alignment horizontal="center" wrapText="1"/>
    </xf>
    <xf numFmtId="0" fontId="25" fillId="4" borderId="21" xfId="0" applyFont="1" applyFill="1" applyBorder="1" applyAlignment="1">
      <alignment horizontal="center" vertical="center" wrapText="1"/>
    </xf>
    <xf numFmtId="0" fontId="25" fillId="4" borderId="36" xfId="0" applyFont="1" applyFill="1" applyBorder="1" applyAlignment="1">
      <alignment horizontal="center" vertical="center" wrapText="1"/>
    </xf>
    <xf numFmtId="0" fontId="25" fillId="4" borderId="37" xfId="0" applyFont="1" applyFill="1" applyBorder="1" applyAlignment="1">
      <alignment horizontal="center" vertical="center" wrapText="1"/>
    </xf>
    <xf numFmtId="0" fontId="51" fillId="19" borderId="39" xfId="8" applyFont="1" applyFill="1" applyBorder="1" applyAlignment="1">
      <alignment horizontal="center"/>
    </xf>
    <xf numFmtId="0" fontId="51" fillId="19" borderId="40" xfId="8" applyFont="1" applyFill="1" applyBorder="1" applyAlignment="1">
      <alignment horizontal="center"/>
    </xf>
    <xf numFmtId="0" fontId="25" fillId="0" borderId="21" xfId="8" applyFont="1" applyBorder="1" applyAlignment="1">
      <alignment horizontal="center"/>
    </xf>
    <xf numFmtId="0" fontId="25" fillId="0" borderId="37" xfId="8" applyFont="1" applyBorder="1" applyAlignment="1">
      <alignment horizontal="center"/>
    </xf>
    <xf numFmtId="0" fontId="25" fillId="3" borderId="21" xfId="0" applyFont="1" applyFill="1" applyBorder="1" applyAlignment="1">
      <alignment horizontal="center" vertical="center" wrapText="1"/>
    </xf>
    <xf numFmtId="0" fontId="25" fillId="3" borderId="36" xfId="0" applyFont="1" applyFill="1" applyBorder="1" applyAlignment="1">
      <alignment horizontal="center" vertical="center" wrapText="1"/>
    </xf>
    <xf numFmtId="0" fontId="25" fillId="3" borderId="37" xfId="0" applyFont="1" applyFill="1" applyBorder="1" applyAlignment="1">
      <alignment horizontal="center" vertical="center" wrapText="1"/>
    </xf>
    <xf numFmtId="0" fontId="25" fillId="0" borderId="38" xfId="0" applyFont="1" applyBorder="1" applyAlignment="1">
      <alignment horizontal="center" wrapText="1"/>
    </xf>
    <xf numFmtId="0" fontId="25" fillId="0" borderId="15" xfId="0" applyFont="1" applyBorder="1" applyAlignment="1">
      <alignment horizontal="center" wrapText="1"/>
    </xf>
    <xf numFmtId="0" fontId="25" fillId="0" borderId="7" xfId="0" applyFont="1" applyBorder="1" applyAlignment="1">
      <alignment horizontal="center" wrapText="1"/>
    </xf>
    <xf numFmtId="0" fontId="25" fillId="11" borderId="32" xfId="0" applyFont="1" applyFill="1" applyBorder="1" applyAlignment="1">
      <alignment horizontal="center" vertical="center" wrapText="1"/>
    </xf>
    <xf numFmtId="0" fontId="25" fillId="11" borderId="33" xfId="0" applyFont="1" applyFill="1" applyBorder="1" applyAlignment="1">
      <alignment horizontal="center" vertical="center" wrapText="1"/>
    </xf>
    <xf numFmtId="0" fontId="25" fillId="11" borderId="34" xfId="0" applyFont="1" applyFill="1" applyBorder="1" applyAlignment="1">
      <alignment horizontal="center" vertical="center" wrapText="1"/>
    </xf>
    <xf numFmtId="0" fontId="25" fillId="0" borderId="35" xfId="0" applyFont="1" applyBorder="1" applyAlignment="1">
      <alignment horizontal="center"/>
    </xf>
    <xf numFmtId="0" fontId="25" fillId="0" borderId="10" xfId="0" applyFont="1" applyBorder="1" applyAlignment="1">
      <alignment horizontal="center"/>
    </xf>
    <xf numFmtId="0" fontId="56" fillId="0" borderId="1" xfId="2" applyFont="1" applyBorder="1" applyAlignment="1">
      <alignment horizontal="center" vertical="center"/>
    </xf>
    <xf numFmtId="0" fontId="56" fillId="0" borderId="21" xfId="2" applyFont="1" applyBorder="1" applyAlignment="1">
      <alignment horizontal="center" vertical="center"/>
    </xf>
    <xf numFmtId="0" fontId="56" fillId="0" borderId="36" xfId="2" applyFont="1" applyBorder="1" applyAlignment="1">
      <alignment horizontal="center" vertical="center"/>
    </xf>
    <xf numFmtId="0" fontId="56" fillId="0" borderId="37" xfId="2" applyFont="1" applyBorder="1" applyAlignment="1">
      <alignment horizontal="center" vertical="center"/>
    </xf>
    <xf numFmtId="0" fontId="57" fillId="23" borderId="1" xfId="2" applyFont="1" applyFill="1" applyBorder="1" applyAlignment="1">
      <alignment horizontal="center" vertical="center"/>
    </xf>
    <xf numFmtId="0" fontId="57" fillId="19" borderId="1" xfId="2" applyFont="1" applyFill="1" applyBorder="1" applyAlignment="1">
      <alignment horizontal="center" vertical="center"/>
    </xf>
    <xf numFmtId="0" fontId="57" fillId="22" borderId="1" xfId="2" applyFont="1" applyFill="1" applyBorder="1" applyAlignment="1">
      <alignment horizontal="center" vertical="center"/>
    </xf>
    <xf numFmtId="0" fontId="57" fillId="18" borderId="1" xfId="2" applyFont="1" applyFill="1" applyBorder="1" applyAlignment="1">
      <alignment horizontal="center" vertical="center"/>
    </xf>
    <xf numFmtId="0" fontId="57" fillId="20" borderId="1" xfId="2" applyFont="1" applyFill="1" applyBorder="1" applyAlignment="1">
      <alignment horizontal="center" vertical="center"/>
    </xf>
    <xf numFmtId="0" fontId="57" fillId="23" borderId="21" xfId="2" applyFont="1" applyFill="1" applyBorder="1" applyAlignment="1">
      <alignment horizontal="center" vertical="center"/>
    </xf>
    <xf numFmtId="0" fontId="57" fillId="23" borderId="36" xfId="2" applyFont="1" applyFill="1" applyBorder="1" applyAlignment="1">
      <alignment horizontal="center" vertical="center"/>
    </xf>
    <xf numFmtId="0" fontId="57" fillId="23" borderId="37" xfId="2" applyFont="1" applyFill="1" applyBorder="1" applyAlignment="1">
      <alignment horizontal="center" vertical="center"/>
    </xf>
    <xf numFmtId="0" fontId="26" fillId="15" borderId="40" xfId="0" applyFont="1" applyFill="1" applyBorder="1" applyAlignment="1">
      <alignment horizontal="center" vertical="center" wrapText="1"/>
    </xf>
    <xf numFmtId="0" fontId="26" fillId="16" borderId="40" xfId="0" applyFont="1" applyFill="1" applyBorder="1" applyAlignment="1">
      <alignment horizontal="center" vertical="center" wrapText="1"/>
    </xf>
    <xf numFmtId="0" fontId="26" fillId="17" borderId="40" xfId="0" applyFont="1" applyFill="1" applyBorder="1" applyAlignment="1">
      <alignment horizontal="center" wrapText="1"/>
    </xf>
    <xf numFmtId="0" fontId="26" fillId="18" borderId="40" xfId="0" applyFont="1" applyFill="1" applyBorder="1" applyAlignment="1">
      <alignment horizontal="center" vertical="center" wrapText="1"/>
    </xf>
    <xf numFmtId="0" fontId="26" fillId="15" borderId="1" xfId="0" applyFont="1" applyFill="1" applyBorder="1" applyAlignment="1">
      <alignment horizontal="center" vertical="center" wrapText="1"/>
    </xf>
    <xf numFmtId="0" fontId="26" fillId="16" borderId="1" xfId="0" applyFont="1" applyFill="1" applyBorder="1" applyAlignment="1">
      <alignment horizontal="center" vertical="center" wrapText="1"/>
    </xf>
    <xf numFmtId="0" fontId="26" fillId="17" borderId="1" xfId="0" applyFont="1" applyFill="1" applyBorder="1" applyAlignment="1">
      <alignment horizontal="center" wrapText="1"/>
    </xf>
    <xf numFmtId="0" fontId="26" fillId="18" borderId="1" xfId="0" applyFont="1" applyFill="1" applyBorder="1" applyAlignment="1">
      <alignment horizontal="center" vertical="center" wrapText="1"/>
    </xf>
  </cellXfs>
  <cellStyles count="12">
    <cellStyle name="Comma" xfId="3" builtinId="3"/>
    <cellStyle name="Normal" xfId="0" builtinId="0"/>
    <cellStyle name="Normal 2" xfId="1" xr:uid="{00000000-0005-0000-0000-000001000000}"/>
    <cellStyle name="Normal 3" xfId="2" xr:uid="{82FC4AAA-B94E-4BCA-9213-79F2CE0F8FF7}"/>
    <cellStyle name="Normal 3 2" xfId="7" xr:uid="{294EC05E-83F5-4DD3-B8DC-612039AB90B1}"/>
    <cellStyle name="Normal 3 3" xfId="9" xr:uid="{CDE5D86D-5443-4D8E-AF7A-934EB84C1804}"/>
    <cellStyle name="Normal 4" xfId="4" xr:uid="{A25B27D7-12C1-4E52-826B-DC517E6AC50E}"/>
    <cellStyle name="Normal 5" xfId="6" xr:uid="{35EF33E7-81DD-46CB-A908-C9D7A453496F}"/>
    <cellStyle name="Normal 6" xfId="8" xr:uid="{37C7C040-FE45-42D3-BE55-4681EC995B72}"/>
    <cellStyle name="Normal 7" xfId="10" xr:uid="{870EE51D-2D6F-4673-AC25-365476A97422}"/>
    <cellStyle name="Normal 7 2" xfId="11" xr:uid="{1C804143-FBE8-40CF-A624-778FF1F9A7E8}"/>
    <cellStyle name="Percent" xfId="5" builtinId="5"/>
  </cellStyles>
  <dxfs count="0"/>
  <tableStyles count="0" defaultTableStyle="TableStyleMedium2" defaultPivotStyle="PivotStyleLight16"/>
  <colors>
    <mruColors>
      <color rgb="FFFDE9D9"/>
      <color rgb="FFFFFF99"/>
      <color rgb="FFFFEB84"/>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ustomXml" Target="../customXml/item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externalLink" Target="externalLinks/externalLink1.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2" Type="http://schemas.openxmlformats.org/officeDocument/2006/relationships/image" Target="../media/image4.jpeg"/><Relationship Id="rId1" Type="http://schemas.openxmlformats.org/officeDocument/2006/relationships/image" Target="../media/image3.jpeg"/></Relationships>
</file>

<file path=xl/drawings/_rels/drawing4.xml.rels><?xml version="1.0" encoding="UTF-8" standalone="yes"?>
<Relationships xmlns="http://schemas.openxmlformats.org/package/2006/relationships"><Relationship Id="rId3" Type="http://schemas.openxmlformats.org/officeDocument/2006/relationships/image" Target="../media/image7.png"/><Relationship Id="rId2" Type="http://schemas.openxmlformats.org/officeDocument/2006/relationships/image" Target="../media/image6.png"/><Relationship Id="rId1" Type="http://schemas.openxmlformats.org/officeDocument/2006/relationships/image" Target="../media/image5.png"/><Relationship Id="rId5" Type="http://schemas.openxmlformats.org/officeDocument/2006/relationships/image" Target="../media/image9.png"/><Relationship Id="rId4" Type="http://schemas.openxmlformats.org/officeDocument/2006/relationships/image" Target="../media/image8.png"/></Relationships>
</file>

<file path=xl/drawings/_rels/drawing5.xml.rels><?xml version="1.0" encoding="UTF-8" standalone="yes"?>
<Relationships xmlns="http://schemas.openxmlformats.org/package/2006/relationships"><Relationship Id="rId3" Type="http://schemas.openxmlformats.org/officeDocument/2006/relationships/image" Target="../media/image12.png"/><Relationship Id="rId2" Type="http://schemas.openxmlformats.org/officeDocument/2006/relationships/image" Target="../media/image11.png"/><Relationship Id="rId1" Type="http://schemas.openxmlformats.org/officeDocument/2006/relationships/image" Target="../media/image10.png"/><Relationship Id="rId5" Type="http://schemas.openxmlformats.org/officeDocument/2006/relationships/image" Target="../media/image14.png"/><Relationship Id="rId4" Type="http://schemas.openxmlformats.org/officeDocument/2006/relationships/image" Target="../media/image13.png"/></Relationships>
</file>

<file path=xl/drawings/_rels/drawing6.xml.rels><?xml version="1.0" encoding="UTF-8" standalone="yes"?>
<Relationships xmlns="http://schemas.openxmlformats.org/package/2006/relationships"><Relationship Id="rId8" Type="http://schemas.openxmlformats.org/officeDocument/2006/relationships/image" Target="../media/image22.png"/><Relationship Id="rId3" Type="http://schemas.openxmlformats.org/officeDocument/2006/relationships/image" Target="../media/image17.png"/><Relationship Id="rId7" Type="http://schemas.openxmlformats.org/officeDocument/2006/relationships/image" Target="../media/image21.png"/><Relationship Id="rId2" Type="http://schemas.openxmlformats.org/officeDocument/2006/relationships/image" Target="../media/image16.png"/><Relationship Id="rId1" Type="http://schemas.openxmlformats.org/officeDocument/2006/relationships/image" Target="../media/image15.png"/><Relationship Id="rId6" Type="http://schemas.openxmlformats.org/officeDocument/2006/relationships/image" Target="../media/image20.png"/><Relationship Id="rId5" Type="http://schemas.openxmlformats.org/officeDocument/2006/relationships/image" Target="../media/image19.png"/><Relationship Id="rId4" Type="http://schemas.openxmlformats.org/officeDocument/2006/relationships/image" Target="../media/image18.png"/></Relationships>
</file>

<file path=xl/drawings/_rels/vmlDrawing1.vml.rels><?xml version="1.0" encoding="UTF-8" standalone="yes"?>
<Relationships xmlns="http://schemas.openxmlformats.org/package/2006/relationships"><Relationship Id="rId1" Type="http://schemas.openxmlformats.org/officeDocument/2006/relationships/image" Target="../media/image2.jpeg"/></Relationships>
</file>

<file path=xl/drawings/_rels/vmlDrawing2.vml.rels><?xml version="1.0" encoding="UTF-8" standalone="yes"?>
<Relationships xmlns="http://schemas.openxmlformats.org/package/2006/relationships"><Relationship Id="rId1" Type="http://schemas.openxmlformats.org/officeDocument/2006/relationships/image" Target="../media/image2.jpeg"/></Relationships>
</file>

<file path=xl/drawings/drawing1.xml><?xml version="1.0" encoding="utf-8"?>
<xdr:wsDr xmlns:xdr="http://schemas.openxmlformats.org/drawingml/2006/spreadsheetDrawing" xmlns:a="http://schemas.openxmlformats.org/drawingml/2006/main">
  <xdr:twoCellAnchor editAs="oneCell">
    <xdr:from>
      <xdr:col>2</xdr:col>
      <xdr:colOff>60723</xdr:colOff>
      <xdr:row>63</xdr:row>
      <xdr:rowOff>76050</xdr:rowOff>
    </xdr:from>
    <xdr:to>
      <xdr:col>3</xdr:col>
      <xdr:colOff>363076</xdr:colOff>
      <xdr:row>68</xdr:row>
      <xdr:rowOff>153054</xdr:rowOff>
    </xdr:to>
    <xdr:pic>
      <xdr:nvPicPr>
        <xdr:cNvPr id="2" name="Picture 1">
          <a:extLst>
            <a:ext uri="{FF2B5EF4-FFF2-40B4-BE49-F238E27FC236}">
              <a16:creationId xmlns:a16="http://schemas.microsoft.com/office/drawing/2014/main" id="{1D318071-36B2-4D28-8AD8-3DC7AAA453FA}"/>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127523" y="14211150"/>
          <a:ext cx="1054828" cy="1039029"/>
        </a:xfrm>
        <a:prstGeom prst="rect">
          <a:avLst/>
        </a:prstGeom>
      </xdr:spPr>
    </xdr:pic>
    <xdr:clientData/>
  </xdr:twoCellAnchor>
  <xdr:twoCellAnchor>
    <xdr:from>
      <xdr:col>12</xdr:col>
      <xdr:colOff>337441</xdr:colOff>
      <xdr:row>73</xdr:row>
      <xdr:rowOff>89231</xdr:rowOff>
    </xdr:from>
    <xdr:to>
      <xdr:col>16</xdr:col>
      <xdr:colOff>328413</xdr:colOff>
      <xdr:row>76</xdr:row>
      <xdr:rowOff>22332</xdr:rowOff>
    </xdr:to>
    <xdr:sp macro="" textlink="">
      <xdr:nvSpPr>
        <xdr:cNvPr id="3" name="Speech Bubble: Rectangle with Corners Rounded 2">
          <a:extLst>
            <a:ext uri="{FF2B5EF4-FFF2-40B4-BE49-F238E27FC236}">
              <a16:creationId xmlns:a16="http://schemas.microsoft.com/office/drawing/2014/main" id="{3456FA02-F4A9-453D-8C9A-CF4ACA729633}"/>
            </a:ext>
          </a:extLst>
        </xdr:cNvPr>
        <xdr:cNvSpPr/>
      </xdr:nvSpPr>
      <xdr:spPr>
        <a:xfrm>
          <a:off x="8166991" y="16138856"/>
          <a:ext cx="2848472" cy="504601"/>
        </a:xfrm>
        <a:prstGeom prst="wedgeRoundRectCallout">
          <a:avLst>
            <a:gd name="adj1" fmla="val -125086"/>
            <a:gd name="adj2" fmla="val -574200"/>
            <a:gd name="adj3" fmla="val 16667"/>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AU" sz="1100"/>
            <a:t>Note:</a:t>
          </a:r>
          <a:r>
            <a:rPr lang="en-AU" sz="1100" baseline="0"/>
            <a:t> drawing list auto-copied from '01-Project Info' section.</a:t>
          </a:r>
          <a:endParaRPr lang="en-AU" sz="1100"/>
        </a:p>
      </xdr:txBody>
    </xdr:sp>
    <xdr:clientData/>
  </xdr:twoCellAnchor>
  <xdr:twoCellAnchor>
    <xdr:from>
      <xdr:col>11</xdr:col>
      <xdr:colOff>541485</xdr:colOff>
      <xdr:row>9</xdr:row>
      <xdr:rowOff>156562</xdr:rowOff>
    </xdr:from>
    <xdr:to>
      <xdr:col>15</xdr:col>
      <xdr:colOff>556725</xdr:colOff>
      <xdr:row>13</xdr:row>
      <xdr:rowOff>25454</xdr:rowOff>
    </xdr:to>
    <xdr:sp macro="" textlink="">
      <xdr:nvSpPr>
        <xdr:cNvPr id="4" name="Speech Bubble: Rectangle with Corners Rounded 3">
          <a:extLst>
            <a:ext uri="{FF2B5EF4-FFF2-40B4-BE49-F238E27FC236}">
              <a16:creationId xmlns:a16="http://schemas.microsoft.com/office/drawing/2014/main" id="{AA0CC767-4500-4926-98E1-1FE067F0636F}"/>
            </a:ext>
          </a:extLst>
        </xdr:cNvPr>
        <xdr:cNvSpPr/>
      </xdr:nvSpPr>
      <xdr:spPr>
        <a:xfrm>
          <a:off x="7656660" y="2137762"/>
          <a:ext cx="2872740" cy="630892"/>
        </a:xfrm>
        <a:prstGeom prst="wedgeRoundRectCallout">
          <a:avLst>
            <a:gd name="adj1" fmla="val -30882"/>
            <a:gd name="adj2" fmla="val 142313"/>
            <a:gd name="adj3" fmla="val 16667"/>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AU" sz="1100"/>
            <a:t>Please select</a:t>
          </a:r>
          <a:r>
            <a:rPr lang="en-AU" sz="1100" baseline="0"/>
            <a:t> the clauses from the following list to suit the porject.</a:t>
          </a:r>
          <a:endParaRPr lang="en-AU" sz="1100"/>
        </a:p>
      </xdr:txBody>
    </xdr:sp>
    <xdr:clientData/>
  </xdr:twoCellAnchor>
</xdr:wsDr>
</file>

<file path=xl/drawings/drawing2.xml><?xml version="1.0" encoding="utf-8"?>
<xdr:wsDr xmlns:xdr="http://schemas.openxmlformats.org/drawingml/2006/spreadsheetDrawing" xmlns:a="http://schemas.openxmlformats.org/drawingml/2006/main">
  <xdr:twoCellAnchor editAs="oneCell">
    <xdr:from>
      <xdr:col>2</xdr:col>
      <xdr:colOff>60723</xdr:colOff>
      <xdr:row>33</xdr:row>
      <xdr:rowOff>76050</xdr:rowOff>
    </xdr:from>
    <xdr:to>
      <xdr:col>3</xdr:col>
      <xdr:colOff>359266</xdr:colOff>
      <xdr:row>38</xdr:row>
      <xdr:rowOff>153053</xdr:rowOff>
    </xdr:to>
    <xdr:pic>
      <xdr:nvPicPr>
        <xdr:cNvPr id="2" name="Picture 1">
          <a:extLst>
            <a:ext uri="{FF2B5EF4-FFF2-40B4-BE49-F238E27FC236}">
              <a16:creationId xmlns:a16="http://schemas.microsoft.com/office/drawing/2014/main" id="{8E7519EE-034F-42C7-8139-00C85CE50A51}"/>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127523" y="6686400"/>
          <a:ext cx="1051018" cy="1039029"/>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63</xdr:col>
      <xdr:colOff>137189</xdr:colOff>
      <xdr:row>6</xdr:row>
      <xdr:rowOff>38100</xdr:rowOff>
    </xdr:from>
    <xdr:to>
      <xdr:col>70</xdr:col>
      <xdr:colOff>571499</xdr:colOff>
      <xdr:row>27</xdr:row>
      <xdr:rowOff>88938</xdr:rowOff>
    </xdr:to>
    <xdr:pic>
      <xdr:nvPicPr>
        <xdr:cNvPr id="2" name="Picture 1">
          <a:extLst>
            <a:ext uri="{FF2B5EF4-FFF2-40B4-BE49-F238E27FC236}">
              <a16:creationId xmlns:a16="http://schemas.microsoft.com/office/drawing/2014/main" id="{24E7B610-317A-4FFC-A8F3-CDE1A236060D}"/>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2167264" y="38100"/>
          <a:ext cx="4701511" cy="3479838"/>
        </a:xfrm>
        <a:prstGeom prst="rect">
          <a:avLst/>
        </a:prstGeom>
      </xdr:spPr>
    </xdr:pic>
    <xdr:clientData/>
  </xdr:twoCellAnchor>
  <xdr:twoCellAnchor editAs="oneCell">
    <xdr:from>
      <xdr:col>63</xdr:col>
      <xdr:colOff>125508</xdr:colOff>
      <xdr:row>28</xdr:row>
      <xdr:rowOff>95249</xdr:rowOff>
    </xdr:from>
    <xdr:to>
      <xdr:col>70</xdr:col>
      <xdr:colOff>552461</xdr:colOff>
      <xdr:row>50</xdr:row>
      <xdr:rowOff>54748</xdr:rowOff>
    </xdr:to>
    <xdr:pic>
      <xdr:nvPicPr>
        <xdr:cNvPr id="3" name="Picture 2">
          <a:extLst>
            <a:ext uri="{FF2B5EF4-FFF2-40B4-BE49-F238E27FC236}">
              <a16:creationId xmlns:a16="http://schemas.microsoft.com/office/drawing/2014/main" id="{70C48C41-7AFC-45A7-815D-4251EE968F02}"/>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12155583" y="3657599"/>
          <a:ext cx="4694154" cy="3521849"/>
        </a:xfrm>
        <a:prstGeom prst="rect">
          <a:avLst/>
        </a:prstGeom>
      </xdr:spPr>
    </xdr:pic>
    <xdr:clientData/>
  </xdr:twoCellAnchor>
</xdr:wsDr>
</file>

<file path=xl/drawings/drawing4.xml><?xml version="1.0" encoding="utf-8"?>
<xdr:wsDr xmlns:xdr="http://schemas.openxmlformats.org/drawingml/2006/spreadsheetDrawing" xmlns:a="http://schemas.openxmlformats.org/drawingml/2006/main">
  <xdr:twoCellAnchor editAs="oneCell">
    <xdr:from>
      <xdr:col>12</xdr:col>
      <xdr:colOff>52822</xdr:colOff>
      <xdr:row>0</xdr:row>
      <xdr:rowOff>0</xdr:rowOff>
    </xdr:from>
    <xdr:to>
      <xdr:col>19</xdr:col>
      <xdr:colOff>26699</xdr:colOff>
      <xdr:row>27</xdr:row>
      <xdr:rowOff>0</xdr:rowOff>
    </xdr:to>
    <xdr:pic>
      <xdr:nvPicPr>
        <xdr:cNvPr id="2" name="Picture 1">
          <a:extLst>
            <a:ext uri="{FF2B5EF4-FFF2-40B4-BE49-F238E27FC236}">
              <a16:creationId xmlns:a16="http://schemas.microsoft.com/office/drawing/2014/main" id="{82F2E500-BB94-4A61-9992-FFBDBA94C926}"/>
            </a:ext>
          </a:extLst>
        </xdr:cNvPr>
        <xdr:cNvPicPr>
          <a:picLocks noChangeAspect="1"/>
        </xdr:cNvPicPr>
      </xdr:nvPicPr>
      <xdr:blipFill>
        <a:blip xmlns:r="http://schemas.openxmlformats.org/officeDocument/2006/relationships" r:embed="rId1"/>
        <a:stretch>
          <a:fillRect/>
        </a:stretch>
      </xdr:blipFill>
      <xdr:spPr>
        <a:xfrm>
          <a:off x="8452140" y="0"/>
          <a:ext cx="4216832" cy="4208318"/>
        </a:xfrm>
        <a:prstGeom prst="rect">
          <a:avLst/>
        </a:prstGeom>
      </xdr:spPr>
    </xdr:pic>
    <xdr:clientData/>
  </xdr:twoCellAnchor>
  <xdr:twoCellAnchor editAs="oneCell">
    <xdr:from>
      <xdr:col>19</xdr:col>
      <xdr:colOff>24245</xdr:colOff>
      <xdr:row>0</xdr:row>
      <xdr:rowOff>0</xdr:rowOff>
    </xdr:from>
    <xdr:to>
      <xdr:col>26</xdr:col>
      <xdr:colOff>7201</xdr:colOff>
      <xdr:row>36</xdr:row>
      <xdr:rowOff>38100</xdr:rowOff>
    </xdr:to>
    <xdr:pic>
      <xdr:nvPicPr>
        <xdr:cNvPr id="3" name="Picture 2">
          <a:extLst>
            <a:ext uri="{FF2B5EF4-FFF2-40B4-BE49-F238E27FC236}">
              <a16:creationId xmlns:a16="http://schemas.microsoft.com/office/drawing/2014/main" id="{ECB73084-FB2C-46F9-9F48-6F2137E49714}"/>
            </a:ext>
          </a:extLst>
        </xdr:cNvPr>
        <xdr:cNvPicPr>
          <a:picLocks noChangeAspect="1"/>
        </xdr:cNvPicPr>
      </xdr:nvPicPr>
      <xdr:blipFill>
        <a:blip xmlns:r="http://schemas.openxmlformats.org/officeDocument/2006/relationships" r:embed="rId2"/>
        <a:stretch>
          <a:fillRect/>
        </a:stretch>
      </xdr:blipFill>
      <xdr:spPr>
        <a:xfrm>
          <a:off x="12666518" y="0"/>
          <a:ext cx="4225910" cy="5649191"/>
        </a:xfrm>
        <a:prstGeom prst="rect">
          <a:avLst/>
        </a:prstGeom>
      </xdr:spPr>
    </xdr:pic>
    <xdr:clientData/>
  </xdr:twoCellAnchor>
  <xdr:twoCellAnchor editAs="oneCell">
    <xdr:from>
      <xdr:col>26</xdr:col>
      <xdr:colOff>5196</xdr:colOff>
      <xdr:row>0</xdr:row>
      <xdr:rowOff>1</xdr:rowOff>
    </xdr:from>
    <xdr:to>
      <xdr:col>32</xdr:col>
      <xdr:colOff>586571</xdr:colOff>
      <xdr:row>23</xdr:row>
      <xdr:rowOff>66676</xdr:rowOff>
    </xdr:to>
    <xdr:pic>
      <xdr:nvPicPr>
        <xdr:cNvPr id="4" name="Picture 3">
          <a:extLst>
            <a:ext uri="{FF2B5EF4-FFF2-40B4-BE49-F238E27FC236}">
              <a16:creationId xmlns:a16="http://schemas.microsoft.com/office/drawing/2014/main" id="{4A5BD375-D875-4852-B7F8-B1C3B5CFCF0F}"/>
            </a:ext>
          </a:extLst>
        </xdr:cNvPr>
        <xdr:cNvPicPr>
          <a:picLocks noChangeAspect="1"/>
        </xdr:cNvPicPr>
      </xdr:nvPicPr>
      <xdr:blipFill>
        <a:blip xmlns:r="http://schemas.openxmlformats.org/officeDocument/2006/relationships" r:embed="rId3"/>
        <a:stretch>
          <a:fillRect/>
        </a:stretch>
      </xdr:blipFill>
      <xdr:spPr>
        <a:xfrm>
          <a:off x="16890423" y="1"/>
          <a:ext cx="4218193" cy="3651539"/>
        </a:xfrm>
        <a:prstGeom prst="rect">
          <a:avLst/>
        </a:prstGeom>
      </xdr:spPr>
    </xdr:pic>
    <xdr:clientData/>
  </xdr:twoCellAnchor>
  <xdr:twoCellAnchor editAs="oneCell">
    <xdr:from>
      <xdr:col>5</xdr:col>
      <xdr:colOff>90920</xdr:colOff>
      <xdr:row>0</xdr:row>
      <xdr:rowOff>1</xdr:rowOff>
    </xdr:from>
    <xdr:to>
      <xdr:col>12</xdr:col>
      <xdr:colOff>85638</xdr:colOff>
      <xdr:row>20</xdr:row>
      <xdr:rowOff>86592</xdr:rowOff>
    </xdr:to>
    <xdr:pic>
      <xdr:nvPicPr>
        <xdr:cNvPr id="5" name="Picture 4">
          <a:extLst>
            <a:ext uri="{FF2B5EF4-FFF2-40B4-BE49-F238E27FC236}">
              <a16:creationId xmlns:a16="http://schemas.microsoft.com/office/drawing/2014/main" id="{6E4E0B43-FE20-4B5F-B502-9AA6D2C22AD1}"/>
            </a:ext>
          </a:extLst>
        </xdr:cNvPr>
        <xdr:cNvPicPr>
          <a:picLocks noChangeAspect="1"/>
        </xdr:cNvPicPr>
      </xdr:nvPicPr>
      <xdr:blipFill>
        <a:blip xmlns:r="http://schemas.openxmlformats.org/officeDocument/2006/relationships" r:embed="rId4"/>
        <a:stretch>
          <a:fillRect/>
        </a:stretch>
      </xdr:blipFill>
      <xdr:spPr>
        <a:xfrm>
          <a:off x="4247284" y="1"/>
          <a:ext cx="4237672" cy="3203864"/>
        </a:xfrm>
        <a:prstGeom prst="rect">
          <a:avLst/>
        </a:prstGeom>
      </xdr:spPr>
    </xdr:pic>
    <xdr:clientData/>
  </xdr:twoCellAnchor>
  <xdr:twoCellAnchor editAs="oneCell">
    <xdr:from>
      <xdr:col>5</xdr:col>
      <xdr:colOff>187502</xdr:colOff>
      <xdr:row>19</xdr:row>
      <xdr:rowOff>133218</xdr:rowOff>
    </xdr:from>
    <xdr:to>
      <xdr:col>11</xdr:col>
      <xdr:colOff>469877</xdr:colOff>
      <xdr:row>30</xdr:row>
      <xdr:rowOff>115899</xdr:rowOff>
    </xdr:to>
    <xdr:pic>
      <xdr:nvPicPr>
        <xdr:cNvPr id="6" name="Picture 5">
          <a:extLst>
            <a:ext uri="{FF2B5EF4-FFF2-40B4-BE49-F238E27FC236}">
              <a16:creationId xmlns:a16="http://schemas.microsoft.com/office/drawing/2014/main" id="{45F80EC4-DCDF-40F1-A7C0-D7B4EB2CED40}"/>
            </a:ext>
          </a:extLst>
        </xdr:cNvPr>
        <xdr:cNvPicPr>
          <a:picLocks noChangeAspect="1"/>
        </xdr:cNvPicPr>
      </xdr:nvPicPr>
      <xdr:blipFill>
        <a:blip xmlns:r="http://schemas.openxmlformats.org/officeDocument/2006/relationships" r:embed="rId5"/>
        <a:stretch>
          <a:fillRect/>
        </a:stretch>
      </xdr:blipFill>
      <xdr:spPr>
        <a:xfrm>
          <a:off x="4334540" y="3195872"/>
          <a:ext cx="3931183" cy="1755796"/>
        </a:xfrm>
        <a:prstGeom prst="rect">
          <a:avLst/>
        </a:prstGeom>
      </xdr:spPr>
    </xdr:pic>
    <xdr:clientData/>
  </xdr:twoCellAnchor>
</xdr:wsDr>
</file>

<file path=xl/drawings/drawing5.xml><?xml version="1.0" encoding="utf-8"?>
<xdr:wsDr xmlns:xdr="http://schemas.openxmlformats.org/drawingml/2006/spreadsheetDrawing" xmlns:a="http://schemas.openxmlformats.org/drawingml/2006/main">
  <xdr:twoCellAnchor editAs="oneCell">
    <xdr:from>
      <xdr:col>4</xdr:col>
      <xdr:colOff>510540</xdr:colOff>
      <xdr:row>0</xdr:row>
      <xdr:rowOff>99060</xdr:rowOff>
    </xdr:from>
    <xdr:to>
      <xdr:col>10</xdr:col>
      <xdr:colOff>435157</xdr:colOff>
      <xdr:row>13</xdr:row>
      <xdr:rowOff>57417</xdr:rowOff>
    </xdr:to>
    <xdr:pic>
      <xdr:nvPicPr>
        <xdr:cNvPr id="9" name="Picture 8">
          <a:extLst>
            <a:ext uri="{FF2B5EF4-FFF2-40B4-BE49-F238E27FC236}">
              <a16:creationId xmlns:a16="http://schemas.microsoft.com/office/drawing/2014/main" id="{00000000-0008-0000-0200-000009000000}"/>
            </a:ext>
          </a:extLst>
        </xdr:cNvPr>
        <xdr:cNvPicPr>
          <a:picLocks noChangeAspect="1"/>
        </xdr:cNvPicPr>
      </xdr:nvPicPr>
      <xdr:blipFill>
        <a:blip xmlns:r="http://schemas.openxmlformats.org/officeDocument/2006/relationships" r:embed="rId1" cstate="print"/>
        <a:stretch>
          <a:fillRect/>
        </a:stretch>
      </xdr:blipFill>
      <xdr:spPr>
        <a:xfrm>
          <a:off x="3124200" y="99060"/>
          <a:ext cx="3482642" cy="2126164"/>
        </a:xfrm>
        <a:prstGeom prst="rect">
          <a:avLst/>
        </a:prstGeom>
        <a:ln w="38100" cap="sq">
          <a:solidFill>
            <a:srgbClr val="000000"/>
          </a:solidFill>
          <a:prstDash val="solid"/>
          <a:miter lim="800000"/>
        </a:ln>
        <a:effectLst>
          <a:outerShdw blurRad="50800" dist="38100" dir="2700000" algn="tl" rotWithShape="0">
            <a:srgbClr val="000000">
              <a:alpha val="43000"/>
            </a:srgbClr>
          </a:outerShdw>
        </a:effectLst>
      </xdr:spPr>
    </xdr:pic>
    <xdr:clientData/>
  </xdr:twoCellAnchor>
  <xdr:twoCellAnchor editAs="oneCell">
    <xdr:from>
      <xdr:col>30</xdr:col>
      <xdr:colOff>373380</xdr:colOff>
      <xdr:row>0</xdr:row>
      <xdr:rowOff>106680</xdr:rowOff>
    </xdr:from>
    <xdr:to>
      <xdr:col>35</xdr:col>
      <xdr:colOff>365057</xdr:colOff>
      <xdr:row>15</xdr:row>
      <xdr:rowOff>78405</xdr:rowOff>
    </xdr:to>
    <xdr:pic>
      <xdr:nvPicPr>
        <xdr:cNvPr id="10" name="Picture 9">
          <a:extLst>
            <a:ext uri="{FF2B5EF4-FFF2-40B4-BE49-F238E27FC236}">
              <a16:creationId xmlns:a16="http://schemas.microsoft.com/office/drawing/2014/main" id="{00000000-0008-0000-0200-00000A000000}"/>
            </a:ext>
          </a:extLst>
        </xdr:cNvPr>
        <xdr:cNvPicPr>
          <a:picLocks noChangeAspect="1"/>
        </xdr:cNvPicPr>
      </xdr:nvPicPr>
      <xdr:blipFill>
        <a:blip xmlns:r="http://schemas.openxmlformats.org/officeDocument/2006/relationships" r:embed="rId2" cstate="print"/>
        <a:stretch>
          <a:fillRect/>
        </a:stretch>
      </xdr:blipFill>
      <xdr:spPr>
        <a:xfrm>
          <a:off x="10370820" y="106680"/>
          <a:ext cx="3520745" cy="2499577"/>
        </a:xfrm>
        <a:prstGeom prst="rect">
          <a:avLst/>
        </a:prstGeom>
        <a:ln w="38100" cap="sq">
          <a:solidFill>
            <a:srgbClr val="000000"/>
          </a:solidFill>
          <a:prstDash val="solid"/>
          <a:miter lim="800000"/>
        </a:ln>
        <a:effectLst>
          <a:outerShdw blurRad="50800" dist="38100" dir="2700000" algn="tl" rotWithShape="0">
            <a:srgbClr val="000000">
              <a:alpha val="43000"/>
            </a:srgbClr>
          </a:outerShdw>
        </a:effectLst>
      </xdr:spPr>
    </xdr:pic>
    <xdr:clientData/>
  </xdr:twoCellAnchor>
  <xdr:twoCellAnchor editAs="oneCell">
    <xdr:from>
      <xdr:col>0</xdr:col>
      <xdr:colOff>1</xdr:colOff>
      <xdr:row>14</xdr:row>
      <xdr:rowOff>10850</xdr:rowOff>
    </xdr:from>
    <xdr:to>
      <xdr:col>5</xdr:col>
      <xdr:colOff>136333</xdr:colOff>
      <xdr:row>23</xdr:row>
      <xdr:rowOff>79356</xdr:rowOff>
    </xdr:to>
    <xdr:pic>
      <xdr:nvPicPr>
        <xdr:cNvPr id="1025" name="Picture 1">
          <a:extLst>
            <a:ext uri="{FF2B5EF4-FFF2-40B4-BE49-F238E27FC236}">
              <a16:creationId xmlns:a16="http://schemas.microsoft.com/office/drawing/2014/main" id="{00000000-0008-0000-0200-000001040000}"/>
            </a:ext>
          </a:extLst>
        </xdr:cNvPr>
        <xdr:cNvPicPr>
          <a:picLocks noChangeAspect="1" noChangeArrowheads="1"/>
        </xdr:cNvPicPr>
      </xdr:nvPicPr>
      <xdr:blipFill>
        <a:blip xmlns:r="http://schemas.openxmlformats.org/officeDocument/2006/relationships" r:embed="rId3" cstate="print"/>
        <a:srcRect/>
        <a:stretch>
          <a:fillRect/>
        </a:stretch>
      </xdr:blipFill>
      <xdr:spPr bwMode="auto">
        <a:xfrm>
          <a:off x="1" y="2445937"/>
          <a:ext cx="3346174" cy="1662547"/>
        </a:xfrm>
        <a:prstGeom prst="rect">
          <a:avLst/>
        </a:prstGeom>
        <a:ln w="38100" cap="sq">
          <a:solidFill>
            <a:srgbClr val="000000"/>
          </a:solidFill>
          <a:prstDash val="solid"/>
          <a:miter lim="800000"/>
        </a:ln>
        <a:effectLst>
          <a:outerShdw blurRad="50800" dist="38100" dir="2700000" algn="tl" rotWithShape="0">
            <a:srgbClr val="000000">
              <a:alpha val="43000"/>
            </a:srgbClr>
          </a:outerShdw>
        </a:effectLst>
      </xdr:spPr>
    </xdr:pic>
    <xdr:clientData/>
  </xdr:twoCellAnchor>
  <xdr:twoCellAnchor editAs="oneCell">
    <xdr:from>
      <xdr:col>0</xdr:col>
      <xdr:colOff>0</xdr:colOff>
      <xdr:row>0</xdr:row>
      <xdr:rowOff>1</xdr:rowOff>
    </xdr:from>
    <xdr:to>
      <xdr:col>4</xdr:col>
      <xdr:colOff>173272</xdr:colOff>
      <xdr:row>13</xdr:row>
      <xdr:rowOff>152939</xdr:rowOff>
    </xdr:to>
    <xdr:pic>
      <xdr:nvPicPr>
        <xdr:cNvPr id="1026" name="Picture 2">
          <a:extLst>
            <a:ext uri="{FF2B5EF4-FFF2-40B4-BE49-F238E27FC236}">
              <a16:creationId xmlns:a16="http://schemas.microsoft.com/office/drawing/2014/main" id="{00000000-0008-0000-0200-000002040000}"/>
            </a:ext>
          </a:extLst>
        </xdr:cNvPr>
        <xdr:cNvPicPr>
          <a:picLocks noChangeAspect="1" noChangeArrowheads="1"/>
        </xdr:cNvPicPr>
      </xdr:nvPicPr>
      <xdr:blipFill>
        <a:blip xmlns:r="http://schemas.openxmlformats.org/officeDocument/2006/relationships" r:embed="rId4" cstate="print"/>
        <a:srcRect/>
        <a:stretch>
          <a:fillRect/>
        </a:stretch>
      </xdr:blipFill>
      <xdr:spPr bwMode="auto">
        <a:xfrm>
          <a:off x="0" y="1"/>
          <a:ext cx="2766391" cy="2435625"/>
        </a:xfrm>
        <a:prstGeom prst="rect">
          <a:avLst/>
        </a:prstGeom>
        <a:ln w="38100" cap="sq">
          <a:solidFill>
            <a:srgbClr val="000000"/>
          </a:solidFill>
          <a:prstDash val="solid"/>
          <a:miter lim="800000"/>
        </a:ln>
        <a:effectLst>
          <a:outerShdw blurRad="50800" dist="38100" dir="2700000" algn="tl" rotWithShape="0">
            <a:srgbClr val="000000">
              <a:alpha val="43000"/>
            </a:srgbClr>
          </a:outerShdw>
        </a:effectLst>
      </xdr:spPr>
    </xdr:pic>
    <xdr:clientData/>
  </xdr:twoCellAnchor>
  <xdr:twoCellAnchor editAs="oneCell">
    <xdr:from>
      <xdr:col>10</xdr:col>
      <xdr:colOff>502920</xdr:colOff>
      <xdr:row>0</xdr:row>
      <xdr:rowOff>0</xdr:rowOff>
    </xdr:from>
    <xdr:to>
      <xdr:col>19</xdr:col>
      <xdr:colOff>551635</xdr:colOff>
      <xdr:row>13</xdr:row>
      <xdr:rowOff>56736</xdr:rowOff>
    </xdr:to>
    <xdr:pic>
      <xdr:nvPicPr>
        <xdr:cNvPr id="1027" name="Picture 3">
          <a:extLst>
            <a:ext uri="{FF2B5EF4-FFF2-40B4-BE49-F238E27FC236}">
              <a16:creationId xmlns:a16="http://schemas.microsoft.com/office/drawing/2014/main" id="{00000000-0008-0000-0200-000003040000}"/>
            </a:ext>
          </a:extLst>
        </xdr:cNvPr>
        <xdr:cNvPicPr>
          <a:picLocks noChangeAspect="1" noChangeArrowheads="1"/>
        </xdr:cNvPicPr>
      </xdr:nvPicPr>
      <xdr:blipFill>
        <a:blip xmlns:r="http://schemas.openxmlformats.org/officeDocument/2006/relationships" r:embed="rId5" cstate="print"/>
        <a:srcRect/>
        <a:stretch>
          <a:fillRect/>
        </a:stretch>
      </xdr:blipFill>
      <xdr:spPr bwMode="auto">
        <a:xfrm>
          <a:off x="6684645" y="0"/>
          <a:ext cx="3094810" cy="2285586"/>
        </a:xfrm>
        <a:prstGeom prst="rect">
          <a:avLst/>
        </a:prstGeom>
        <a:ln w="38100" cap="sq">
          <a:solidFill>
            <a:srgbClr val="000000"/>
          </a:solidFill>
          <a:prstDash val="solid"/>
          <a:miter lim="800000"/>
        </a:ln>
        <a:effectLst>
          <a:outerShdw blurRad="50800" dist="38100" dir="2700000" algn="tl" rotWithShape="0">
            <a:srgbClr val="000000">
              <a:alpha val="43000"/>
            </a:srgbClr>
          </a:outerShdw>
        </a:effectLst>
      </xdr:spPr>
    </xdr:pic>
    <xdr:clientData/>
  </xdr:twoCellAnchor>
</xdr:wsDr>
</file>

<file path=xl/drawings/drawing6.xml><?xml version="1.0" encoding="utf-8"?>
<xdr:wsDr xmlns:xdr="http://schemas.openxmlformats.org/drawingml/2006/spreadsheetDrawing" xmlns:a="http://schemas.openxmlformats.org/drawingml/2006/main">
  <xdr:twoCellAnchor editAs="oneCell">
    <xdr:from>
      <xdr:col>3</xdr:col>
      <xdr:colOff>603739</xdr:colOff>
      <xdr:row>8</xdr:row>
      <xdr:rowOff>134016</xdr:rowOff>
    </xdr:from>
    <xdr:to>
      <xdr:col>6</xdr:col>
      <xdr:colOff>513765</xdr:colOff>
      <xdr:row>10</xdr:row>
      <xdr:rowOff>36593</xdr:rowOff>
    </xdr:to>
    <xdr:pic>
      <xdr:nvPicPr>
        <xdr:cNvPr id="2" name="Picture 1">
          <a:extLst>
            <a:ext uri="{FF2B5EF4-FFF2-40B4-BE49-F238E27FC236}">
              <a16:creationId xmlns:a16="http://schemas.microsoft.com/office/drawing/2014/main" id="{3F7A8E6F-26F6-4EAB-8C76-D6A3BE42DE85}"/>
            </a:ext>
          </a:extLst>
        </xdr:cNvPr>
        <xdr:cNvPicPr>
          <a:picLocks noChangeAspect="1"/>
        </xdr:cNvPicPr>
      </xdr:nvPicPr>
      <xdr:blipFill>
        <a:blip xmlns:r="http://schemas.openxmlformats.org/officeDocument/2006/relationships" r:embed="rId1"/>
        <a:stretch>
          <a:fillRect/>
        </a:stretch>
      </xdr:blipFill>
      <xdr:spPr>
        <a:xfrm>
          <a:off x="5023339" y="1540785"/>
          <a:ext cx="1735016" cy="254270"/>
        </a:xfrm>
        <a:prstGeom prst="rect">
          <a:avLst/>
        </a:prstGeom>
      </xdr:spPr>
    </xdr:pic>
    <xdr:clientData/>
  </xdr:twoCellAnchor>
  <xdr:twoCellAnchor editAs="oneCell">
    <xdr:from>
      <xdr:col>3</xdr:col>
      <xdr:colOff>556847</xdr:colOff>
      <xdr:row>7</xdr:row>
      <xdr:rowOff>107876</xdr:rowOff>
    </xdr:from>
    <xdr:to>
      <xdr:col>6</xdr:col>
      <xdr:colOff>97888</xdr:colOff>
      <xdr:row>8</xdr:row>
      <xdr:rowOff>132439</xdr:rowOff>
    </xdr:to>
    <xdr:pic>
      <xdr:nvPicPr>
        <xdr:cNvPr id="3" name="Picture 2">
          <a:extLst>
            <a:ext uri="{FF2B5EF4-FFF2-40B4-BE49-F238E27FC236}">
              <a16:creationId xmlns:a16="http://schemas.microsoft.com/office/drawing/2014/main" id="{FE039311-85BC-4F68-A324-BB85FA3718EF}"/>
            </a:ext>
          </a:extLst>
        </xdr:cNvPr>
        <xdr:cNvPicPr>
          <a:picLocks noChangeAspect="1"/>
        </xdr:cNvPicPr>
      </xdr:nvPicPr>
      <xdr:blipFill>
        <a:blip xmlns:r="http://schemas.openxmlformats.org/officeDocument/2006/relationships" r:embed="rId2"/>
        <a:stretch>
          <a:fillRect/>
        </a:stretch>
      </xdr:blipFill>
      <xdr:spPr>
        <a:xfrm>
          <a:off x="4976447" y="1338799"/>
          <a:ext cx="1377461" cy="213744"/>
        </a:xfrm>
        <a:prstGeom prst="rect">
          <a:avLst/>
        </a:prstGeom>
      </xdr:spPr>
    </xdr:pic>
    <xdr:clientData/>
  </xdr:twoCellAnchor>
  <xdr:twoCellAnchor editAs="oneCell">
    <xdr:from>
      <xdr:col>8</xdr:col>
      <xdr:colOff>363415</xdr:colOff>
      <xdr:row>17</xdr:row>
      <xdr:rowOff>99647</xdr:rowOff>
    </xdr:from>
    <xdr:to>
      <xdr:col>11</xdr:col>
      <xdr:colOff>76200</xdr:colOff>
      <xdr:row>20</xdr:row>
      <xdr:rowOff>117232</xdr:rowOff>
    </xdr:to>
    <xdr:pic>
      <xdr:nvPicPr>
        <xdr:cNvPr id="4" name="Picture 3">
          <a:extLst>
            <a:ext uri="{FF2B5EF4-FFF2-40B4-BE49-F238E27FC236}">
              <a16:creationId xmlns:a16="http://schemas.microsoft.com/office/drawing/2014/main" id="{357C4875-1372-43E4-8CF8-29E4E6A4E6F8}"/>
            </a:ext>
          </a:extLst>
        </xdr:cNvPr>
        <xdr:cNvPicPr>
          <a:picLocks noChangeAspect="1" noChangeArrowheads="1"/>
        </xdr:cNvPicPr>
      </xdr:nvPicPr>
      <xdr:blipFill rotWithShape="1">
        <a:blip xmlns:r="http://schemas.openxmlformats.org/officeDocument/2006/relationships" r:embed="rId3" cstate="print">
          <a:extLst>
            <a:ext uri="{28A0092B-C50C-407E-A947-70E740481C1C}">
              <a14:useLocalDpi xmlns:a14="http://schemas.microsoft.com/office/drawing/2010/main" val="0"/>
            </a:ext>
          </a:extLst>
        </a:blip>
        <a:srcRect l="27707" t="-2083" r="27206" b="5208"/>
        <a:stretch/>
      </xdr:blipFill>
      <xdr:spPr bwMode="auto">
        <a:xfrm>
          <a:off x="7831015" y="3112478"/>
          <a:ext cx="1541585" cy="545123"/>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13</xdr:col>
      <xdr:colOff>592016</xdr:colOff>
      <xdr:row>17</xdr:row>
      <xdr:rowOff>128955</xdr:rowOff>
    </xdr:from>
    <xdr:to>
      <xdr:col>16</xdr:col>
      <xdr:colOff>574431</xdr:colOff>
      <xdr:row>20</xdr:row>
      <xdr:rowOff>41079</xdr:rowOff>
    </xdr:to>
    <xdr:pic>
      <xdr:nvPicPr>
        <xdr:cNvPr id="5" name="Picture 4">
          <a:extLst>
            <a:ext uri="{FF2B5EF4-FFF2-40B4-BE49-F238E27FC236}">
              <a16:creationId xmlns:a16="http://schemas.microsoft.com/office/drawing/2014/main" id="{F799DCA7-A83D-45FF-9422-C2C55607C238}"/>
            </a:ext>
          </a:extLst>
        </xdr:cNvPr>
        <xdr:cNvPicPr>
          <a:picLocks noChangeAspect="1" noChangeArrowheads="1"/>
        </xdr:cNvPicPr>
      </xdr:nvPicPr>
      <xdr:blipFill rotWithShape="1">
        <a:blip xmlns:r="http://schemas.openxmlformats.org/officeDocument/2006/relationships" r:embed="rId4" cstate="print">
          <a:extLst>
            <a:ext uri="{28A0092B-C50C-407E-A947-70E740481C1C}">
              <a14:useLocalDpi xmlns:a14="http://schemas.microsoft.com/office/drawing/2010/main" val="0"/>
            </a:ext>
          </a:extLst>
        </a:blip>
        <a:srcRect l="21607" t="-3541" r="22303" b="7900"/>
        <a:stretch/>
      </xdr:blipFill>
      <xdr:spPr bwMode="auto">
        <a:xfrm>
          <a:off x="11107616" y="3141786"/>
          <a:ext cx="1811215" cy="439662"/>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578480</xdr:colOff>
      <xdr:row>21</xdr:row>
      <xdr:rowOff>128954</xdr:rowOff>
    </xdr:from>
    <xdr:to>
      <xdr:col>8</xdr:col>
      <xdr:colOff>20174</xdr:colOff>
      <xdr:row>24</xdr:row>
      <xdr:rowOff>17959</xdr:rowOff>
    </xdr:to>
    <xdr:pic>
      <xdr:nvPicPr>
        <xdr:cNvPr id="6" name="Picture 5">
          <a:extLst>
            <a:ext uri="{FF2B5EF4-FFF2-40B4-BE49-F238E27FC236}">
              <a16:creationId xmlns:a16="http://schemas.microsoft.com/office/drawing/2014/main" id="{AFE3186D-78C8-455F-B194-B9BEEFF6AFCE}"/>
            </a:ext>
          </a:extLst>
        </xdr:cNvPr>
        <xdr:cNvPicPr>
          <a:picLocks noChangeAspect="1"/>
        </xdr:cNvPicPr>
      </xdr:nvPicPr>
      <xdr:blipFill>
        <a:blip xmlns:r="http://schemas.openxmlformats.org/officeDocument/2006/relationships" r:embed="rId5"/>
        <a:stretch>
          <a:fillRect/>
        </a:stretch>
      </xdr:blipFill>
      <xdr:spPr>
        <a:xfrm>
          <a:off x="6440018" y="3669323"/>
          <a:ext cx="1262874" cy="427974"/>
        </a:xfrm>
        <a:prstGeom prst="rect">
          <a:avLst/>
        </a:prstGeom>
      </xdr:spPr>
    </xdr:pic>
    <xdr:clientData/>
  </xdr:twoCellAnchor>
  <xdr:twoCellAnchor editAs="oneCell">
    <xdr:from>
      <xdr:col>19</xdr:col>
      <xdr:colOff>246478</xdr:colOff>
      <xdr:row>24</xdr:row>
      <xdr:rowOff>11133</xdr:rowOff>
    </xdr:from>
    <xdr:to>
      <xdr:col>22</xdr:col>
      <xdr:colOff>25619</xdr:colOff>
      <xdr:row>25</xdr:row>
      <xdr:rowOff>65942</xdr:rowOff>
    </xdr:to>
    <xdr:pic>
      <xdr:nvPicPr>
        <xdr:cNvPr id="7" name="Picture 6">
          <a:extLst>
            <a:ext uri="{FF2B5EF4-FFF2-40B4-BE49-F238E27FC236}">
              <a16:creationId xmlns:a16="http://schemas.microsoft.com/office/drawing/2014/main" id="{91B7C1AE-1A58-492A-BDC2-3AA3775F2D87}"/>
            </a:ext>
          </a:extLst>
        </xdr:cNvPr>
        <xdr:cNvPicPr>
          <a:picLocks noChangeAspect="1"/>
        </xdr:cNvPicPr>
      </xdr:nvPicPr>
      <xdr:blipFill>
        <a:blip xmlns:r="http://schemas.openxmlformats.org/officeDocument/2006/relationships" r:embed="rId6"/>
        <a:stretch>
          <a:fillRect/>
        </a:stretch>
      </xdr:blipFill>
      <xdr:spPr>
        <a:xfrm>
          <a:off x="14391103" y="4154508"/>
          <a:ext cx="1611751" cy="230069"/>
        </a:xfrm>
        <a:prstGeom prst="rect">
          <a:avLst/>
        </a:prstGeom>
      </xdr:spPr>
    </xdr:pic>
    <xdr:clientData/>
  </xdr:twoCellAnchor>
  <xdr:twoCellAnchor editAs="oneCell">
    <xdr:from>
      <xdr:col>24</xdr:col>
      <xdr:colOff>2994</xdr:colOff>
      <xdr:row>4</xdr:row>
      <xdr:rowOff>76200</xdr:rowOff>
    </xdr:from>
    <xdr:to>
      <xdr:col>37</xdr:col>
      <xdr:colOff>130211</xdr:colOff>
      <xdr:row>36</xdr:row>
      <xdr:rowOff>57983</xdr:rowOff>
    </xdr:to>
    <xdr:pic>
      <xdr:nvPicPr>
        <xdr:cNvPr id="8" name="Picture 7">
          <a:extLst>
            <a:ext uri="{FF2B5EF4-FFF2-40B4-BE49-F238E27FC236}">
              <a16:creationId xmlns:a16="http://schemas.microsoft.com/office/drawing/2014/main" id="{F8EC8E8B-2E05-4088-9329-CC9C0C7A1CCD}"/>
            </a:ext>
          </a:extLst>
        </xdr:cNvPr>
        <xdr:cNvPicPr>
          <a:picLocks noChangeAspect="1"/>
        </xdr:cNvPicPr>
      </xdr:nvPicPr>
      <xdr:blipFill>
        <a:blip xmlns:r="http://schemas.openxmlformats.org/officeDocument/2006/relationships" r:embed="rId7"/>
        <a:stretch>
          <a:fillRect/>
        </a:stretch>
      </xdr:blipFill>
      <xdr:spPr>
        <a:xfrm>
          <a:off x="16824144" y="762000"/>
          <a:ext cx="8046302" cy="5485328"/>
        </a:xfrm>
        <a:prstGeom prst="rect">
          <a:avLst/>
        </a:prstGeom>
      </xdr:spPr>
    </xdr:pic>
    <xdr:clientData/>
  </xdr:twoCellAnchor>
  <xdr:twoCellAnchor editAs="oneCell">
    <xdr:from>
      <xdr:col>19</xdr:col>
      <xdr:colOff>148591</xdr:colOff>
      <xdr:row>17</xdr:row>
      <xdr:rowOff>95250</xdr:rowOff>
    </xdr:from>
    <xdr:to>
      <xdr:col>24</xdr:col>
      <xdr:colOff>478155</xdr:colOff>
      <xdr:row>21</xdr:row>
      <xdr:rowOff>130279</xdr:rowOff>
    </xdr:to>
    <xdr:pic>
      <xdr:nvPicPr>
        <xdr:cNvPr id="9" name="Picture 2">
          <a:extLst>
            <a:ext uri="{FF2B5EF4-FFF2-40B4-BE49-F238E27FC236}">
              <a16:creationId xmlns:a16="http://schemas.microsoft.com/office/drawing/2014/main" id="{D3DAF97C-DFF2-4B86-AAF9-FA5E84C37E0E}"/>
            </a:ext>
          </a:extLst>
        </xdr:cNvPr>
        <xdr:cNvPicPr>
          <a:picLocks noChangeAspect="1"/>
        </xdr:cNvPicPr>
      </xdr:nvPicPr>
      <xdr:blipFill rotWithShape="1">
        <a:blip xmlns:r="http://schemas.openxmlformats.org/officeDocument/2006/relationships" r:embed="rId8">
          <a:extLst>
            <a:ext uri="{28A0092B-C50C-407E-A947-70E740481C1C}">
              <a14:useLocalDpi xmlns:a14="http://schemas.microsoft.com/office/drawing/2010/main" val="0"/>
            </a:ext>
          </a:extLst>
        </a:blip>
        <a:srcRect t="-975" r="31511"/>
        <a:stretch/>
      </xdr:blipFill>
      <xdr:spPr bwMode="auto">
        <a:xfrm>
          <a:off x="14293216" y="3038475"/>
          <a:ext cx="3373754" cy="724639"/>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25-Residential%20Project%20documentation%20upgrade/06-Calculation%20Sheets/SS/Preliminary%20Calculation%20v1.7.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Duct System Sizer"/>
      <sheetName val="02-Ventilation Rate"/>
      <sheetName val="03-Air System Sizer"/>
      <sheetName val="04-Exhaust Hood"/>
      <sheetName val="06-Fire Pump Vent"/>
      <sheetName val="REF-Duct Sizer"/>
      <sheetName val="REF- Pipe Size Chart"/>
      <sheetName val="REF"/>
      <sheetName val="Ver."/>
      <sheetName val="Sheet2"/>
      <sheetName val="01-AC Load"/>
    </sheetNames>
    <sheetDataSet>
      <sheetData sheetId="0"/>
      <sheetData sheetId="1"/>
      <sheetData sheetId="2"/>
      <sheetData sheetId="3"/>
      <sheetData sheetId="4"/>
      <sheetData sheetId="5"/>
      <sheetData sheetId="6"/>
      <sheetData sheetId="7"/>
      <sheetData sheetId="8"/>
      <sheetData sheetId="9"/>
      <sheetData sheetId="10"/>
    </sheetDataSet>
  </externalBook>
</externalLink>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vmlDrawing" Target="../drawings/vmlDrawing2.vml"/><Relationship Id="rId2" Type="http://schemas.openxmlformats.org/officeDocument/2006/relationships/drawing" Target="../drawings/drawing2.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8" Type="http://schemas.openxmlformats.org/officeDocument/2006/relationships/vmlDrawing" Target="../drawings/vmlDrawing3.vml"/><Relationship Id="rId3" Type="http://schemas.openxmlformats.org/officeDocument/2006/relationships/hyperlink" Target="mailto:A@7%20m/s,%20m2" TargetMode="External"/><Relationship Id="rId7" Type="http://schemas.openxmlformats.org/officeDocument/2006/relationships/drawing" Target="../drawings/drawing3.xml"/><Relationship Id="rId2" Type="http://schemas.openxmlformats.org/officeDocument/2006/relationships/hyperlink" Target="mailto:A@7%20m/s,%20m2" TargetMode="External"/><Relationship Id="rId1" Type="http://schemas.openxmlformats.org/officeDocument/2006/relationships/hyperlink" Target="mailto:A@7%20m/s,%20m2" TargetMode="External"/><Relationship Id="rId6" Type="http://schemas.openxmlformats.org/officeDocument/2006/relationships/printerSettings" Target="../printerSettings/printerSettings5.bin"/><Relationship Id="rId5" Type="http://schemas.openxmlformats.org/officeDocument/2006/relationships/hyperlink" Target="mailto:A@7%20m/s,%20m2" TargetMode="External"/><Relationship Id="rId4" Type="http://schemas.openxmlformats.org/officeDocument/2006/relationships/hyperlink" Target="mailto:A@7%20m/s,%20m2" TargetMode="External"/><Relationship Id="rId9" Type="http://schemas.openxmlformats.org/officeDocument/2006/relationships/comments" Target="../comments1.xml"/></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3" Type="http://schemas.openxmlformats.org/officeDocument/2006/relationships/vmlDrawing" Target="../drawings/vmlDrawing4.vml"/><Relationship Id="rId2" Type="http://schemas.openxmlformats.org/officeDocument/2006/relationships/drawing" Target="../drawings/drawing5.xml"/><Relationship Id="rId1" Type="http://schemas.openxmlformats.org/officeDocument/2006/relationships/printerSettings" Target="../printerSettings/printerSettings7.bin"/><Relationship Id="rId4" Type="http://schemas.openxmlformats.org/officeDocument/2006/relationships/comments" Target="../comments2.xml"/></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vmlDrawing" Target="../drawings/vmlDrawing5.vml"/><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6.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2:AB197"/>
  <sheetViews>
    <sheetView topLeftCell="A2" zoomScale="90" zoomScaleNormal="90" workbookViewId="0">
      <selection activeCell="Z8" sqref="Z8"/>
    </sheetView>
  </sheetViews>
  <sheetFormatPr defaultColWidth="10.42578125" defaultRowHeight="15" x14ac:dyDescent="0.25"/>
  <cols>
    <col min="1" max="1" width="10.28515625" style="1" customWidth="1"/>
    <col min="2" max="2" width="5" style="1" customWidth="1"/>
    <col min="3" max="3" width="10" style="1" customWidth="1"/>
    <col min="4" max="4" width="5.7109375" style="1" customWidth="1"/>
    <col min="5" max="5" width="6" style="1" customWidth="1"/>
    <col min="6" max="6" width="5" style="1" customWidth="1"/>
    <col min="7" max="7" width="9.5703125" style="1" customWidth="1"/>
    <col min="8" max="8" width="5.7109375" style="1" customWidth="1"/>
    <col min="9" max="9" width="6" style="1" customWidth="1"/>
    <col min="10" max="10" width="5" style="1" customWidth="1"/>
    <col min="11" max="11" width="8.7109375" style="1" customWidth="1"/>
    <col min="12" max="12" width="5.7109375" style="1" customWidth="1"/>
    <col min="13" max="13" width="6" style="1" customWidth="1"/>
    <col min="14" max="14" width="5" style="1" customWidth="1"/>
    <col min="15" max="15" width="8.7109375" style="1" customWidth="1"/>
    <col min="16" max="16" width="5.7109375" style="1" customWidth="1"/>
    <col min="17" max="17" width="6" style="1" customWidth="1"/>
    <col min="18" max="18" width="5" style="1" customWidth="1"/>
    <col min="19" max="19" width="8.7109375" style="1" customWidth="1"/>
    <col min="20" max="20" width="5.7109375" style="1" customWidth="1"/>
    <col min="21" max="21" width="6" style="1" customWidth="1"/>
    <col min="22" max="22" width="9.5703125" style="1" customWidth="1"/>
    <col min="23" max="24" width="10.42578125" style="1"/>
    <col min="25" max="25" width="15" style="1" customWidth="1"/>
    <col min="26" max="16384" width="10.42578125" style="1"/>
  </cols>
  <sheetData>
    <row r="2" spans="1:28" ht="15.75" thickBot="1" x14ac:dyDescent="0.3"/>
    <row r="3" spans="1:28" ht="15.75" thickBot="1" x14ac:dyDescent="0.3">
      <c r="A3" s="2" t="s">
        <v>15</v>
      </c>
      <c r="B3" s="382" t="s">
        <v>63</v>
      </c>
      <c r="C3" s="383"/>
      <c r="F3" s="384"/>
      <c r="G3" s="384"/>
      <c r="J3" s="384"/>
      <c r="K3" s="384"/>
      <c r="N3" s="384"/>
      <c r="O3" s="384"/>
      <c r="R3" s="384"/>
      <c r="S3" s="384"/>
    </row>
    <row r="4" spans="1:28" ht="15" customHeight="1" x14ac:dyDescent="0.25">
      <c r="A4" s="390" t="s">
        <v>16</v>
      </c>
      <c r="B4" s="392" t="s">
        <v>17</v>
      </c>
      <c r="C4" s="392"/>
      <c r="D4" s="392"/>
      <c r="E4" s="392"/>
      <c r="F4" s="392" t="s">
        <v>18</v>
      </c>
      <c r="G4" s="392"/>
      <c r="H4" s="392"/>
      <c r="I4" s="392"/>
      <c r="J4" s="392" t="s">
        <v>19</v>
      </c>
      <c r="K4" s="392"/>
      <c r="L4" s="392"/>
      <c r="M4" s="392"/>
      <c r="N4" s="392" t="s">
        <v>20</v>
      </c>
      <c r="O4" s="392"/>
      <c r="P4" s="392"/>
      <c r="Q4" s="392"/>
      <c r="R4" s="392" t="s">
        <v>21</v>
      </c>
      <c r="S4" s="392"/>
      <c r="T4" s="392"/>
      <c r="U4" s="392"/>
      <c r="V4" s="385" t="s">
        <v>25</v>
      </c>
      <c r="W4" s="387"/>
      <c r="X4" s="387"/>
      <c r="Y4" s="388"/>
    </row>
    <row r="5" spans="1:28" x14ac:dyDescent="0.25">
      <c r="A5" s="381"/>
      <c r="B5" s="3" t="s">
        <v>13</v>
      </c>
      <c r="C5" s="3" t="s">
        <v>27</v>
      </c>
      <c r="D5" s="3" t="s">
        <v>28</v>
      </c>
      <c r="E5" s="3" t="s">
        <v>29</v>
      </c>
      <c r="F5" s="3" t="s">
        <v>13</v>
      </c>
      <c r="G5" s="3" t="s">
        <v>27</v>
      </c>
      <c r="H5" s="3" t="s">
        <v>28</v>
      </c>
      <c r="I5" s="3" t="s">
        <v>29</v>
      </c>
      <c r="J5" s="3" t="s">
        <v>13</v>
      </c>
      <c r="K5" s="3" t="s">
        <v>27</v>
      </c>
      <c r="L5" s="3" t="s">
        <v>28</v>
      </c>
      <c r="M5" s="3" t="s">
        <v>29</v>
      </c>
      <c r="N5" s="3" t="s">
        <v>13</v>
      </c>
      <c r="O5" s="3" t="s">
        <v>27</v>
      </c>
      <c r="P5" s="3" t="s">
        <v>28</v>
      </c>
      <c r="Q5" s="3" t="s">
        <v>29</v>
      </c>
      <c r="R5" s="3" t="s">
        <v>13</v>
      </c>
      <c r="S5" s="3" t="s">
        <v>27</v>
      </c>
      <c r="T5" s="3" t="s">
        <v>28</v>
      </c>
      <c r="U5" s="3" t="s">
        <v>29</v>
      </c>
      <c r="V5" s="386"/>
      <c r="W5" s="4" t="s">
        <v>30</v>
      </c>
      <c r="X5" s="4" t="s">
        <v>31</v>
      </c>
      <c r="Y5" s="5" t="s">
        <v>32</v>
      </c>
    </row>
    <row r="6" spans="1:28" ht="15.75" thickBot="1" x14ac:dyDescent="0.3">
      <c r="A6" s="391"/>
      <c r="B6" s="6"/>
      <c r="C6" s="6"/>
      <c r="D6" s="6" t="s">
        <v>33</v>
      </c>
      <c r="E6" s="6" t="s">
        <v>33</v>
      </c>
      <c r="F6" s="6"/>
      <c r="G6" s="6"/>
      <c r="H6" s="6" t="s">
        <v>33</v>
      </c>
      <c r="I6" s="6" t="s">
        <v>33</v>
      </c>
      <c r="J6" s="6"/>
      <c r="K6" s="6"/>
      <c r="L6" s="6" t="s">
        <v>33</v>
      </c>
      <c r="M6" s="6" t="s">
        <v>33</v>
      </c>
      <c r="N6" s="6"/>
      <c r="O6" s="6"/>
      <c r="P6" s="6" t="s">
        <v>33</v>
      </c>
      <c r="Q6" s="6" t="s">
        <v>33</v>
      </c>
      <c r="R6" s="6"/>
      <c r="S6" s="6"/>
      <c r="T6" s="6" t="s">
        <v>33</v>
      </c>
      <c r="U6" s="6" t="s">
        <v>33</v>
      </c>
      <c r="V6" s="6" t="s">
        <v>33</v>
      </c>
      <c r="W6" s="6" t="s">
        <v>34</v>
      </c>
      <c r="X6" s="6" t="s">
        <v>34</v>
      </c>
      <c r="Y6" s="7" t="s">
        <v>35</v>
      </c>
      <c r="Z6" s="20" t="s">
        <v>64</v>
      </c>
      <c r="AA6" s="20" t="s">
        <v>65</v>
      </c>
      <c r="AB6" s="20" t="s">
        <v>66</v>
      </c>
    </row>
    <row r="7" spans="1:28" ht="15.75" thickTop="1" x14ac:dyDescent="0.25">
      <c r="A7" s="389" t="s">
        <v>36</v>
      </c>
      <c r="B7" s="3">
        <v>6</v>
      </c>
      <c r="C7" s="3"/>
      <c r="D7" s="3">
        <v>400</v>
      </c>
      <c r="E7" s="8"/>
      <c r="F7" s="3"/>
      <c r="G7" s="3"/>
      <c r="H7" s="3"/>
      <c r="I7" s="8"/>
      <c r="J7" s="8"/>
      <c r="K7" s="8"/>
      <c r="L7" s="8"/>
      <c r="M7" s="8"/>
      <c r="N7" s="8"/>
      <c r="O7" s="8"/>
      <c r="P7" s="8"/>
      <c r="Q7" s="8"/>
      <c r="R7" s="8"/>
      <c r="S7" s="8"/>
      <c r="T7" s="8"/>
      <c r="U7" s="8"/>
      <c r="V7" s="8"/>
      <c r="W7" s="8"/>
      <c r="X7" s="8"/>
      <c r="Y7" s="9"/>
    </row>
    <row r="8" spans="1:28" x14ac:dyDescent="0.25">
      <c r="A8" s="381"/>
      <c r="B8" s="10"/>
      <c r="C8" s="10"/>
      <c r="D8" s="10"/>
      <c r="E8" s="10">
        <f>B7*D7</f>
        <v>2400</v>
      </c>
      <c r="F8" s="10"/>
      <c r="G8" s="10"/>
      <c r="H8" s="10"/>
      <c r="I8" s="10"/>
      <c r="J8" s="10"/>
      <c r="K8" s="10"/>
      <c r="L8" s="10"/>
      <c r="M8" s="10">
        <f>J7*L7</f>
        <v>0</v>
      </c>
      <c r="N8" s="10"/>
      <c r="O8" s="10"/>
      <c r="P8" s="10"/>
      <c r="Q8" s="10">
        <f>N7*P7</f>
        <v>0</v>
      </c>
      <c r="R8" s="10"/>
      <c r="S8" s="10"/>
      <c r="T8" s="10"/>
      <c r="U8" s="10">
        <f>R7*T7</f>
        <v>0</v>
      </c>
      <c r="V8" s="10">
        <f>SUM(E8:U8)</f>
        <v>2400</v>
      </c>
      <c r="W8" s="11">
        <v>0.2</v>
      </c>
      <c r="X8" s="11">
        <v>0.2</v>
      </c>
      <c r="Y8" s="12">
        <f>V8/W8/X8/1000</f>
        <v>60</v>
      </c>
      <c r="Z8" s="1">
        <f>V8*0.8</f>
        <v>1920</v>
      </c>
      <c r="AA8" s="1">
        <v>1050</v>
      </c>
      <c r="AB8" s="1">
        <v>1950</v>
      </c>
    </row>
    <row r="9" spans="1:28" x14ac:dyDescent="0.25">
      <c r="A9" s="381" t="s">
        <v>10</v>
      </c>
      <c r="B9" s="3">
        <v>2</v>
      </c>
      <c r="C9" s="3"/>
      <c r="D9" s="3">
        <v>450</v>
      </c>
      <c r="E9" s="3"/>
      <c r="F9" s="3">
        <v>4</v>
      </c>
      <c r="G9" s="3"/>
      <c r="H9" s="3">
        <v>450</v>
      </c>
      <c r="I9" s="3"/>
      <c r="J9" s="3"/>
      <c r="K9" s="3"/>
      <c r="L9" s="3"/>
      <c r="M9" s="3"/>
      <c r="N9" s="3"/>
      <c r="O9" s="3"/>
      <c r="P9" s="3"/>
      <c r="Q9" s="3"/>
      <c r="R9" s="3"/>
      <c r="S9" s="3"/>
      <c r="T9" s="3"/>
      <c r="U9" s="3"/>
      <c r="V9" s="3"/>
      <c r="W9" s="3"/>
      <c r="X9" s="3"/>
      <c r="Y9" s="5"/>
    </row>
    <row r="10" spans="1:28" x14ac:dyDescent="0.25">
      <c r="A10" s="381"/>
      <c r="B10" s="10"/>
      <c r="C10" s="10"/>
      <c r="D10" s="10"/>
      <c r="E10" s="10">
        <f>B9*D9</f>
        <v>900</v>
      </c>
      <c r="F10" s="10"/>
      <c r="G10" s="10"/>
      <c r="H10" s="10"/>
      <c r="I10" s="10">
        <f>F9*H9</f>
        <v>1800</v>
      </c>
      <c r="J10" s="10"/>
      <c r="K10" s="10"/>
      <c r="L10" s="10"/>
      <c r="M10" s="10">
        <f>J9*L9</f>
        <v>0</v>
      </c>
      <c r="N10" s="10"/>
      <c r="O10" s="10"/>
      <c r="P10" s="10"/>
      <c r="Q10" s="10">
        <f>N9*P9</f>
        <v>0</v>
      </c>
      <c r="R10" s="10"/>
      <c r="S10" s="10"/>
      <c r="T10" s="10"/>
      <c r="U10" s="10">
        <f>R9*T9</f>
        <v>0</v>
      </c>
      <c r="V10" s="10">
        <f>SUM(E10:U10)</f>
        <v>2700</v>
      </c>
      <c r="W10" s="11">
        <v>0</v>
      </c>
      <c r="X10" s="11">
        <v>0</v>
      </c>
      <c r="Y10" s="12" t="e">
        <f>V10/W10/X10/1000</f>
        <v>#DIV/0!</v>
      </c>
      <c r="Z10" s="1">
        <f>V10*0.8</f>
        <v>2160</v>
      </c>
      <c r="AA10" s="1">
        <v>945</v>
      </c>
      <c r="AB10" s="1">
        <v>1755</v>
      </c>
    </row>
    <row r="11" spans="1:28" x14ac:dyDescent="0.25">
      <c r="A11" s="381" t="s">
        <v>38</v>
      </c>
      <c r="B11" s="3">
        <v>4</v>
      </c>
      <c r="C11" s="3"/>
      <c r="D11" s="3">
        <v>500</v>
      </c>
      <c r="E11" s="3"/>
      <c r="F11" s="8">
        <v>4</v>
      </c>
      <c r="G11" s="8"/>
      <c r="H11" s="8">
        <v>750</v>
      </c>
      <c r="I11" s="3"/>
      <c r="J11" s="3"/>
      <c r="K11" s="3"/>
      <c r="L11" s="3"/>
      <c r="M11" s="3"/>
      <c r="N11" s="3"/>
      <c r="O11" s="3"/>
      <c r="P11" s="3"/>
      <c r="Q11" s="3"/>
      <c r="R11" s="3"/>
      <c r="S11" s="3"/>
      <c r="T11" s="3"/>
      <c r="U11" s="3"/>
      <c r="V11" s="3"/>
      <c r="W11" s="3"/>
      <c r="X11" s="3"/>
      <c r="Y11" s="5"/>
    </row>
    <row r="12" spans="1:28" ht="15.75" thickBot="1" x14ac:dyDescent="0.3">
      <c r="A12" s="381"/>
      <c r="B12" s="10"/>
      <c r="C12" s="10"/>
      <c r="D12" s="10"/>
      <c r="E12" s="10">
        <f>B11*D11</f>
        <v>2000</v>
      </c>
      <c r="F12" s="10"/>
      <c r="G12" s="10"/>
      <c r="H12" s="10"/>
      <c r="I12" s="10">
        <f>F11*H11</f>
        <v>3000</v>
      </c>
      <c r="J12" s="10"/>
      <c r="K12" s="10"/>
      <c r="L12" s="10"/>
      <c r="M12" s="10">
        <f>J11*L11</f>
        <v>0</v>
      </c>
      <c r="N12" s="10"/>
      <c r="O12" s="10"/>
      <c r="P12" s="10"/>
      <c r="Q12" s="10">
        <f>N11*P11</f>
        <v>0</v>
      </c>
      <c r="R12" s="10"/>
      <c r="S12" s="10"/>
      <c r="T12" s="10"/>
      <c r="U12" s="10">
        <f>R11*T11</f>
        <v>0</v>
      </c>
      <c r="V12" s="10">
        <f>SUM(E12:U12)</f>
        <v>5000</v>
      </c>
      <c r="W12" s="11">
        <v>1.5</v>
      </c>
      <c r="X12" s="11">
        <v>0.4</v>
      </c>
      <c r="Y12" s="12">
        <f>V12/W12/X12/1000</f>
        <v>8.3333333333333339</v>
      </c>
      <c r="Z12" s="1">
        <f>V12*0.8</f>
        <v>4000</v>
      </c>
      <c r="AA12" s="1">
        <v>2000</v>
      </c>
      <c r="AB12" s="1">
        <v>3000</v>
      </c>
    </row>
    <row r="13" spans="1:28" ht="15.75" thickBot="1" x14ac:dyDescent="0.3">
      <c r="V13" s="15">
        <f>SUM(V8:V12)</f>
        <v>10100</v>
      </c>
      <c r="W13" s="16">
        <v>1</v>
      </c>
      <c r="X13" s="16">
        <v>1.8</v>
      </c>
      <c r="Y13" s="17">
        <f>V13/W13/X13/1000</f>
        <v>5.6111111111111116</v>
      </c>
      <c r="Z13" s="1">
        <f>V13*0.8</f>
        <v>8080</v>
      </c>
    </row>
    <row r="14" spans="1:28" ht="15.75" thickBot="1" x14ac:dyDescent="0.3">
      <c r="V14" s="15">
        <f>V13</f>
        <v>10100</v>
      </c>
      <c r="W14" s="16">
        <v>0.5</v>
      </c>
      <c r="X14" s="16">
        <v>0.2</v>
      </c>
      <c r="Y14" s="17">
        <f>V14/W14/X14/1000</f>
        <v>101</v>
      </c>
    </row>
    <row r="18" spans="1:26" ht="15.75" thickBot="1" x14ac:dyDescent="0.3"/>
    <row r="19" spans="1:26" ht="15.75" thickBot="1" x14ac:dyDescent="0.3">
      <c r="A19" s="2" t="s">
        <v>15</v>
      </c>
      <c r="B19" s="382" t="s">
        <v>67</v>
      </c>
      <c r="C19" s="383"/>
      <c r="F19" s="384"/>
      <c r="G19" s="384"/>
      <c r="J19" s="384"/>
      <c r="K19" s="384"/>
      <c r="N19" s="384"/>
      <c r="O19" s="384"/>
      <c r="R19" s="384"/>
      <c r="S19" s="384"/>
    </row>
    <row r="20" spans="1:26" x14ac:dyDescent="0.25">
      <c r="A20" s="390" t="s">
        <v>16</v>
      </c>
      <c r="B20" s="392" t="s">
        <v>17</v>
      </c>
      <c r="C20" s="392"/>
      <c r="D20" s="392"/>
      <c r="E20" s="392"/>
      <c r="F20" s="392" t="s">
        <v>18</v>
      </c>
      <c r="G20" s="392"/>
      <c r="H20" s="392"/>
      <c r="I20" s="392"/>
      <c r="J20" s="392" t="s">
        <v>19</v>
      </c>
      <c r="K20" s="392"/>
      <c r="L20" s="392"/>
      <c r="M20" s="392"/>
      <c r="N20" s="392" t="s">
        <v>20</v>
      </c>
      <c r="O20" s="392"/>
      <c r="P20" s="392"/>
      <c r="Q20" s="392"/>
      <c r="R20" s="392" t="s">
        <v>21</v>
      </c>
      <c r="S20" s="392"/>
      <c r="T20" s="392"/>
      <c r="U20" s="392"/>
      <c r="V20" s="385" t="s">
        <v>25</v>
      </c>
      <c r="W20" s="387"/>
      <c r="X20" s="387"/>
      <c r="Y20" s="388"/>
    </row>
    <row r="21" spans="1:26" x14ac:dyDescent="0.25">
      <c r="A21" s="381"/>
      <c r="B21" s="3" t="s">
        <v>13</v>
      </c>
      <c r="C21" s="3" t="s">
        <v>27</v>
      </c>
      <c r="D21" s="3" t="s">
        <v>28</v>
      </c>
      <c r="E21" s="3" t="s">
        <v>29</v>
      </c>
      <c r="F21" s="3" t="s">
        <v>13</v>
      </c>
      <c r="G21" s="3" t="s">
        <v>27</v>
      </c>
      <c r="H21" s="3" t="s">
        <v>28</v>
      </c>
      <c r="I21" s="3" t="s">
        <v>29</v>
      </c>
      <c r="J21" s="3" t="s">
        <v>13</v>
      </c>
      <c r="K21" s="3" t="s">
        <v>27</v>
      </c>
      <c r="L21" s="3" t="s">
        <v>28</v>
      </c>
      <c r="M21" s="3" t="s">
        <v>29</v>
      </c>
      <c r="N21" s="3" t="s">
        <v>13</v>
      </c>
      <c r="O21" s="3" t="s">
        <v>27</v>
      </c>
      <c r="P21" s="3" t="s">
        <v>28</v>
      </c>
      <c r="Q21" s="3" t="s">
        <v>29</v>
      </c>
      <c r="R21" s="3" t="s">
        <v>13</v>
      </c>
      <c r="S21" s="3" t="s">
        <v>27</v>
      </c>
      <c r="T21" s="3" t="s">
        <v>28</v>
      </c>
      <c r="U21" s="3" t="s">
        <v>29</v>
      </c>
      <c r="V21" s="386"/>
      <c r="W21" s="4" t="s">
        <v>30</v>
      </c>
      <c r="X21" s="4" t="s">
        <v>31</v>
      </c>
      <c r="Y21" s="5" t="s">
        <v>32</v>
      </c>
    </row>
    <row r="22" spans="1:26" ht="15.75" thickBot="1" x14ac:dyDescent="0.3">
      <c r="A22" s="391"/>
      <c r="B22" s="6"/>
      <c r="C22" s="6"/>
      <c r="D22" s="6" t="s">
        <v>33</v>
      </c>
      <c r="E22" s="6" t="s">
        <v>33</v>
      </c>
      <c r="F22" s="6"/>
      <c r="G22" s="6"/>
      <c r="H22" s="6" t="s">
        <v>33</v>
      </c>
      <c r="I22" s="6" t="s">
        <v>33</v>
      </c>
      <c r="J22" s="6"/>
      <c r="K22" s="6"/>
      <c r="L22" s="6" t="s">
        <v>33</v>
      </c>
      <c r="M22" s="6" t="s">
        <v>33</v>
      </c>
      <c r="N22" s="6"/>
      <c r="O22" s="6"/>
      <c r="P22" s="6" t="s">
        <v>33</v>
      </c>
      <c r="Q22" s="6" t="s">
        <v>33</v>
      </c>
      <c r="R22" s="6"/>
      <c r="S22" s="6"/>
      <c r="T22" s="6" t="s">
        <v>33</v>
      </c>
      <c r="U22" s="6" t="s">
        <v>33</v>
      </c>
      <c r="V22" s="6" t="s">
        <v>33</v>
      </c>
      <c r="W22" s="6" t="s">
        <v>34</v>
      </c>
      <c r="X22" s="6" t="s">
        <v>34</v>
      </c>
      <c r="Y22" s="7" t="s">
        <v>35</v>
      </c>
    </row>
    <row r="23" spans="1:26" ht="15.75" thickTop="1" x14ac:dyDescent="0.25">
      <c r="A23" s="389" t="s">
        <v>36</v>
      </c>
      <c r="B23" s="3"/>
      <c r="C23" s="3"/>
      <c r="D23" s="3"/>
      <c r="E23" s="8"/>
      <c r="F23" s="3"/>
      <c r="G23" s="3"/>
      <c r="H23" s="3"/>
      <c r="I23" s="8"/>
      <c r="J23" s="8"/>
      <c r="K23" s="8"/>
      <c r="L23" s="8"/>
      <c r="M23" s="8"/>
      <c r="N23" s="8"/>
      <c r="O23" s="8"/>
      <c r="P23" s="8"/>
      <c r="Q23" s="8"/>
      <c r="R23" s="8"/>
      <c r="S23" s="8"/>
      <c r="T23" s="8"/>
      <c r="U23" s="8"/>
      <c r="V23" s="8"/>
      <c r="W23" s="8"/>
      <c r="X23" s="8"/>
      <c r="Y23" s="9"/>
    </row>
    <row r="24" spans="1:26" x14ac:dyDescent="0.25">
      <c r="A24" s="381"/>
      <c r="B24" s="10"/>
      <c r="C24" s="10"/>
      <c r="D24" s="10"/>
      <c r="E24" s="10">
        <f>B23*D23</f>
        <v>0</v>
      </c>
      <c r="F24" s="10"/>
      <c r="G24" s="10"/>
      <c r="H24" s="10"/>
      <c r="I24" s="10">
        <f>F23*H23</f>
        <v>0</v>
      </c>
      <c r="J24" s="10"/>
      <c r="K24" s="10"/>
      <c r="L24" s="10"/>
      <c r="M24" s="10">
        <f>J23*L23</f>
        <v>0</v>
      </c>
      <c r="N24" s="10"/>
      <c r="O24" s="10"/>
      <c r="P24" s="10"/>
      <c r="Q24" s="10">
        <f>N23*P23</f>
        <v>0</v>
      </c>
      <c r="R24" s="10"/>
      <c r="S24" s="10"/>
      <c r="T24" s="10"/>
      <c r="U24" s="10">
        <f>R23*T23</f>
        <v>0</v>
      </c>
      <c r="V24" s="10">
        <f>SUM(E24:U24)</f>
        <v>0</v>
      </c>
      <c r="W24" s="11">
        <v>0.5</v>
      </c>
      <c r="X24" s="11">
        <v>0.3</v>
      </c>
      <c r="Y24" s="12">
        <f>V24/W24/X24/1000</f>
        <v>0</v>
      </c>
      <c r="Z24" s="1">
        <f>Z8*0.35</f>
        <v>672</v>
      </c>
    </row>
    <row r="25" spans="1:26" x14ac:dyDescent="0.25">
      <c r="A25" s="381" t="s">
        <v>10</v>
      </c>
      <c r="B25" s="3">
        <v>5</v>
      </c>
      <c r="C25" s="3"/>
      <c r="D25" s="3">
        <v>152</v>
      </c>
      <c r="E25" s="3"/>
      <c r="F25" s="8"/>
      <c r="G25" s="8"/>
      <c r="H25" s="8"/>
      <c r="I25" s="3"/>
      <c r="J25" s="3"/>
      <c r="K25" s="3"/>
      <c r="L25" s="3"/>
      <c r="M25" s="3"/>
      <c r="N25" s="3"/>
      <c r="O25" s="3"/>
      <c r="P25" s="3"/>
      <c r="Q25" s="3"/>
      <c r="R25" s="3"/>
      <c r="S25" s="3"/>
      <c r="T25" s="3"/>
      <c r="U25" s="3"/>
      <c r="V25" s="3"/>
      <c r="W25" s="3"/>
      <c r="X25" s="3"/>
      <c r="Y25" s="5"/>
    </row>
    <row r="26" spans="1:26" x14ac:dyDescent="0.25">
      <c r="A26" s="381"/>
      <c r="B26" s="10"/>
      <c r="C26" s="10"/>
      <c r="D26" s="10"/>
      <c r="E26" s="10">
        <f>B25*D25</f>
        <v>760</v>
      </c>
      <c r="F26" s="10"/>
      <c r="G26" s="10"/>
      <c r="H26" s="10"/>
      <c r="I26" s="10">
        <f>F25*H25</f>
        <v>0</v>
      </c>
      <c r="J26" s="10"/>
      <c r="K26" s="10"/>
      <c r="L26" s="10"/>
      <c r="M26" s="10">
        <f>J25*L25</f>
        <v>0</v>
      </c>
      <c r="N26" s="10"/>
      <c r="O26" s="10"/>
      <c r="P26" s="10"/>
      <c r="Q26" s="10">
        <f>N25*P25</f>
        <v>0</v>
      </c>
      <c r="R26" s="10"/>
      <c r="S26" s="10"/>
      <c r="T26" s="10"/>
      <c r="U26" s="10">
        <f>R25*T25</f>
        <v>0</v>
      </c>
      <c r="V26" s="10">
        <f>SUM(E26:U26)</f>
        <v>760</v>
      </c>
      <c r="W26" s="11">
        <v>0</v>
      </c>
      <c r="X26" s="11">
        <v>0</v>
      </c>
      <c r="Y26" s="12" t="e">
        <f>V26/W26/X26/1000</f>
        <v>#DIV/0!</v>
      </c>
      <c r="Z26" s="1">
        <f>Z10*0.35</f>
        <v>756</v>
      </c>
    </row>
    <row r="27" spans="1:26" x14ac:dyDescent="0.25">
      <c r="A27" s="381" t="s">
        <v>38</v>
      </c>
      <c r="B27" s="3">
        <v>5</v>
      </c>
      <c r="C27" s="3"/>
      <c r="D27" s="3">
        <v>200</v>
      </c>
      <c r="E27" s="3"/>
      <c r="F27" s="8"/>
      <c r="G27" s="8"/>
      <c r="H27" s="8"/>
      <c r="I27" s="3"/>
      <c r="J27" s="3"/>
      <c r="K27" s="3"/>
      <c r="L27" s="3"/>
      <c r="M27" s="3"/>
      <c r="N27" s="3"/>
      <c r="O27" s="3"/>
      <c r="P27" s="3"/>
      <c r="Q27" s="3"/>
      <c r="R27" s="3"/>
      <c r="S27" s="3"/>
      <c r="T27" s="3"/>
      <c r="U27" s="3"/>
      <c r="V27" s="3"/>
      <c r="W27" s="3"/>
      <c r="X27" s="3"/>
      <c r="Y27" s="5"/>
    </row>
    <row r="28" spans="1:26" ht="15.75" thickBot="1" x14ac:dyDescent="0.3">
      <c r="A28" s="381"/>
      <c r="B28" s="10"/>
      <c r="C28" s="10"/>
      <c r="D28" s="10"/>
      <c r="E28" s="10">
        <f>B27*D27</f>
        <v>1000</v>
      </c>
      <c r="F28" s="10"/>
      <c r="G28" s="10"/>
      <c r="H28" s="10"/>
      <c r="I28" s="10">
        <f>F27*H27</f>
        <v>0</v>
      </c>
      <c r="J28" s="10"/>
      <c r="K28" s="10"/>
      <c r="L28" s="10"/>
      <c r="M28" s="10">
        <f>J27*L27</f>
        <v>0</v>
      </c>
      <c r="N28" s="10"/>
      <c r="O28" s="10"/>
      <c r="P28" s="10"/>
      <c r="Q28" s="10">
        <f>N27*P27</f>
        <v>0</v>
      </c>
      <c r="R28" s="10"/>
      <c r="S28" s="10"/>
      <c r="T28" s="10"/>
      <c r="U28" s="10">
        <f>R27*T27</f>
        <v>0</v>
      </c>
      <c r="V28" s="10">
        <f>SUM(E28:U28)</f>
        <v>1000</v>
      </c>
      <c r="W28" s="11">
        <v>0</v>
      </c>
      <c r="X28" s="11">
        <v>0</v>
      </c>
      <c r="Y28" s="12" t="e">
        <f>V28/W28/X28/1000</f>
        <v>#DIV/0!</v>
      </c>
      <c r="Z28" s="1">
        <f>Z12*0.35</f>
        <v>1400</v>
      </c>
    </row>
    <row r="29" spans="1:26" ht="15.75" thickBot="1" x14ac:dyDescent="0.3">
      <c r="V29" s="15">
        <f>SUM(V24:V28)</f>
        <v>1760</v>
      </c>
      <c r="W29" s="16">
        <v>1</v>
      </c>
      <c r="X29" s="16">
        <v>0.8</v>
      </c>
      <c r="Y29" s="17">
        <f>V29/W29/X29/1000</f>
        <v>2.2000000000000002</v>
      </c>
      <c r="Z29" s="1">
        <f>Z13*0.35</f>
        <v>2828</v>
      </c>
    </row>
    <row r="30" spans="1:26" ht="15.75" thickBot="1" x14ac:dyDescent="0.3">
      <c r="V30" s="15">
        <f>V29</f>
        <v>1760</v>
      </c>
      <c r="W30" s="16">
        <v>1.2</v>
      </c>
      <c r="X30" s="16">
        <v>0.75</v>
      </c>
      <c r="Y30" s="17">
        <f>V30/W30/X30/1000</f>
        <v>1.9555555555555557</v>
      </c>
    </row>
    <row r="34" spans="1:26" ht="15.75" thickBot="1" x14ac:dyDescent="0.3"/>
    <row r="35" spans="1:26" ht="15.75" thickBot="1" x14ac:dyDescent="0.3">
      <c r="A35" s="2" t="s">
        <v>15</v>
      </c>
      <c r="B35" s="382" t="s">
        <v>68</v>
      </c>
      <c r="C35" s="383"/>
      <c r="F35" s="384"/>
      <c r="G35" s="384"/>
      <c r="J35" s="384"/>
      <c r="K35" s="384"/>
      <c r="N35" s="384"/>
      <c r="O35" s="384"/>
      <c r="R35" s="384"/>
      <c r="S35" s="384"/>
    </row>
    <row r="36" spans="1:26" x14ac:dyDescent="0.25">
      <c r="A36" s="390" t="s">
        <v>16</v>
      </c>
      <c r="B36" s="392" t="s">
        <v>17</v>
      </c>
      <c r="C36" s="392"/>
      <c r="D36" s="392"/>
      <c r="E36" s="392"/>
      <c r="F36" s="392" t="s">
        <v>18</v>
      </c>
      <c r="G36" s="392"/>
      <c r="H36" s="392"/>
      <c r="I36" s="392"/>
      <c r="J36" s="392" t="s">
        <v>19</v>
      </c>
      <c r="K36" s="392"/>
      <c r="L36" s="392"/>
      <c r="M36" s="392"/>
      <c r="N36" s="392" t="s">
        <v>20</v>
      </c>
      <c r="O36" s="392"/>
      <c r="P36" s="392"/>
      <c r="Q36" s="392"/>
      <c r="R36" s="392" t="s">
        <v>21</v>
      </c>
      <c r="S36" s="392"/>
      <c r="T36" s="392"/>
      <c r="U36" s="392"/>
      <c r="V36" s="385" t="s">
        <v>25</v>
      </c>
      <c r="W36" s="387"/>
      <c r="X36" s="387"/>
      <c r="Y36" s="388"/>
    </row>
    <row r="37" spans="1:26" x14ac:dyDescent="0.25">
      <c r="A37" s="381"/>
      <c r="B37" s="3" t="s">
        <v>13</v>
      </c>
      <c r="C37" s="3" t="s">
        <v>27</v>
      </c>
      <c r="D37" s="3" t="s">
        <v>28</v>
      </c>
      <c r="E37" s="3" t="s">
        <v>29</v>
      </c>
      <c r="F37" s="3" t="s">
        <v>13</v>
      </c>
      <c r="G37" s="3" t="s">
        <v>27</v>
      </c>
      <c r="H37" s="3" t="s">
        <v>28</v>
      </c>
      <c r="I37" s="3" t="s">
        <v>29</v>
      </c>
      <c r="J37" s="3" t="s">
        <v>13</v>
      </c>
      <c r="K37" s="3" t="s">
        <v>27</v>
      </c>
      <c r="L37" s="3" t="s">
        <v>28</v>
      </c>
      <c r="M37" s="3" t="s">
        <v>29</v>
      </c>
      <c r="N37" s="3" t="s">
        <v>13</v>
      </c>
      <c r="O37" s="3" t="s">
        <v>27</v>
      </c>
      <c r="P37" s="3" t="s">
        <v>28</v>
      </c>
      <c r="Q37" s="3" t="s">
        <v>29</v>
      </c>
      <c r="R37" s="3" t="s">
        <v>13</v>
      </c>
      <c r="S37" s="3" t="s">
        <v>27</v>
      </c>
      <c r="T37" s="3" t="s">
        <v>28</v>
      </c>
      <c r="U37" s="3" t="s">
        <v>29</v>
      </c>
      <c r="V37" s="386"/>
      <c r="W37" s="4" t="s">
        <v>30</v>
      </c>
      <c r="X37" s="4" t="s">
        <v>31</v>
      </c>
      <c r="Y37" s="5" t="s">
        <v>32</v>
      </c>
    </row>
    <row r="38" spans="1:26" ht="15.75" thickBot="1" x14ac:dyDescent="0.3">
      <c r="A38" s="391"/>
      <c r="B38" s="6"/>
      <c r="C38" s="6"/>
      <c r="D38" s="6" t="s">
        <v>33</v>
      </c>
      <c r="E38" s="6" t="s">
        <v>33</v>
      </c>
      <c r="F38" s="6"/>
      <c r="G38" s="6"/>
      <c r="H38" s="6" t="s">
        <v>33</v>
      </c>
      <c r="I38" s="6" t="s">
        <v>33</v>
      </c>
      <c r="J38" s="6"/>
      <c r="K38" s="6"/>
      <c r="L38" s="6" t="s">
        <v>33</v>
      </c>
      <c r="M38" s="6" t="s">
        <v>33</v>
      </c>
      <c r="N38" s="6"/>
      <c r="O38" s="6"/>
      <c r="P38" s="6" t="s">
        <v>33</v>
      </c>
      <c r="Q38" s="6" t="s">
        <v>33</v>
      </c>
      <c r="R38" s="6"/>
      <c r="S38" s="6"/>
      <c r="T38" s="6" t="s">
        <v>33</v>
      </c>
      <c r="U38" s="6" t="s">
        <v>33</v>
      </c>
      <c r="V38" s="6" t="s">
        <v>33</v>
      </c>
      <c r="W38" s="6" t="s">
        <v>34</v>
      </c>
      <c r="X38" s="6" t="s">
        <v>34</v>
      </c>
      <c r="Y38" s="7" t="s">
        <v>35</v>
      </c>
    </row>
    <row r="39" spans="1:26" ht="15.75" thickTop="1" x14ac:dyDescent="0.25">
      <c r="A39" s="389" t="s">
        <v>36</v>
      </c>
      <c r="B39" s="3">
        <v>11</v>
      </c>
      <c r="C39" s="3"/>
      <c r="D39" s="3">
        <v>175</v>
      </c>
      <c r="E39" s="8"/>
      <c r="F39" s="3"/>
      <c r="G39" s="3"/>
      <c r="H39" s="3"/>
      <c r="I39" s="8"/>
      <c r="J39" s="8"/>
      <c r="K39" s="8"/>
      <c r="L39" s="8"/>
      <c r="M39" s="8"/>
      <c r="N39" s="8"/>
      <c r="O39" s="8"/>
      <c r="P39" s="8"/>
      <c r="Q39" s="8"/>
      <c r="R39" s="8"/>
      <c r="S39" s="8"/>
      <c r="T39" s="8"/>
      <c r="U39" s="8"/>
      <c r="V39" s="8"/>
      <c r="W39" s="8"/>
      <c r="X39" s="8"/>
      <c r="Y39" s="9"/>
    </row>
    <row r="40" spans="1:26" x14ac:dyDescent="0.25">
      <c r="A40" s="381"/>
      <c r="B40" s="10"/>
      <c r="C40" s="10"/>
      <c r="D40" s="10"/>
      <c r="E40" s="10">
        <f>B39*D39</f>
        <v>1925</v>
      </c>
      <c r="F40" s="10"/>
      <c r="G40" s="10"/>
      <c r="H40" s="10"/>
      <c r="I40" s="10">
        <f>F39*H39</f>
        <v>0</v>
      </c>
      <c r="J40" s="10"/>
      <c r="K40" s="10"/>
      <c r="L40" s="10"/>
      <c r="M40" s="10">
        <f>J39*L39</f>
        <v>0</v>
      </c>
      <c r="N40" s="10"/>
      <c r="O40" s="10"/>
      <c r="P40" s="10"/>
      <c r="Q40" s="10">
        <f>N39*P39</f>
        <v>0</v>
      </c>
      <c r="R40" s="10"/>
      <c r="S40" s="10"/>
      <c r="T40" s="10"/>
      <c r="U40" s="10">
        <f>R39*T39</f>
        <v>0</v>
      </c>
      <c r="V40" s="10">
        <f>SUM(E40:U40)</f>
        <v>1925</v>
      </c>
      <c r="W40" s="11">
        <v>0.8</v>
      </c>
      <c r="X40" s="11">
        <v>0.3</v>
      </c>
      <c r="Y40" s="12">
        <f>V40/W40/X40/1000</f>
        <v>8.0208333333333339</v>
      </c>
      <c r="Z40" s="1">
        <f>Z8*0.65</f>
        <v>1248</v>
      </c>
    </row>
    <row r="41" spans="1:26" x14ac:dyDescent="0.25">
      <c r="A41" s="381" t="s">
        <v>10</v>
      </c>
      <c r="B41" s="3">
        <v>9</v>
      </c>
      <c r="C41" s="3" t="s">
        <v>37</v>
      </c>
      <c r="D41" s="3">
        <v>155</v>
      </c>
      <c r="E41" s="3"/>
      <c r="F41" s="8"/>
      <c r="G41" s="8"/>
      <c r="H41" s="8"/>
      <c r="I41" s="3"/>
      <c r="J41" s="3"/>
      <c r="K41" s="3"/>
      <c r="L41" s="3"/>
      <c r="M41" s="3"/>
      <c r="N41" s="3"/>
      <c r="O41" s="3"/>
      <c r="P41" s="3"/>
      <c r="Q41" s="3"/>
      <c r="R41" s="3"/>
      <c r="S41" s="3"/>
      <c r="T41" s="3"/>
      <c r="U41" s="3"/>
      <c r="V41" s="3"/>
      <c r="W41" s="3"/>
      <c r="X41" s="3"/>
      <c r="Y41" s="5"/>
    </row>
    <row r="42" spans="1:26" x14ac:dyDescent="0.25">
      <c r="A42" s="381"/>
      <c r="B42" s="10"/>
      <c r="C42" s="10"/>
      <c r="D42" s="10"/>
      <c r="E42" s="10">
        <f>B41*D41</f>
        <v>1395</v>
      </c>
      <c r="F42" s="10"/>
      <c r="G42" s="10"/>
      <c r="H42" s="10"/>
      <c r="I42" s="10">
        <f>F41*H41</f>
        <v>0</v>
      </c>
      <c r="J42" s="10"/>
      <c r="K42" s="10"/>
      <c r="L42" s="10"/>
      <c r="M42" s="10">
        <f>J41*L41</f>
        <v>0</v>
      </c>
      <c r="N42" s="10"/>
      <c r="O42" s="10"/>
      <c r="P42" s="10"/>
      <c r="Q42" s="10">
        <f>N41*P41</f>
        <v>0</v>
      </c>
      <c r="R42" s="10"/>
      <c r="S42" s="10"/>
      <c r="T42" s="10"/>
      <c r="U42" s="10">
        <f>R41*T41</f>
        <v>0</v>
      </c>
      <c r="V42" s="10">
        <f>SUM(E42:U42)</f>
        <v>1395</v>
      </c>
      <c r="W42" s="11">
        <v>0.7</v>
      </c>
      <c r="X42" s="11">
        <v>0.3</v>
      </c>
      <c r="Y42" s="12">
        <f>V42/W42/X42/1000</f>
        <v>6.6428571428571432</v>
      </c>
      <c r="Z42" s="1">
        <f>Z10*0.65</f>
        <v>1404</v>
      </c>
    </row>
    <row r="43" spans="1:26" x14ac:dyDescent="0.25">
      <c r="A43" s="381" t="s">
        <v>38</v>
      </c>
      <c r="B43" s="3"/>
      <c r="C43" s="3"/>
      <c r="D43" s="3"/>
      <c r="E43" s="3"/>
      <c r="F43" s="8"/>
      <c r="G43" s="8"/>
      <c r="H43" s="8"/>
      <c r="I43" s="3"/>
      <c r="J43" s="3"/>
      <c r="K43" s="3"/>
      <c r="L43" s="3"/>
      <c r="M43" s="3"/>
      <c r="N43" s="3"/>
      <c r="O43" s="3"/>
      <c r="P43" s="3"/>
      <c r="Q43" s="3"/>
      <c r="R43" s="3"/>
      <c r="S43" s="3"/>
      <c r="T43" s="3"/>
      <c r="U43" s="3"/>
      <c r="V43" s="3"/>
      <c r="W43" s="3"/>
      <c r="X43" s="3"/>
      <c r="Y43" s="5"/>
    </row>
    <row r="44" spans="1:26" ht="15.75" thickBot="1" x14ac:dyDescent="0.3">
      <c r="A44" s="381"/>
      <c r="B44" s="10"/>
      <c r="C44" s="10"/>
      <c r="D44" s="10"/>
      <c r="E44" s="10">
        <f>B43*D43</f>
        <v>0</v>
      </c>
      <c r="F44" s="10"/>
      <c r="G44" s="10"/>
      <c r="H44" s="10"/>
      <c r="I44" s="10">
        <f>F43*H43</f>
        <v>0</v>
      </c>
      <c r="J44" s="10"/>
      <c r="K44" s="10"/>
      <c r="L44" s="10"/>
      <c r="M44" s="10">
        <f>J43*L43</f>
        <v>0</v>
      </c>
      <c r="N44" s="10"/>
      <c r="O44" s="10"/>
      <c r="P44" s="10"/>
      <c r="Q44" s="10">
        <f>N43*P43</f>
        <v>0</v>
      </c>
      <c r="R44" s="10"/>
      <c r="S44" s="10"/>
      <c r="T44" s="10"/>
      <c r="U44" s="10">
        <f>R43*T43</f>
        <v>0</v>
      </c>
      <c r="V44" s="10">
        <f>SUM(E44:U44)</f>
        <v>0</v>
      </c>
      <c r="W44" s="11">
        <v>0.25</v>
      </c>
      <c r="X44" s="11">
        <v>0.2</v>
      </c>
      <c r="Y44" s="12">
        <f>V44/W44/X44/1000</f>
        <v>0</v>
      </c>
      <c r="Z44" s="1">
        <f>Z12*0.65</f>
        <v>2600</v>
      </c>
    </row>
    <row r="45" spans="1:26" ht="15.75" thickBot="1" x14ac:dyDescent="0.3">
      <c r="V45" s="15">
        <f>SUM(V40:V44)</f>
        <v>3320</v>
      </c>
      <c r="W45" s="16">
        <v>0.8</v>
      </c>
      <c r="X45" s="16">
        <v>1</v>
      </c>
      <c r="Y45" s="17">
        <f>V45/W45/X45/1000</f>
        <v>4.1500000000000004</v>
      </c>
      <c r="Z45" s="1">
        <f>Z13*0.65</f>
        <v>5252</v>
      </c>
    </row>
    <row r="46" spans="1:26" ht="15.75" thickBot="1" x14ac:dyDescent="0.3">
      <c r="V46" s="15">
        <f>V45</f>
        <v>3320</v>
      </c>
      <c r="W46" s="16">
        <v>1</v>
      </c>
      <c r="X46" s="16">
        <v>2</v>
      </c>
      <c r="Y46" s="17">
        <f>V46/W46/X46/1000</f>
        <v>1.66</v>
      </c>
    </row>
    <row r="49" spans="1:25" ht="15.75" thickBot="1" x14ac:dyDescent="0.3"/>
    <row r="50" spans="1:25" ht="15.75" thickBot="1" x14ac:dyDescent="0.3">
      <c r="A50" s="2" t="s">
        <v>15</v>
      </c>
      <c r="B50" s="382" t="s">
        <v>69</v>
      </c>
      <c r="C50" s="383"/>
      <c r="F50" s="384"/>
      <c r="G50" s="384"/>
      <c r="J50" s="384"/>
      <c r="K50" s="384"/>
      <c r="N50" s="384"/>
      <c r="O50" s="384"/>
      <c r="R50" s="384"/>
      <c r="S50" s="384"/>
    </row>
    <row r="51" spans="1:25" x14ac:dyDescent="0.25">
      <c r="A51" s="390" t="s">
        <v>16</v>
      </c>
      <c r="B51" s="392" t="s">
        <v>17</v>
      </c>
      <c r="C51" s="392"/>
      <c r="D51" s="392"/>
      <c r="E51" s="392"/>
      <c r="F51" s="392" t="s">
        <v>18</v>
      </c>
      <c r="G51" s="392"/>
      <c r="H51" s="392"/>
      <c r="I51" s="392"/>
      <c r="J51" s="392" t="s">
        <v>19</v>
      </c>
      <c r="K51" s="392"/>
      <c r="L51" s="392"/>
      <c r="M51" s="392"/>
      <c r="N51" s="392" t="s">
        <v>20</v>
      </c>
      <c r="O51" s="392"/>
      <c r="P51" s="392"/>
      <c r="Q51" s="392"/>
      <c r="R51" s="392" t="s">
        <v>21</v>
      </c>
      <c r="S51" s="392"/>
      <c r="T51" s="392"/>
      <c r="U51" s="392"/>
      <c r="V51" s="385" t="s">
        <v>25</v>
      </c>
      <c r="W51" s="387"/>
      <c r="X51" s="387"/>
      <c r="Y51" s="388"/>
    </row>
    <row r="52" spans="1:25" x14ac:dyDescent="0.25">
      <c r="A52" s="381"/>
      <c r="B52" s="3" t="s">
        <v>13</v>
      </c>
      <c r="C52" s="3" t="s">
        <v>27</v>
      </c>
      <c r="D52" s="3" t="s">
        <v>28</v>
      </c>
      <c r="E52" s="3" t="s">
        <v>29</v>
      </c>
      <c r="F52" s="3" t="s">
        <v>13</v>
      </c>
      <c r="G52" s="3" t="s">
        <v>27</v>
      </c>
      <c r="H52" s="3" t="s">
        <v>28</v>
      </c>
      <c r="I52" s="3" t="s">
        <v>29</v>
      </c>
      <c r="J52" s="3" t="s">
        <v>13</v>
      </c>
      <c r="K52" s="3" t="s">
        <v>27</v>
      </c>
      <c r="L52" s="3" t="s">
        <v>28</v>
      </c>
      <c r="M52" s="3" t="s">
        <v>29</v>
      </c>
      <c r="N52" s="3" t="s">
        <v>13</v>
      </c>
      <c r="O52" s="3" t="s">
        <v>27</v>
      </c>
      <c r="P52" s="3" t="s">
        <v>28</v>
      </c>
      <c r="Q52" s="3" t="s">
        <v>29</v>
      </c>
      <c r="R52" s="3" t="s">
        <v>13</v>
      </c>
      <c r="S52" s="3" t="s">
        <v>27</v>
      </c>
      <c r="T52" s="3" t="s">
        <v>28</v>
      </c>
      <c r="U52" s="3" t="s">
        <v>29</v>
      </c>
      <c r="V52" s="386"/>
      <c r="W52" s="4" t="s">
        <v>30</v>
      </c>
      <c r="X52" s="4" t="s">
        <v>31</v>
      </c>
      <c r="Y52" s="5" t="s">
        <v>32</v>
      </c>
    </row>
    <row r="53" spans="1:25" ht="15.75" thickBot="1" x14ac:dyDescent="0.3">
      <c r="A53" s="391"/>
      <c r="B53" s="6"/>
      <c r="C53" s="6"/>
      <c r="D53" s="6" t="s">
        <v>33</v>
      </c>
      <c r="E53" s="6" t="s">
        <v>33</v>
      </c>
      <c r="F53" s="6"/>
      <c r="G53" s="6"/>
      <c r="H53" s="6" t="s">
        <v>33</v>
      </c>
      <c r="I53" s="6" t="s">
        <v>33</v>
      </c>
      <c r="J53" s="6"/>
      <c r="K53" s="6"/>
      <c r="L53" s="6" t="s">
        <v>33</v>
      </c>
      <c r="M53" s="6" t="s">
        <v>33</v>
      </c>
      <c r="N53" s="6"/>
      <c r="O53" s="6"/>
      <c r="P53" s="6" t="s">
        <v>33</v>
      </c>
      <c r="Q53" s="6" t="s">
        <v>33</v>
      </c>
      <c r="R53" s="6"/>
      <c r="S53" s="6"/>
      <c r="T53" s="6" t="s">
        <v>33</v>
      </c>
      <c r="U53" s="6" t="s">
        <v>33</v>
      </c>
      <c r="V53" s="6" t="s">
        <v>33</v>
      </c>
      <c r="W53" s="6" t="s">
        <v>34</v>
      </c>
      <c r="X53" s="6" t="s">
        <v>34</v>
      </c>
      <c r="Y53" s="7" t="s">
        <v>35</v>
      </c>
    </row>
    <row r="54" spans="1:25" ht="15.75" thickTop="1" x14ac:dyDescent="0.25">
      <c r="A54" s="393" t="s">
        <v>10</v>
      </c>
      <c r="B54" s="3">
        <v>2</v>
      </c>
      <c r="C54" s="3"/>
      <c r="D54" s="3">
        <v>750</v>
      </c>
      <c r="E54" s="8"/>
      <c r="F54" s="3"/>
      <c r="G54" s="3"/>
      <c r="H54" s="3"/>
      <c r="I54" s="8"/>
      <c r="J54" s="8"/>
      <c r="K54" s="8"/>
      <c r="L54" s="8"/>
      <c r="M54" s="8"/>
      <c r="N54" s="8"/>
      <c r="O54" s="8"/>
      <c r="P54" s="8"/>
      <c r="Q54" s="8"/>
      <c r="R54" s="8"/>
      <c r="S54" s="8"/>
      <c r="T54" s="8"/>
      <c r="U54" s="8"/>
      <c r="V54" s="8"/>
      <c r="W54" s="8"/>
      <c r="X54" s="8"/>
      <c r="Y54" s="9"/>
    </row>
    <row r="55" spans="1:25" ht="15.75" thickBot="1" x14ac:dyDescent="0.3">
      <c r="A55" s="381"/>
      <c r="B55" s="10"/>
      <c r="C55" s="10"/>
      <c r="D55" s="10"/>
      <c r="E55" s="10">
        <f>B54*D54</f>
        <v>1500</v>
      </c>
      <c r="F55" s="10"/>
      <c r="G55" s="10"/>
      <c r="H55" s="10"/>
      <c r="I55" s="10">
        <f>F54*H54</f>
        <v>0</v>
      </c>
      <c r="J55" s="10"/>
      <c r="K55" s="10"/>
      <c r="L55" s="10"/>
      <c r="M55" s="10">
        <f>J54*L54</f>
        <v>0</v>
      </c>
      <c r="N55" s="10"/>
      <c r="O55" s="10"/>
      <c r="P55" s="10"/>
      <c r="Q55" s="10">
        <f>N54*P54</f>
        <v>0</v>
      </c>
      <c r="R55" s="10"/>
      <c r="S55" s="10"/>
      <c r="T55" s="10"/>
      <c r="U55" s="10">
        <f>R54*T54</f>
        <v>0</v>
      </c>
      <c r="V55" s="10">
        <f t="shared" ref="V55" si="0">SUM(E55:U55)</f>
        <v>1500</v>
      </c>
      <c r="W55" s="11">
        <v>0.7</v>
      </c>
      <c r="X55" s="11">
        <v>0.3</v>
      </c>
      <c r="Y55" s="12">
        <f>V55/W55/X55/1000</f>
        <v>7.1428571428571441</v>
      </c>
    </row>
    <row r="56" spans="1:25" ht="15.75" thickBot="1" x14ac:dyDescent="0.3">
      <c r="V56" s="15">
        <f>SUM(V51:V55)</f>
        <v>1500</v>
      </c>
      <c r="W56" s="16">
        <v>0.7</v>
      </c>
      <c r="X56" s="16">
        <v>0.3</v>
      </c>
      <c r="Y56" s="17">
        <f>V56/W56/X56/1000</f>
        <v>7.1428571428571441</v>
      </c>
    </row>
    <row r="57" spans="1:25" ht="15.75" thickBot="1" x14ac:dyDescent="0.3">
      <c r="V57" s="15">
        <f>V56</f>
        <v>1500</v>
      </c>
      <c r="W57" s="16">
        <v>1.2</v>
      </c>
      <c r="X57" s="16">
        <v>0.4</v>
      </c>
      <c r="Y57" s="17">
        <f>V57/W57/X57/1000</f>
        <v>3.125</v>
      </c>
    </row>
    <row r="58" spans="1:25" ht="15.75" thickBot="1" x14ac:dyDescent="0.3"/>
    <row r="59" spans="1:25" ht="15.75" thickBot="1" x14ac:dyDescent="0.3">
      <c r="A59" s="2" t="s">
        <v>15</v>
      </c>
      <c r="B59" s="382" t="s">
        <v>75</v>
      </c>
      <c r="C59" s="383"/>
      <c r="F59" s="384"/>
      <c r="G59" s="384"/>
      <c r="J59" s="384"/>
      <c r="K59" s="384"/>
      <c r="N59" s="384"/>
      <c r="O59" s="384"/>
      <c r="R59" s="384"/>
      <c r="S59" s="384"/>
    </row>
    <row r="60" spans="1:25" x14ac:dyDescent="0.25">
      <c r="A60" s="390" t="s">
        <v>16</v>
      </c>
      <c r="B60" s="392" t="s">
        <v>17</v>
      </c>
      <c r="C60" s="392"/>
      <c r="D60" s="392"/>
      <c r="E60" s="392"/>
      <c r="F60" s="392" t="s">
        <v>18</v>
      </c>
      <c r="G60" s="392"/>
      <c r="H60" s="392"/>
      <c r="I60" s="392"/>
      <c r="J60" s="392" t="s">
        <v>19</v>
      </c>
      <c r="K60" s="392"/>
      <c r="L60" s="392"/>
      <c r="M60" s="392"/>
      <c r="N60" s="392" t="s">
        <v>20</v>
      </c>
      <c r="O60" s="392"/>
      <c r="P60" s="392"/>
      <c r="Q60" s="392"/>
      <c r="R60" s="392" t="s">
        <v>21</v>
      </c>
      <c r="S60" s="392"/>
      <c r="T60" s="392"/>
      <c r="U60" s="392"/>
      <c r="V60" s="385" t="s">
        <v>25</v>
      </c>
      <c r="W60" s="387"/>
      <c r="X60" s="387"/>
      <c r="Y60" s="388"/>
    </row>
    <row r="61" spans="1:25" x14ac:dyDescent="0.25">
      <c r="A61" s="381"/>
      <c r="B61" s="3" t="s">
        <v>13</v>
      </c>
      <c r="C61" s="3" t="s">
        <v>27</v>
      </c>
      <c r="D61" s="3" t="s">
        <v>28</v>
      </c>
      <c r="E61" s="3" t="s">
        <v>29</v>
      </c>
      <c r="F61" s="3" t="s">
        <v>13</v>
      </c>
      <c r="G61" s="3" t="s">
        <v>27</v>
      </c>
      <c r="H61" s="3" t="s">
        <v>28</v>
      </c>
      <c r="I61" s="3" t="s">
        <v>29</v>
      </c>
      <c r="J61" s="3" t="s">
        <v>13</v>
      </c>
      <c r="K61" s="3" t="s">
        <v>27</v>
      </c>
      <c r="L61" s="3" t="s">
        <v>28</v>
      </c>
      <c r="M61" s="3" t="s">
        <v>29</v>
      </c>
      <c r="N61" s="3" t="s">
        <v>13</v>
      </c>
      <c r="O61" s="3" t="s">
        <v>27</v>
      </c>
      <c r="P61" s="3" t="s">
        <v>28</v>
      </c>
      <c r="Q61" s="3" t="s">
        <v>29</v>
      </c>
      <c r="R61" s="3" t="s">
        <v>13</v>
      </c>
      <c r="S61" s="3" t="s">
        <v>27</v>
      </c>
      <c r="T61" s="3" t="s">
        <v>28</v>
      </c>
      <c r="U61" s="3" t="s">
        <v>29</v>
      </c>
      <c r="V61" s="386"/>
      <c r="W61" s="4" t="s">
        <v>30</v>
      </c>
      <c r="X61" s="4" t="s">
        <v>31</v>
      </c>
      <c r="Y61" s="5" t="s">
        <v>32</v>
      </c>
    </row>
    <row r="62" spans="1:25" ht="15.75" thickBot="1" x14ac:dyDescent="0.3">
      <c r="A62" s="391"/>
      <c r="B62" s="6"/>
      <c r="C62" s="6"/>
      <c r="D62" s="6" t="s">
        <v>33</v>
      </c>
      <c r="E62" s="6" t="s">
        <v>33</v>
      </c>
      <c r="F62" s="6"/>
      <c r="G62" s="6"/>
      <c r="H62" s="6" t="s">
        <v>33</v>
      </c>
      <c r="I62" s="6" t="s">
        <v>33</v>
      </c>
      <c r="J62" s="6"/>
      <c r="K62" s="6"/>
      <c r="L62" s="6" t="s">
        <v>33</v>
      </c>
      <c r="M62" s="6" t="s">
        <v>33</v>
      </c>
      <c r="N62" s="6"/>
      <c r="O62" s="6"/>
      <c r="P62" s="6" t="s">
        <v>33</v>
      </c>
      <c r="Q62" s="6" t="s">
        <v>33</v>
      </c>
      <c r="R62" s="6"/>
      <c r="S62" s="6"/>
      <c r="T62" s="6" t="s">
        <v>33</v>
      </c>
      <c r="U62" s="6" t="s">
        <v>33</v>
      </c>
      <c r="V62" s="6" t="s">
        <v>33</v>
      </c>
      <c r="W62" s="6" t="s">
        <v>34</v>
      </c>
      <c r="X62" s="6" t="s">
        <v>34</v>
      </c>
      <c r="Y62" s="7" t="s">
        <v>35</v>
      </c>
    </row>
    <row r="63" spans="1:25" ht="15.75" thickTop="1" x14ac:dyDescent="0.25">
      <c r="A63" s="393" t="s">
        <v>10</v>
      </c>
      <c r="B63" s="3">
        <v>2</v>
      </c>
      <c r="C63" s="3"/>
      <c r="D63" s="3">
        <v>75</v>
      </c>
      <c r="E63" s="8"/>
      <c r="F63" s="3"/>
      <c r="G63" s="3"/>
      <c r="H63" s="3"/>
      <c r="I63" s="8"/>
      <c r="J63" s="8"/>
      <c r="K63" s="8"/>
      <c r="L63" s="8"/>
      <c r="M63" s="8"/>
      <c r="N63" s="8"/>
      <c r="O63" s="8"/>
      <c r="P63" s="8"/>
      <c r="Q63" s="8"/>
      <c r="R63" s="8"/>
      <c r="S63" s="8"/>
      <c r="T63" s="8"/>
      <c r="U63" s="8"/>
      <c r="V63" s="8"/>
      <c r="W63" s="8"/>
      <c r="X63" s="8"/>
      <c r="Y63" s="9"/>
    </row>
    <row r="64" spans="1:25" ht="15.75" thickBot="1" x14ac:dyDescent="0.3">
      <c r="A64" s="381"/>
      <c r="B64" s="10"/>
      <c r="C64" s="10"/>
      <c r="D64" s="10"/>
      <c r="E64" s="10">
        <f>B63*D63</f>
        <v>150</v>
      </c>
      <c r="F64" s="10"/>
      <c r="G64" s="10"/>
      <c r="H64" s="10"/>
      <c r="I64" s="10">
        <f>F63*H63</f>
        <v>0</v>
      </c>
      <c r="J64" s="10"/>
      <c r="K64" s="10"/>
      <c r="L64" s="10"/>
      <c r="M64" s="10">
        <f>J63*L63</f>
        <v>0</v>
      </c>
      <c r="N64" s="10"/>
      <c r="O64" s="10"/>
      <c r="P64" s="10"/>
      <c r="Q64" s="10">
        <f>N63*P63</f>
        <v>0</v>
      </c>
      <c r="R64" s="10"/>
      <c r="S64" s="10"/>
      <c r="T64" s="10"/>
      <c r="U64" s="10">
        <f>R63*T63</f>
        <v>0</v>
      </c>
      <c r="V64" s="10">
        <f t="shared" ref="V64" si="1">SUM(E64:U64)</f>
        <v>150</v>
      </c>
      <c r="W64" s="11">
        <v>0.7</v>
      </c>
      <c r="X64" s="11">
        <v>0.3</v>
      </c>
      <c r="Y64" s="12">
        <f>V64/W64/X64/1000</f>
        <v>0.7142857142857143</v>
      </c>
    </row>
    <row r="65" spans="1:25" ht="15.75" thickBot="1" x14ac:dyDescent="0.3">
      <c r="V65" s="15">
        <f>SUM(V60:V64)</f>
        <v>150</v>
      </c>
      <c r="W65" s="16">
        <v>0.7</v>
      </c>
      <c r="X65" s="16">
        <v>0.3</v>
      </c>
      <c r="Y65" s="17">
        <f>V65/W65/X65/1000</f>
        <v>0.7142857142857143</v>
      </c>
    </row>
    <row r="66" spans="1:25" ht="15.75" thickBot="1" x14ac:dyDescent="0.3">
      <c r="V66" s="15">
        <f>V65</f>
        <v>150</v>
      </c>
      <c r="W66" s="16">
        <v>1.2</v>
      </c>
      <c r="X66" s="16">
        <v>0.4</v>
      </c>
      <c r="Y66" s="17">
        <f>V66/W66/X66/1000</f>
        <v>0.3125</v>
      </c>
    </row>
    <row r="68" spans="1:25" ht="15.75" thickBot="1" x14ac:dyDescent="0.3"/>
    <row r="69" spans="1:25" ht="15.75" thickBot="1" x14ac:dyDescent="0.3">
      <c r="A69" s="2" t="s">
        <v>15</v>
      </c>
      <c r="B69" s="382" t="s">
        <v>70</v>
      </c>
      <c r="C69" s="383"/>
      <c r="F69" s="384"/>
      <c r="G69" s="384"/>
      <c r="J69" s="384"/>
      <c r="K69" s="384"/>
      <c r="N69" s="384"/>
      <c r="O69" s="384"/>
      <c r="R69" s="384"/>
      <c r="S69" s="384"/>
    </row>
    <row r="70" spans="1:25" x14ac:dyDescent="0.25">
      <c r="A70" s="390" t="s">
        <v>16</v>
      </c>
      <c r="B70" s="392" t="s">
        <v>17</v>
      </c>
      <c r="C70" s="392"/>
      <c r="D70" s="392"/>
      <c r="E70" s="392"/>
      <c r="F70" s="392" t="s">
        <v>18</v>
      </c>
      <c r="G70" s="392"/>
      <c r="H70" s="392"/>
      <c r="I70" s="392"/>
      <c r="J70" s="392" t="s">
        <v>19</v>
      </c>
      <c r="K70" s="392"/>
      <c r="L70" s="392"/>
      <c r="M70" s="392"/>
      <c r="N70" s="392" t="s">
        <v>20</v>
      </c>
      <c r="O70" s="392"/>
      <c r="P70" s="392"/>
      <c r="Q70" s="392"/>
      <c r="R70" s="392" t="s">
        <v>21</v>
      </c>
      <c r="S70" s="392"/>
      <c r="T70" s="392"/>
      <c r="U70" s="392"/>
      <c r="V70" s="385" t="s">
        <v>25</v>
      </c>
      <c r="W70" s="387"/>
      <c r="X70" s="387"/>
      <c r="Y70" s="388"/>
    </row>
    <row r="71" spans="1:25" x14ac:dyDescent="0.25">
      <c r="A71" s="381"/>
      <c r="B71" s="3" t="s">
        <v>13</v>
      </c>
      <c r="C71" s="3" t="s">
        <v>27</v>
      </c>
      <c r="D71" s="3" t="s">
        <v>28</v>
      </c>
      <c r="E71" s="3" t="s">
        <v>29</v>
      </c>
      <c r="F71" s="3" t="s">
        <v>13</v>
      </c>
      <c r="G71" s="3" t="s">
        <v>27</v>
      </c>
      <c r="H71" s="3" t="s">
        <v>28</v>
      </c>
      <c r="I71" s="3" t="s">
        <v>29</v>
      </c>
      <c r="J71" s="3" t="s">
        <v>13</v>
      </c>
      <c r="K71" s="3" t="s">
        <v>27</v>
      </c>
      <c r="L71" s="3" t="s">
        <v>28</v>
      </c>
      <c r="M71" s="3" t="s">
        <v>29</v>
      </c>
      <c r="N71" s="3" t="s">
        <v>13</v>
      </c>
      <c r="O71" s="3" t="s">
        <v>27</v>
      </c>
      <c r="P71" s="3" t="s">
        <v>28</v>
      </c>
      <c r="Q71" s="3" t="s">
        <v>29</v>
      </c>
      <c r="R71" s="3" t="s">
        <v>13</v>
      </c>
      <c r="S71" s="3" t="s">
        <v>27</v>
      </c>
      <c r="T71" s="3" t="s">
        <v>28</v>
      </c>
      <c r="U71" s="3" t="s">
        <v>29</v>
      </c>
      <c r="V71" s="386"/>
      <c r="W71" s="4" t="s">
        <v>30</v>
      </c>
      <c r="X71" s="4" t="s">
        <v>31</v>
      </c>
      <c r="Y71" s="5" t="s">
        <v>32</v>
      </c>
    </row>
    <row r="72" spans="1:25" ht="15.75" thickBot="1" x14ac:dyDescent="0.3">
      <c r="A72" s="391"/>
      <c r="B72" s="6"/>
      <c r="C72" s="6"/>
      <c r="D72" s="6" t="s">
        <v>33</v>
      </c>
      <c r="E72" s="6" t="s">
        <v>33</v>
      </c>
      <c r="F72" s="6"/>
      <c r="G72" s="6"/>
      <c r="H72" s="6" t="s">
        <v>33</v>
      </c>
      <c r="I72" s="6" t="s">
        <v>33</v>
      </c>
      <c r="J72" s="6"/>
      <c r="K72" s="6"/>
      <c r="L72" s="6" t="s">
        <v>33</v>
      </c>
      <c r="M72" s="6" t="s">
        <v>33</v>
      </c>
      <c r="N72" s="6"/>
      <c r="O72" s="6"/>
      <c r="P72" s="6" t="s">
        <v>33</v>
      </c>
      <c r="Q72" s="6" t="s">
        <v>33</v>
      </c>
      <c r="R72" s="6"/>
      <c r="S72" s="6"/>
      <c r="T72" s="6" t="s">
        <v>33</v>
      </c>
      <c r="U72" s="6" t="s">
        <v>33</v>
      </c>
      <c r="V72" s="6" t="s">
        <v>33</v>
      </c>
      <c r="W72" s="6" t="s">
        <v>34</v>
      </c>
      <c r="X72" s="6" t="s">
        <v>34</v>
      </c>
      <c r="Y72" s="7" t="s">
        <v>35</v>
      </c>
    </row>
    <row r="73" spans="1:25" ht="15.75" thickTop="1" x14ac:dyDescent="0.25">
      <c r="A73" s="389" t="s">
        <v>36</v>
      </c>
      <c r="B73" s="3"/>
      <c r="C73" s="3"/>
      <c r="D73" s="3"/>
      <c r="E73" s="8"/>
      <c r="F73" s="3"/>
      <c r="G73" s="3"/>
      <c r="H73" s="3"/>
      <c r="I73" s="8"/>
      <c r="J73" s="8"/>
      <c r="K73" s="8"/>
      <c r="L73" s="8"/>
      <c r="M73" s="8"/>
      <c r="N73" s="8"/>
      <c r="O73" s="8"/>
      <c r="P73" s="8"/>
      <c r="Q73" s="8"/>
      <c r="R73" s="8"/>
      <c r="S73" s="8"/>
      <c r="T73" s="8"/>
      <c r="U73" s="8"/>
      <c r="V73" s="8"/>
      <c r="W73" s="8"/>
      <c r="X73" s="8"/>
      <c r="Y73" s="9"/>
    </row>
    <row r="74" spans="1:25" x14ac:dyDescent="0.25">
      <c r="A74" s="381"/>
      <c r="B74" s="10"/>
      <c r="C74" s="10"/>
      <c r="D74" s="10"/>
      <c r="E74" s="10">
        <f>B73*D73</f>
        <v>0</v>
      </c>
      <c r="F74" s="10"/>
      <c r="G74" s="10"/>
      <c r="H74" s="10"/>
      <c r="I74" s="10">
        <f>F73*H73</f>
        <v>0</v>
      </c>
      <c r="J74" s="10"/>
      <c r="K74" s="10"/>
      <c r="L74" s="10"/>
      <c r="M74" s="10">
        <f>J73*L73</f>
        <v>0</v>
      </c>
      <c r="N74" s="10"/>
      <c r="O74" s="10"/>
      <c r="P74" s="10"/>
      <c r="Q74" s="10">
        <f>N73*P73</f>
        <v>0</v>
      </c>
      <c r="R74" s="10"/>
      <c r="S74" s="10"/>
      <c r="T74" s="10"/>
      <c r="U74" s="10">
        <f>R73*T73</f>
        <v>0</v>
      </c>
      <c r="V74" s="10">
        <f>SUM(E74:U74)</f>
        <v>0</v>
      </c>
      <c r="W74" s="11"/>
      <c r="X74" s="11"/>
      <c r="Y74" s="12" t="e">
        <f>V74/W74/X74/1000</f>
        <v>#DIV/0!</v>
      </c>
    </row>
    <row r="75" spans="1:25" x14ac:dyDescent="0.25">
      <c r="A75" s="381" t="s">
        <v>10</v>
      </c>
      <c r="B75" s="3">
        <v>2</v>
      </c>
      <c r="C75" s="21" t="s">
        <v>71</v>
      </c>
      <c r="D75" s="3">
        <v>75</v>
      </c>
      <c r="E75" s="3"/>
      <c r="F75" s="8"/>
      <c r="G75" s="8"/>
      <c r="H75" s="8"/>
      <c r="I75" s="3"/>
      <c r="J75" s="3"/>
      <c r="K75" s="3"/>
      <c r="L75" s="3"/>
      <c r="M75" s="3"/>
      <c r="N75" s="3"/>
      <c r="O75" s="3"/>
      <c r="P75" s="3"/>
      <c r="Q75" s="3"/>
      <c r="R75" s="3"/>
      <c r="S75" s="3"/>
      <c r="T75" s="3"/>
      <c r="U75" s="3"/>
      <c r="V75" s="3"/>
      <c r="W75" s="3"/>
      <c r="X75" s="3"/>
      <c r="Y75" s="5"/>
    </row>
    <row r="76" spans="1:25" x14ac:dyDescent="0.25">
      <c r="A76" s="381"/>
      <c r="B76" s="10"/>
      <c r="C76" s="10"/>
      <c r="D76" s="10"/>
      <c r="E76" s="10">
        <f>B75*D75</f>
        <v>150</v>
      </c>
      <c r="F76" s="10"/>
      <c r="G76" s="10"/>
      <c r="H76" s="10"/>
      <c r="I76" s="10">
        <f>F75*H75</f>
        <v>0</v>
      </c>
      <c r="J76" s="10"/>
      <c r="K76" s="10"/>
      <c r="L76" s="10"/>
      <c r="M76" s="10">
        <f>J75*L75</f>
        <v>0</v>
      </c>
      <c r="N76" s="10"/>
      <c r="O76" s="10"/>
      <c r="P76" s="10"/>
      <c r="Q76" s="10">
        <f>N75*P75</f>
        <v>0</v>
      </c>
      <c r="R76" s="10"/>
      <c r="S76" s="10"/>
      <c r="T76" s="10"/>
      <c r="U76" s="10">
        <f>R75*T75</f>
        <v>0</v>
      </c>
      <c r="V76" s="10">
        <f>SUM(E76:U76)</f>
        <v>150</v>
      </c>
      <c r="W76" s="11">
        <v>0.2</v>
      </c>
      <c r="X76" s="11">
        <v>0.2</v>
      </c>
      <c r="Y76" s="12">
        <f>V76/W76/X76/1000</f>
        <v>3.75</v>
      </c>
    </row>
    <row r="77" spans="1:25" x14ac:dyDescent="0.25">
      <c r="A77" s="381" t="s">
        <v>38</v>
      </c>
      <c r="B77" s="3"/>
      <c r="C77" s="3"/>
      <c r="D77" s="3"/>
      <c r="E77" s="3"/>
      <c r="F77" s="8"/>
      <c r="G77" s="8"/>
      <c r="H77" s="8"/>
      <c r="I77" s="3"/>
      <c r="J77" s="3"/>
      <c r="K77" s="3"/>
      <c r="L77" s="3"/>
      <c r="M77" s="3"/>
      <c r="N77" s="3"/>
      <c r="O77" s="3"/>
      <c r="P77" s="3"/>
      <c r="Q77" s="3"/>
      <c r="R77" s="3"/>
      <c r="S77" s="3"/>
      <c r="T77" s="3"/>
      <c r="U77" s="3"/>
      <c r="V77" s="3"/>
      <c r="W77" s="3"/>
      <c r="X77" s="3"/>
      <c r="Y77" s="5"/>
    </row>
    <row r="78" spans="1:25" x14ac:dyDescent="0.25">
      <c r="A78" s="381"/>
      <c r="B78" s="10"/>
      <c r="C78" s="10"/>
      <c r="D78" s="10"/>
      <c r="E78" s="10">
        <f>B77*D77</f>
        <v>0</v>
      </c>
      <c r="F78" s="10"/>
      <c r="G78" s="10"/>
      <c r="H78" s="10"/>
      <c r="I78" s="10">
        <f>F77*H77</f>
        <v>0</v>
      </c>
      <c r="J78" s="10"/>
      <c r="K78" s="10"/>
      <c r="L78" s="10"/>
      <c r="M78" s="10">
        <f>J77*L77</f>
        <v>0</v>
      </c>
      <c r="N78" s="10"/>
      <c r="O78" s="10"/>
      <c r="P78" s="10"/>
      <c r="Q78" s="10">
        <f>N77*P77</f>
        <v>0</v>
      </c>
      <c r="R78" s="10"/>
      <c r="S78" s="10"/>
      <c r="T78" s="10"/>
      <c r="U78" s="10">
        <f>R77*T77</f>
        <v>0</v>
      </c>
      <c r="V78" s="10">
        <f>SUM(E78:U78)</f>
        <v>0</v>
      </c>
      <c r="W78" s="11">
        <v>0.4</v>
      </c>
      <c r="X78" s="11">
        <v>0.3</v>
      </c>
      <c r="Y78" s="12">
        <f>V78/W78/X78/1000</f>
        <v>0</v>
      </c>
    </row>
    <row r="79" spans="1:25" x14ac:dyDescent="0.25">
      <c r="A79" s="381" t="s">
        <v>39</v>
      </c>
      <c r="B79" s="3"/>
      <c r="C79" s="3"/>
      <c r="D79" s="3"/>
      <c r="E79" s="3"/>
      <c r="F79" s="8"/>
      <c r="G79" s="8"/>
      <c r="H79" s="8"/>
      <c r="I79" s="3"/>
      <c r="J79" s="3"/>
      <c r="K79" s="3"/>
      <c r="L79" s="3"/>
      <c r="M79" s="3"/>
      <c r="N79" s="3"/>
      <c r="O79" s="3"/>
      <c r="P79" s="3"/>
      <c r="Q79" s="3"/>
      <c r="R79" s="3"/>
      <c r="S79" s="3"/>
      <c r="T79" s="3"/>
      <c r="U79" s="3"/>
      <c r="V79" s="3"/>
      <c r="W79" s="3"/>
      <c r="X79" s="3"/>
      <c r="Y79" s="5"/>
    </row>
    <row r="80" spans="1:25" ht="15.75" thickBot="1" x14ac:dyDescent="0.3">
      <c r="A80" s="394"/>
      <c r="B80" s="13"/>
      <c r="C80" s="13"/>
      <c r="D80" s="13"/>
      <c r="E80" s="13">
        <f>B79*D79</f>
        <v>0</v>
      </c>
      <c r="F80" s="13"/>
      <c r="G80" s="13"/>
      <c r="H80" s="13"/>
      <c r="I80" s="13">
        <f>F79*H79</f>
        <v>0</v>
      </c>
      <c r="J80" s="13"/>
      <c r="K80" s="13"/>
      <c r="L80" s="13"/>
      <c r="M80" s="13">
        <f>J79*L79</f>
        <v>0</v>
      </c>
      <c r="N80" s="13"/>
      <c r="O80" s="13"/>
      <c r="P80" s="13"/>
      <c r="Q80" s="13">
        <f>N79*P79</f>
        <v>0</v>
      </c>
      <c r="R80" s="13"/>
      <c r="S80" s="13"/>
      <c r="T80" s="13"/>
      <c r="U80" s="13">
        <f>R79*T79</f>
        <v>0</v>
      </c>
      <c r="V80" s="13">
        <f>SUM(E80:U80)</f>
        <v>0</v>
      </c>
      <c r="W80" s="11">
        <v>0.4</v>
      </c>
      <c r="X80" s="11">
        <v>0.3</v>
      </c>
      <c r="Y80" s="14">
        <f>V80/W80/X80/1000</f>
        <v>0</v>
      </c>
    </row>
    <row r="81" spans="1:25" ht="15.75" thickBot="1" x14ac:dyDescent="0.3">
      <c r="V81" s="15">
        <f>SUM(V74:V80)</f>
        <v>150</v>
      </c>
      <c r="W81" s="16">
        <v>0.4</v>
      </c>
      <c r="X81" s="16">
        <v>0.2</v>
      </c>
      <c r="Y81" s="17">
        <f>V81/W81/X81/1000</f>
        <v>1.875</v>
      </c>
    </row>
    <row r="82" spans="1:25" ht="15.75" thickBot="1" x14ac:dyDescent="0.3"/>
    <row r="83" spans="1:25" ht="15.75" thickBot="1" x14ac:dyDescent="0.3">
      <c r="A83" s="2" t="s">
        <v>15</v>
      </c>
      <c r="B83" s="382" t="s">
        <v>72</v>
      </c>
      <c r="C83" s="383"/>
      <c r="F83" s="384"/>
      <c r="G83" s="384"/>
      <c r="J83" s="384"/>
      <c r="K83" s="384"/>
      <c r="N83" s="384"/>
      <c r="O83" s="384"/>
      <c r="R83" s="384"/>
      <c r="S83" s="384"/>
    </row>
    <row r="84" spans="1:25" x14ac:dyDescent="0.25">
      <c r="A84" s="390" t="s">
        <v>16</v>
      </c>
      <c r="B84" s="392" t="s">
        <v>17</v>
      </c>
      <c r="C84" s="392"/>
      <c r="D84" s="392"/>
      <c r="E84" s="392"/>
      <c r="F84" s="392" t="s">
        <v>18</v>
      </c>
      <c r="G84" s="392"/>
      <c r="H84" s="392"/>
      <c r="I84" s="392"/>
      <c r="J84" s="392" t="s">
        <v>19</v>
      </c>
      <c r="K84" s="392"/>
      <c r="L84" s="392"/>
      <c r="M84" s="392"/>
      <c r="N84" s="392" t="s">
        <v>20</v>
      </c>
      <c r="O84" s="392"/>
      <c r="P84" s="392"/>
      <c r="Q84" s="392"/>
      <c r="R84" s="392" t="s">
        <v>21</v>
      </c>
      <c r="S84" s="392"/>
      <c r="T84" s="392"/>
      <c r="U84" s="392"/>
      <c r="V84" s="385" t="s">
        <v>25</v>
      </c>
      <c r="W84" s="387"/>
      <c r="X84" s="387"/>
      <c r="Y84" s="388"/>
    </row>
    <row r="85" spans="1:25" x14ac:dyDescent="0.25">
      <c r="A85" s="381"/>
      <c r="B85" s="3" t="s">
        <v>13</v>
      </c>
      <c r="C85" s="3" t="s">
        <v>27</v>
      </c>
      <c r="D85" s="3" t="s">
        <v>28</v>
      </c>
      <c r="E85" s="3" t="s">
        <v>29</v>
      </c>
      <c r="F85" s="3" t="s">
        <v>13</v>
      </c>
      <c r="G85" s="3" t="s">
        <v>27</v>
      </c>
      <c r="H85" s="3" t="s">
        <v>28</v>
      </c>
      <c r="I85" s="3" t="s">
        <v>29</v>
      </c>
      <c r="J85" s="3" t="s">
        <v>13</v>
      </c>
      <c r="K85" s="3" t="s">
        <v>27</v>
      </c>
      <c r="L85" s="3" t="s">
        <v>28</v>
      </c>
      <c r="M85" s="3" t="s">
        <v>29</v>
      </c>
      <c r="N85" s="3" t="s">
        <v>13</v>
      </c>
      <c r="O85" s="3" t="s">
        <v>27</v>
      </c>
      <c r="P85" s="3" t="s">
        <v>28</v>
      </c>
      <c r="Q85" s="3" t="s">
        <v>29</v>
      </c>
      <c r="R85" s="3" t="s">
        <v>13</v>
      </c>
      <c r="S85" s="3" t="s">
        <v>27</v>
      </c>
      <c r="T85" s="3" t="s">
        <v>28</v>
      </c>
      <c r="U85" s="3" t="s">
        <v>29</v>
      </c>
      <c r="V85" s="386"/>
      <c r="W85" s="4" t="s">
        <v>30</v>
      </c>
      <c r="X85" s="4" t="s">
        <v>31</v>
      </c>
      <c r="Y85" s="5" t="s">
        <v>32</v>
      </c>
    </row>
    <row r="86" spans="1:25" ht="15.75" thickBot="1" x14ac:dyDescent="0.3">
      <c r="A86" s="391"/>
      <c r="B86" s="6"/>
      <c r="C86" s="6"/>
      <c r="D86" s="6" t="s">
        <v>33</v>
      </c>
      <c r="E86" s="6" t="s">
        <v>33</v>
      </c>
      <c r="F86" s="6"/>
      <c r="G86" s="6"/>
      <c r="H86" s="6" t="s">
        <v>33</v>
      </c>
      <c r="I86" s="6" t="s">
        <v>33</v>
      </c>
      <c r="J86" s="6"/>
      <c r="K86" s="6"/>
      <c r="L86" s="6" t="s">
        <v>33</v>
      </c>
      <c r="M86" s="6" t="s">
        <v>33</v>
      </c>
      <c r="N86" s="6"/>
      <c r="O86" s="6"/>
      <c r="P86" s="6" t="s">
        <v>33</v>
      </c>
      <c r="Q86" s="6" t="s">
        <v>33</v>
      </c>
      <c r="R86" s="6"/>
      <c r="S86" s="6"/>
      <c r="T86" s="6" t="s">
        <v>33</v>
      </c>
      <c r="U86" s="6" t="s">
        <v>33</v>
      </c>
      <c r="V86" s="6" t="s">
        <v>33</v>
      </c>
      <c r="W86" s="6" t="s">
        <v>34</v>
      </c>
      <c r="X86" s="6" t="s">
        <v>34</v>
      </c>
      <c r="Y86" s="7" t="s">
        <v>35</v>
      </c>
    </row>
    <row r="87" spans="1:25" ht="15.75" thickTop="1" x14ac:dyDescent="0.25">
      <c r="A87" s="389" t="s">
        <v>36</v>
      </c>
      <c r="B87" s="3"/>
      <c r="C87" s="3"/>
      <c r="D87" s="3"/>
      <c r="E87" s="8"/>
      <c r="F87" s="3"/>
      <c r="G87" s="3"/>
      <c r="H87" s="3"/>
      <c r="I87" s="8"/>
      <c r="J87" s="8"/>
      <c r="K87" s="8"/>
      <c r="L87" s="8"/>
      <c r="M87" s="8"/>
      <c r="N87" s="8"/>
      <c r="O87" s="8"/>
      <c r="P87" s="8"/>
      <c r="Q87" s="8"/>
      <c r="R87" s="8"/>
      <c r="S87" s="8"/>
      <c r="T87" s="8"/>
      <c r="U87" s="8"/>
      <c r="V87" s="8"/>
      <c r="W87" s="8"/>
      <c r="X87" s="8"/>
      <c r="Y87" s="9"/>
    </row>
    <row r="88" spans="1:25" x14ac:dyDescent="0.25">
      <c r="A88" s="381"/>
      <c r="B88" s="10"/>
      <c r="C88" s="10"/>
      <c r="D88" s="10"/>
      <c r="E88" s="10">
        <f>B87*D87</f>
        <v>0</v>
      </c>
      <c r="F88" s="10"/>
      <c r="G88" s="10"/>
      <c r="H88" s="10"/>
      <c r="I88" s="10">
        <f>F87*H87</f>
        <v>0</v>
      </c>
      <c r="J88" s="10"/>
      <c r="K88" s="10"/>
      <c r="L88" s="10"/>
      <c r="M88" s="10">
        <f>J87*L87</f>
        <v>0</v>
      </c>
      <c r="N88" s="10"/>
      <c r="O88" s="10"/>
      <c r="P88" s="10"/>
      <c r="Q88" s="10">
        <f>N87*P87</f>
        <v>0</v>
      </c>
      <c r="R88" s="10"/>
      <c r="S88" s="10"/>
      <c r="T88" s="10"/>
      <c r="U88" s="10">
        <f>R87*T87</f>
        <v>0</v>
      </c>
      <c r="V88" s="10">
        <f>SUM(E88:U88)</f>
        <v>0</v>
      </c>
      <c r="W88" s="11"/>
      <c r="X88" s="11"/>
      <c r="Y88" s="12" t="e">
        <f>V88/W88/X88/1000</f>
        <v>#DIV/0!</v>
      </c>
    </row>
    <row r="89" spans="1:25" x14ac:dyDescent="0.25">
      <c r="A89" s="381" t="s">
        <v>10</v>
      </c>
      <c r="B89" s="3">
        <v>1</v>
      </c>
      <c r="C89" s="21" t="s">
        <v>71</v>
      </c>
      <c r="D89" s="3">
        <v>15</v>
      </c>
      <c r="E89" s="3"/>
      <c r="F89" s="8"/>
      <c r="G89" s="8"/>
      <c r="H89" s="8"/>
      <c r="I89" s="3"/>
      <c r="J89" s="3"/>
      <c r="K89" s="3"/>
      <c r="L89" s="3"/>
      <c r="M89" s="3"/>
      <c r="N89" s="3"/>
      <c r="O89" s="3"/>
      <c r="P89" s="3"/>
      <c r="Q89" s="3"/>
      <c r="R89" s="3"/>
      <c r="S89" s="3"/>
      <c r="T89" s="3"/>
      <c r="U89" s="3"/>
      <c r="V89" s="3"/>
      <c r="W89" s="3"/>
      <c r="X89" s="3"/>
      <c r="Y89" s="5"/>
    </row>
    <row r="90" spans="1:25" x14ac:dyDescent="0.25">
      <c r="A90" s="381"/>
      <c r="B90" s="10"/>
      <c r="C90" s="10"/>
      <c r="D90" s="10"/>
      <c r="E90" s="10">
        <f>B89*D89</f>
        <v>15</v>
      </c>
      <c r="F90" s="10"/>
      <c r="G90" s="10"/>
      <c r="H90" s="10"/>
      <c r="I90" s="10">
        <f>F89*H89</f>
        <v>0</v>
      </c>
      <c r="J90" s="10"/>
      <c r="K90" s="10"/>
      <c r="L90" s="10"/>
      <c r="M90" s="10">
        <f>J89*L89</f>
        <v>0</v>
      </c>
      <c r="N90" s="10"/>
      <c r="O90" s="10"/>
      <c r="P90" s="10"/>
      <c r="Q90" s="10">
        <f>N89*P89</f>
        <v>0</v>
      </c>
      <c r="R90" s="10"/>
      <c r="S90" s="10"/>
      <c r="T90" s="10"/>
      <c r="U90" s="10">
        <f>R89*T89</f>
        <v>0</v>
      </c>
      <c r="V90" s="10">
        <f>SUM(E90:U90)</f>
        <v>15</v>
      </c>
      <c r="W90" s="11">
        <v>0.2</v>
      </c>
      <c r="X90" s="11">
        <v>0.2</v>
      </c>
      <c r="Y90" s="12">
        <f>V90/W90/X90/1000</f>
        <v>0.375</v>
      </c>
    </row>
    <row r="91" spans="1:25" x14ac:dyDescent="0.25">
      <c r="A91" s="381" t="s">
        <v>38</v>
      </c>
      <c r="B91" s="3"/>
      <c r="C91" s="3"/>
      <c r="D91" s="3"/>
      <c r="E91" s="3"/>
      <c r="F91" s="8"/>
      <c r="G91" s="8"/>
      <c r="H91" s="8"/>
      <c r="I91" s="3"/>
      <c r="J91" s="3"/>
      <c r="K91" s="3"/>
      <c r="L91" s="3"/>
      <c r="M91" s="3"/>
      <c r="N91" s="3"/>
      <c r="O91" s="3"/>
      <c r="P91" s="3"/>
      <c r="Q91" s="3"/>
      <c r="R91" s="3"/>
      <c r="S91" s="3"/>
      <c r="T91" s="3"/>
      <c r="U91" s="3"/>
      <c r="V91" s="3"/>
      <c r="W91" s="3"/>
      <c r="X91" s="3"/>
      <c r="Y91" s="5"/>
    </row>
    <row r="92" spans="1:25" x14ac:dyDescent="0.25">
      <c r="A92" s="381"/>
      <c r="B92" s="10"/>
      <c r="C92" s="10"/>
      <c r="D92" s="10"/>
      <c r="E92" s="10">
        <f>B91*D91</f>
        <v>0</v>
      </c>
      <c r="F92" s="10"/>
      <c r="G92" s="10"/>
      <c r="H92" s="10"/>
      <c r="I92" s="10">
        <f>F91*H91</f>
        <v>0</v>
      </c>
      <c r="J92" s="10"/>
      <c r="K92" s="10"/>
      <c r="L92" s="10"/>
      <c r="M92" s="10">
        <f>J91*L91</f>
        <v>0</v>
      </c>
      <c r="N92" s="10"/>
      <c r="O92" s="10"/>
      <c r="P92" s="10"/>
      <c r="Q92" s="10">
        <f>N91*P91</f>
        <v>0</v>
      </c>
      <c r="R92" s="10"/>
      <c r="S92" s="10"/>
      <c r="T92" s="10"/>
      <c r="U92" s="10">
        <f>R91*T91</f>
        <v>0</v>
      </c>
      <c r="V92" s="10">
        <f>SUM(E92:U92)</f>
        <v>0</v>
      </c>
      <c r="W92" s="11">
        <v>0.4</v>
      </c>
      <c r="X92" s="11">
        <v>0.3</v>
      </c>
      <c r="Y92" s="12">
        <f>V92/W92/X92/1000</f>
        <v>0</v>
      </c>
    </row>
    <row r="93" spans="1:25" x14ac:dyDescent="0.25">
      <c r="A93" s="381" t="s">
        <v>39</v>
      </c>
      <c r="B93" s="3"/>
      <c r="C93" s="3"/>
      <c r="D93" s="3"/>
      <c r="E93" s="3"/>
      <c r="F93" s="8"/>
      <c r="G93" s="8"/>
      <c r="H93" s="8"/>
      <c r="I93" s="3"/>
      <c r="J93" s="3"/>
      <c r="K93" s="3"/>
      <c r="L93" s="3"/>
      <c r="M93" s="3"/>
      <c r="N93" s="3"/>
      <c r="O93" s="3"/>
      <c r="P93" s="3"/>
      <c r="Q93" s="3"/>
      <c r="R93" s="3"/>
      <c r="S93" s="3"/>
      <c r="T93" s="3"/>
      <c r="U93" s="3"/>
      <c r="V93" s="3"/>
      <c r="W93" s="3"/>
      <c r="X93" s="3"/>
      <c r="Y93" s="5"/>
    </row>
    <row r="94" spans="1:25" ht="15.75" thickBot="1" x14ac:dyDescent="0.3">
      <c r="A94" s="394"/>
      <c r="B94" s="13"/>
      <c r="C94" s="13"/>
      <c r="D94" s="13"/>
      <c r="E94" s="13">
        <f>B93*D93</f>
        <v>0</v>
      </c>
      <c r="F94" s="13"/>
      <c r="G94" s="13"/>
      <c r="H94" s="13"/>
      <c r="I94" s="13">
        <f>F93*H93</f>
        <v>0</v>
      </c>
      <c r="J94" s="13"/>
      <c r="K94" s="13"/>
      <c r="L94" s="13"/>
      <c r="M94" s="13">
        <f>J93*L93</f>
        <v>0</v>
      </c>
      <c r="N94" s="13"/>
      <c r="O94" s="13"/>
      <c r="P94" s="13"/>
      <c r="Q94" s="13">
        <f>N93*P93</f>
        <v>0</v>
      </c>
      <c r="R94" s="13"/>
      <c r="S94" s="13"/>
      <c r="T94" s="13"/>
      <c r="U94" s="13">
        <f>R93*T93</f>
        <v>0</v>
      </c>
      <c r="V94" s="13">
        <f>SUM(E94:U94)</f>
        <v>0</v>
      </c>
      <c r="W94" s="11">
        <v>0.4</v>
      </c>
      <c r="X94" s="11">
        <v>0.3</v>
      </c>
      <c r="Y94" s="14">
        <f>V94/W94/X94/1000</f>
        <v>0</v>
      </c>
    </row>
    <row r="95" spans="1:25" ht="15.75" thickBot="1" x14ac:dyDescent="0.3">
      <c r="V95" s="15">
        <f>SUM(V88:V94)</f>
        <v>15</v>
      </c>
      <c r="W95" s="16">
        <v>0.4</v>
      </c>
      <c r="X95" s="16">
        <v>0.2</v>
      </c>
      <c r="Y95" s="17">
        <f>V95/W95/X95/1000</f>
        <v>0.1875</v>
      </c>
    </row>
    <row r="96" spans="1:25" ht="15.75" thickBot="1" x14ac:dyDescent="0.3"/>
    <row r="97" spans="1:25" ht="15.75" thickBot="1" x14ac:dyDescent="0.3">
      <c r="A97" s="2" t="s">
        <v>15</v>
      </c>
      <c r="B97" s="382" t="s">
        <v>73</v>
      </c>
      <c r="C97" s="383"/>
      <c r="F97" s="384"/>
      <c r="G97" s="384"/>
      <c r="J97" s="384"/>
      <c r="K97" s="384"/>
      <c r="N97" s="384"/>
      <c r="O97" s="384"/>
      <c r="R97" s="384"/>
      <c r="S97" s="384"/>
    </row>
    <row r="98" spans="1:25" x14ac:dyDescent="0.25">
      <c r="A98" s="390" t="s">
        <v>16</v>
      </c>
      <c r="B98" s="392" t="s">
        <v>17</v>
      </c>
      <c r="C98" s="392"/>
      <c r="D98" s="392"/>
      <c r="E98" s="392"/>
      <c r="F98" s="392" t="s">
        <v>18</v>
      </c>
      <c r="G98" s="392"/>
      <c r="H98" s="392"/>
      <c r="I98" s="392"/>
      <c r="J98" s="392" t="s">
        <v>19</v>
      </c>
      <c r="K98" s="392"/>
      <c r="L98" s="392"/>
      <c r="M98" s="392"/>
      <c r="N98" s="392" t="s">
        <v>20</v>
      </c>
      <c r="O98" s="392"/>
      <c r="P98" s="392"/>
      <c r="Q98" s="392"/>
      <c r="R98" s="392" t="s">
        <v>21</v>
      </c>
      <c r="S98" s="392"/>
      <c r="T98" s="392"/>
      <c r="U98" s="392"/>
      <c r="V98" s="385" t="s">
        <v>25</v>
      </c>
      <c r="W98" s="387"/>
      <c r="X98" s="387"/>
      <c r="Y98" s="388"/>
    </row>
    <row r="99" spans="1:25" x14ac:dyDescent="0.25">
      <c r="A99" s="381"/>
      <c r="B99" s="3" t="s">
        <v>13</v>
      </c>
      <c r="C99" s="3" t="s">
        <v>27</v>
      </c>
      <c r="D99" s="3" t="s">
        <v>28</v>
      </c>
      <c r="E99" s="3" t="s">
        <v>29</v>
      </c>
      <c r="F99" s="3" t="s">
        <v>13</v>
      </c>
      <c r="G99" s="3" t="s">
        <v>27</v>
      </c>
      <c r="H99" s="3" t="s">
        <v>28</v>
      </c>
      <c r="I99" s="3" t="s">
        <v>29</v>
      </c>
      <c r="J99" s="3" t="s">
        <v>13</v>
      </c>
      <c r="K99" s="3" t="s">
        <v>27</v>
      </c>
      <c r="L99" s="3" t="s">
        <v>28</v>
      </c>
      <c r="M99" s="3" t="s">
        <v>29</v>
      </c>
      <c r="N99" s="3" t="s">
        <v>13</v>
      </c>
      <c r="O99" s="3" t="s">
        <v>27</v>
      </c>
      <c r="P99" s="3" t="s">
        <v>28</v>
      </c>
      <c r="Q99" s="3" t="s">
        <v>29</v>
      </c>
      <c r="R99" s="3" t="s">
        <v>13</v>
      </c>
      <c r="S99" s="3" t="s">
        <v>27</v>
      </c>
      <c r="T99" s="3" t="s">
        <v>28</v>
      </c>
      <c r="U99" s="3" t="s">
        <v>29</v>
      </c>
      <c r="V99" s="386"/>
      <c r="W99" s="4" t="s">
        <v>30</v>
      </c>
      <c r="X99" s="4" t="s">
        <v>31</v>
      </c>
      <c r="Y99" s="5" t="s">
        <v>32</v>
      </c>
    </row>
    <row r="100" spans="1:25" ht="15.75" thickBot="1" x14ac:dyDescent="0.3">
      <c r="A100" s="391"/>
      <c r="B100" s="6"/>
      <c r="C100" s="6"/>
      <c r="D100" s="6" t="s">
        <v>33</v>
      </c>
      <c r="E100" s="6" t="s">
        <v>33</v>
      </c>
      <c r="F100" s="6"/>
      <c r="G100" s="6"/>
      <c r="H100" s="6" t="s">
        <v>33</v>
      </c>
      <c r="I100" s="6" t="s">
        <v>33</v>
      </c>
      <c r="J100" s="6"/>
      <c r="K100" s="6"/>
      <c r="L100" s="6" t="s">
        <v>33</v>
      </c>
      <c r="M100" s="6" t="s">
        <v>33</v>
      </c>
      <c r="N100" s="6"/>
      <c r="O100" s="6"/>
      <c r="P100" s="6" t="s">
        <v>33</v>
      </c>
      <c r="Q100" s="6" t="s">
        <v>33</v>
      </c>
      <c r="R100" s="6"/>
      <c r="S100" s="6"/>
      <c r="T100" s="6" t="s">
        <v>33</v>
      </c>
      <c r="U100" s="6" t="s">
        <v>33</v>
      </c>
      <c r="V100" s="6" t="s">
        <v>33</v>
      </c>
      <c r="W100" s="6" t="s">
        <v>34</v>
      </c>
      <c r="X100" s="6" t="s">
        <v>34</v>
      </c>
      <c r="Y100" s="7" t="s">
        <v>35</v>
      </c>
    </row>
    <row r="101" spans="1:25" ht="15.75" thickTop="1" x14ac:dyDescent="0.25">
      <c r="A101" s="389" t="s">
        <v>36</v>
      </c>
      <c r="B101" s="3"/>
      <c r="C101" s="3"/>
      <c r="D101" s="3"/>
      <c r="E101" s="8"/>
      <c r="F101" s="3"/>
      <c r="G101" s="3"/>
      <c r="H101" s="3"/>
      <c r="I101" s="8"/>
      <c r="J101" s="8"/>
      <c r="K101" s="8"/>
      <c r="L101" s="8"/>
      <c r="M101" s="8"/>
      <c r="N101" s="8"/>
      <c r="O101" s="8"/>
      <c r="P101" s="8"/>
      <c r="Q101" s="8"/>
      <c r="R101" s="8"/>
      <c r="S101" s="8"/>
      <c r="T101" s="8"/>
      <c r="U101" s="8"/>
      <c r="V101" s="8"/>
      <c r="W101" s="8"/>
      <c r="X101" s="8"/>
      <c r="Y101" s="9"/>
    </row>
    <row r="102" spans="1:25" x14ac:dyDescent="0.25">
      <c r="A102" s="381"/>
      <c r="B102" s="10"/>
      <c r="C102" s="10"/>
      <c r="D102" s="10"/>
      <c r="E102" s="10">
        <f>B101*D101</f>
        <v>0</v>
      </c>
      <c r="F102" s="10"/>
      <c r="G102" s="10"/>
      <c r="H102" s="10"/>
      <c r="I102" s="10">
        <f>F101*H101</f>
        <v>0</v>
      </c>
      <c r="J102" s="10"/>
      <c r="K102" s="10"/>
      <c r="L102" s="10"/>
      <c r="M102" s="10">
        <f>J101*L101</f>
        <v>0</v>
      </c>
      <c r="N102" s="10"/>
      <c r="O102" s="10"/>
      <c r="P102" s="10"/>
      <c r="Q102" s="10">
        <f>N101*P101</f>
        <v>0</v>
      </c>
      <c r="R102" s="10"/>
      <c r="S102" s="10"/>
      <c r="T102" s="10"/>
      <c r="U102" s="10">
        <f>R101*T101</f>
        <v>0</v>
      </c>
      <c r="V102" s="10">
        <f>SUM(E102:U102)</f>
        <v>0</v>
      </c>
      <c r="W102" s="11"/>
      <c r="X102" s="11"/>
      <c r="Y102" s="12" t="e">
        <f>V102/W102/X102/1000</f>
        <v>#DIV/0!</v>
      </c>
    </row>
    <row r="103" spans="1:25" x14ac:dyDescent="0.25">
      <c r="A103" s="381" t="s">
        <v>10</v>
      </c>
      <c r="B103" s="3">
        <v>2</v>
      </c>
      <c r="C103" s="21" t="s">
        <v>74</v>
      </c>
      <c r="D103" s="3">
        <v>120</v>
      </c>
      <c r="E103" s="3"/>
      <c r="F103" s="8"/>
      <c r="G103" s="8"/>
      <c r="H103" s="8"/>
      <c r="I103" s="3"/>
      <c r="J103" s="3"/>
      <c r="K103" s="3"/>
      <c r="L103" s="3"/>
      <c r="M103" s="3"/>
      <c r="N103" s="3"/>
      <c r="O103" s="3"/>
      <c r="P103" s="3"/>
      <c r="Q103" s="3"/>
      <c r="R103" s="3"/>
      <c r="S103" s="3"/>
      <c r="T103" s="3"/>
      <c r="U103" s="3"/>
      <c r="V103" s="3"/>
      <c r="W103" s="3"/>
      <c r="X103" s="3"/>
      <c r="Y103" s="5"/>
    </row>
    <row r="104" spans="1:25" x14ac:dyDescent="0.25">
      <c r="A104" s="381"/>
      <c r="B104" s="10"/>
      <c r="C104" s="10"/>
      <c r="D104" s="10"/>
      <c r="E104" s="10">
        <f>B103*D103</f>
        <v>240</v>
      </c>
      <c r="F104" s="10"/>
      <c r="G104" s="10"/>
      <c r="H104" s="10"/>
      <c r="I104" s="10">
        <f>F103*H103</f>
        <v>0</v>
      </c>
      <c r="J104" s="10"/>
      <c r="K104" s="10"/>
      <c r="L104" s="10"/>
      <c r="M104" s="10">
        <f>J103*L103</f>
        <v>0</v>
      </c>
      <c r="N104" s="10"/>
      <c r="O104" s="10"/>
      <c r="P104" s="10"/>
      <c r="Q104" s="10">
        <f>N103*P103</f>
        <v>0</v>
      </c>
      <c r="R104" s="10"/>
      <c r="S104" s="10"/>
      <c r="T104" s="10"/>
      <c r="U104" s="10">
        <f>R103*T103</f>
        <v>0</v>
      </c>
      <c r="V104" s="10">
        <f>SUM(E104:U104)</f>
        <v>240</v>
      </c>
      <c r="W104" s="11">
        <v>0.3</v>
      </c>
      <c r="X104" s="11">
        <v>0.3</v>
      </c>
      <c r="Y104" s="12">
        <f>V104/W104/X104/1000</f>
        <v>2.666666666666667</v>
      </c>
    </row>
    <row r="105" spans="1:25" x14ac:dyDescent="0.25">
      <c r="A105" s="381" t="s">
        <v>38</v>
      </c>
      <c r="B105" s="3"/>
      <c r="C105" s="3"/>
      <c r="D105" s="3"/>
      <c r="E105" s="3"/>
      <c r="F105" s="8"/>
      <c r="G105" s="8"/>
      <c r="H105" s="8"/>
      <c r="I105" s="3"/>
      <c r="J105" s="3"/>
      <c r="K105" s="3"/>
      <c r="L105" s="3"/>
      <c r="M105" s="3"/>
      <c r="N105" s="3"/>
      <c r="O105" s="3"/>
      <c r="P105" s="3"/>
      <c r="Q105" s="3"/>
      <c r="R105" s="3"/>
      <c r="S105" s="3"/>
      <c r="T105" s="3"/>
      <c r="U105" s="3"/>
      <c r="V105" s="3"/>
      <c r="W105" s="3"/>
      <c r="X105" s="3"/>
      <c r="Y105" s="5"/>
    </row>
    <row r="106" spans="1:25" x14ac:dyDescent="0.25">
      <c r="A106" s="381"/>
      <c r="B106" s="10"/>
      <c r="C106" s="10"/>
      <c r="D106" s="10"/>
      <c r="E106" s="10">
        <f>B105*D105</f>
        <v>0</v>
      </c>
      <c r="F106" s="10"/>
      <c r="G106" s="10"/>
      <c r="H106" s="10"/>
      <c r="I106" s="10">
        <f>F105*H105</f>
        <v>0</v>
      </c>
      <c r="J106" s="10"/>
      <c r="K106" s="10"/>
      <c r="L106" s="10"/>
      <c r="M106" s="10">
        <f>J105*L105</f>
        <v>0</v>
      </c>
      <c r="N106" s="10"/>
      <c r="O106" s="10"/>
      <c r="P106" s="10"/>
      <c r="Q106" s="10">
        <f>N105*P105</f>
        <v>0</v>
      </c>
      <c r="R106" s="10"/>
      <c r="S106" s="10"/>
      <c r="T106" s="10"/>
      <c r="U106" s="10">
        <f>R105*T105</f>
        <v>0</v>
      </c>
      <c r="V106" s="10">
        <f>SUM(E106:U106)</f>
        <v>0</v>
      </c>
      <c r="W106" s="11"/>
      <c r="X106" s="11"/>
      <c r="Y106" s="12" t="e">
        <f>V106/W106/X106/1000</f>
        <v>#DIV/0!</v>
      </c>
    </row>
    <row r="107" spans="1:25" x14ac:dyDescent="0.25">
      <c r="A107" s="381" t="s">
        <v>39</v>
      </c>
      <c r="B107" s="3"/>
      <c r="C107" s="3"/>
      <c r="D107" s="3"/>
      <c r="E107" s="3"/>
      <c r="F107" s="8"/>
      <c r="G107" s="8"/>
      <c r="H107" s="8"/>
      <c r="I107" s="3"/>
      <c r="J107" s="3"/>
      <c r="K107" s="3"/>
      <c r="L107" s="3"/>
      <c r="M107" s="3"/>
      <c r="N107" s="3"/>
      <c r="O107" s="3"/>
      <c r="P107" s="3"/>
      <c r="Q107" s="3"/>
      <c r="R107" s="3"/>
      <c r="S107" s="3"/>
      <c r="T107" s="3"/>
      <c r="U107" s="3"/>
      <c r="V107" s="3"/>
      <c r="W107" s="3"/>
      <c r="X107" s="3"/>
      <c r="Y107" s="5"/>
    </row>
    <row r="108" spans="1:25" ht="15.75" thickBot="1" x14ac:dyDescent="0.3">
      <c r="A108" s="394"/>
      <c r="B108" s="13"/>
      <c r="C108" s="13"/>
      <c r="D108" s="13"/>
      <c r="E108" s="13">
        <f>B107*D107</f>
        <v>0</v>
      </c>
      <c r="F108" s="13"/>
      <c r="G108" s="13"/>
      <c r="H108" s="13"/>
      <c r="I108" s="13">
        <f>F107*H107</f>
        <v>0</v>
      </c>
      <c r="J108" s="13"/>
      <c r="K108" s="13"/>
      <c r="L108" s="13"/>
      <c r="M108" s="13">
        <f>J107*L107</f>
        <v>0</v>
      </c>
      <c r="N108" s="13"/>
      <c r="O108" s="13"/>
      <c r="P108" s="13"/>
      <c r="Q108" s="13">
        <f>N107*P107</f>
        <v>0</v>
      </c>
      <c r="R108" s="13"/>
      <c r="S108" s="13"/>
      <c r="T108" s="13"/>
      <c r="U108" s="13">
        <f>R107*T107</f>
        <v>0</v>
      </c>
      <c r="V108" s="13">
        <f>SUM(E108:U108)</f>
        <v>0</v>
      </c>
      <c r="W108" s="11"/>
      <c r="X108" s="11"/>
      <c r="Y108" s="14" t="e">
        <f>V108/W108/X108/1000</f>
        <v>#DIV/0!</v>
      </c>
    </row>
    <row r="109" spans="1:25" ht="15.75" thickBot="1" x14ac:dyDescent="0.3">
      <c r="V109" s="15">
        <f>SUM(V102:V108)</f>
        <v>240</v>
      </c>
      <c r="W109" s="16">
        <v>0.25</v>
      </c>
      <c r="X109" s="16">
        <v>0.25</v>
      </c>
      <c r="Y109" s="17">
        <f>V109/W109/X109/1000</f>
        <v>3.84</v>
      </c>
    </row>
    <row r="111" spans="1:25" ht="15.75" thickBot="1" x14ac:dyDescent="0.3"/>
    <row r="112" spans="1:25" ht="15.75" thickBot="1" x14ac:dyDescent="0.3">
      <c r="A112" s="2" t="s">
        <v>15</v>
      </c>
      <c r="B112" s="395" t="s">
        <v>42</v>
      </c>
      <c r="C112" s="383"/>
      <c r="F112" s="384"/>
      <c r="G112" s="384"/>
      <c r="J112" s="384"/>
      <c r="K112" s="384"/>
      <c r="N112" s="384"/>
      <c r="O112" s="384"/>
      <c r="R112" s="384"/>
      <c r="S112" s="384"/>
    </row>
    <row r="113" spans="1:25" x14ac:dyDescent="0.25">
      <c r="A113" s="390" t="s">
        <v>16</v>
      </c>
      <c r="B113" s="392" t="s">
        <v>17</v>
      </c>
      <c r="C113" s="392"/>
      <c r="D113" s="392"/>
      <c r="E113" s="392"/>
      <c r="F113" s="392" t="s">
        <v>18</v>
      </c>
      <c r="G113" s="392"/>
      <c r="H113" s="392"/>
      <c r="I113" s="392"/>
      <c r="J113" s="392" t="s">
        <v>19</v>
      </c>
      <c r="K113" s="392"/>
      <c r="L113" s="392"/>
      <c r="M113" s="392"/>
      <c r="N113" s="392" t="s">
        <v>20</v>
      </c>
      <c r="O113" s="392"/>
      <c r="P113" s="392"/>
      <c r="Q113" s="392"/>
      <c r="R113" s="392" t="s">
        <v>21</v>
      </c>
      <c r="S113" s="392"/>
      <c r="T113" s="392"/>
      <c r="U113" s="392"/>
      <c r="V113" s="385" t="s">
        <v>25</v>
      </c>
      <c r="W113" s="387"/>
      <c r="X113" s="387"/>
      <c r="Y113" s="388"/>
    </row>
    <row r="114" spans="1:25" x14ac:dyDescent="0.25">
      <c r="A114" s="381"/>
      <c r="B114" s="3" t="s">
        <v>13</v>
      </c>
      <c r="C114" s="3" t="s">
        <v>27</v>
      </c>
      <c r="D114" s="3" t="s">
        <v>28</v>
      </c>
      <c r="E114" s="3" t="s">
        <v>29</v>
      </c>
      <c r="F114" s="3" t="s">
        <v>13</v>
      </c>
      <c r="G114" s="3" t="s">
        <v>27</v>
      </c>
      <c r="H114" s="3" t="s">
        <v>28</v>
      </c>
      <c r="I114" s="3" t="s">
        <v>29</v>
      </c>
      <c r="J114" s="3" t="s">
        <v>13</v>
      </c>
      <c r="K114" s="3" t="s">
        <v>27</v>
      </c>
      <c r="L114" s="3" t="s">
        <v>28</v>
      </c>
      <c r="M114" s="3" t="s">
        <v>29</v>
      </c>
      <c r="N114" s="3" t="s">
        <v>13</v>
      </c>
      <c r="O114" s="3" t="s">
        <v>27</v>
      </c>
      <c r="P114" s="3" t="s">
        <v>28</v>
      </c>
      <c r="Q114" s="3" t="s">
        <v>29</v>
      </c>
      <c r="R114" s="3" t="s">
        <v>13</v>
      </c>
      <c r="S114" s="3" t="s">
        <v>27</v>
      </c>
      <c r="T114" s="3" t="s">
        <v>28</v>
      </c>
      <c r="U114" s="3" t="s">
        <v>29</v>
      </c>
      <c r="V114" s="386"/>
      <c r="W114" s="4" t="s">
        <v>30</v>
      </c>
      <c r="X114" s="4" t="s">
        <v>31</v>
      </c>
      <c r="Y114" s="5" t="s">
        <v>32</v>
      </c>
    </row>
    <row r="115" spans="1:25" ht="15.75" thickBot="1" x14ac:dyDescent="0.3">
      <c r="A115" s="391"/>
      <c r="B115" s="6"/>
      <c r="C115" s="6"/>
      <c r="D115" s="6" t="s">
        <v>33</v>
      </c>
      <c r="E115" s="6" t="s">
        <v>33</v>
      </c>
      <c r="F115" s="6"/>
      <c r="G115" s="6"/>
      <c r="H115" s="6" t="s">
        <v>33</v>
      </c>
      <c r="I115" s="6" t="s">
        <v>33</v>
      </c>
      <c r="J115" s="6"/>
      <c r="K115" s="6"/>
      <c r="L115" s="6" t="s">
        <v>33</v>
      </c>
      <c r="M115" s="6" t="s">
        <v>33</v>
      </c>
      <c r="N115" s="6"/>
      <c r="O115" s="6"/>
      <c r="P115" s="6" t="s">
        <v>33</v>
      </c>
      <c r="Q115" s="6" t="s">
        <v>33</v>
      </c>
      <c r="R115" s="6"/>
      <c r="S115" s="6"/>
      <c r="T115" s="6" t="s">
        <v>33</v>
      </c>
      <c r="U115" s="6" t="s">
        <v>33</v>
      </c>
      <c r="V115" s="6" t="s">
        <v>33</v>
      </c>
      <c r="W115" s="6" t="s">
        <v>34</v>
      </c>
      <c r="X115" s="6" t="s">
        <v>34</v>
      </c>
      <c r="Y115" s="7" t="s">
        <v>35</v>
      </c>
    </row>
    <row r="116" spans="1:25" ht="15.75" thickTop="1" x14ac:dyDescent="0.25">
      <c r="A116" s="389" t="s">
        <v>36</v>
      </c>
      <c r="B116" s="3"/>
      <c r="C116" s="3"/>
      <c r="D116" s="3"/>
      <c r="E116" s="8"/>
      <c r="F116" s="3"/>
      <c r="G116" s="3"/>
      <c r="H116" s="3"/>
      <c r="I116" s="8"/>
      <c r="J116" s="8"/>
      <c r="K116" s="8"/>
      <c r="L116" s="8"/>
      <c r="M116" s="8"/>
      <c r="N116" s="8"/>
      <c r="O116" s="8"/>
      <c r="P116" s="8"/>
      <c r="Q116" s="8"/>
      <c r="R116" s="8"/>
      <c r="S116" s="8"/>
      <c r="T116" s="8"/>
      <c r="U116" s="8"/>
      <c r="V116" s="8"/>
      <c r="W116" s="8"/>
      <c r="X116" s="8"/>
      <c r="Y116" s="9"/>
    </row>
    <row r="117" spans="1:25" x14ac:dyDescent="0.25">
      <c r="A117" s="381"/>
      <c r="B117" s="10"/>
      <c r="C117" s="10"/>
      <c r="D117" s="10"/>
      <c r="E117" s="10">
        <f>B116*D116</f>
        <v>0</v>
      </c>
      <c r="F117" s="10"/>
      <c r="G117" s="10"/>
      <c r="H117" s="10"/>
      <c r="I117" s="10">
        <f>F116*H116</f>
        <v>0</v>
      </c>
      <c r="J117" s="10"/>
      <c r="K117" s="10"/>
      <c r="L117" s="10"/>
      <c r="M117" s="10">
        <f>J116*L116</f>
        <v>0</v>
      </c>
      <c r="N117" s="10"/>
      <c r="O117" s="10"/>
      <c r="P117" s="10"/>
      <c r="Q117" s="10">
        <f>N116*P116</f>
        <v>0</v>
      </c>
      <c r="R117" s="10"/>
      <c r="S117" s="10"/>
      <c r="T117" s="10"/>
      <c r="U117" s="10">
        <f>R116*T116</f>
        <v>0</v>
      </c>
      <c r="V117" s="10">
        <f>SUM(E117:U117)</f>
        <v>0</v>
      </c>
      <c r="W117" s="11"/>
      <c r="X117" s="11"/>
      <c r="Y117" s="12" t="e">
        <f>V117/W117/X117/1000</f>
        <v>#DIV/0!</v>
      </c>
    </row>
    <row r="118" spans="1:25" x14ac:dyDescent="0.25">
      <c r="A118" s="381" t="s">
        <v>10</v>
      </c>
      <c r="B118" s="3"/>
      <c r="C118" s="3"/>
      <c r="D118" s="3"/>
      <c r="E118" s="3"/>
      <c r="F118" s="8"/>
      <c r="G118" s="8"/>
      <c r="H118" s="8"/>
      <c r="I118" s="3"/>
      <c r="J118" s="3"/>
      <c r="K118" s="3"/>
      <c r="L118" s="3"/>
      <c r="M118" s="3"/>
      <c r="N118" s="3"/>
      <c r="O118" s="3"/>
      <c r="P118" s="3"/>
      <c r="Q118" s="3"/>
      <c r="R118" s="3"/>
      <c r="S118" s="3"/>
      <c r="T118" s="3"/>
      <c r="U118" s="3"/>
      <c r="V118" s="3"/>
      <c r="W118" s="3"/>
      <c r="X118" s="3"/>
      <c r="Y118" s="5"/>
    </row>
    <row r="119" spans="1:25" x14ac:dyDescent="0.25">
      <c r="A119" s="381"/>
      <c r="B119" s="10"/>
      <c r="C119" s="10"/>
      <c r="D119" s="10"/>
      <c r="E119" s="10">
        <f>B118*D118</f>
        <v>0</v>
      </c>
      <c r="F119" s="10"/>
      <c r="G119" s="10"/>
      <c r="H119" s="10"/>
      <c r="I119" s="10">
        <f>F118*H118</f>
        <v>0</v>
      </c>
      <c r="J119" s="10"/>
      <c r="K119" s="10"/>
      <c r="L119" s="10"/>
      <c r="M119" s="10">
        <f>J118*L118</f>
        <v>0</v>
      </c>
      <c r="N119" s="10"/>
      <c r="O119" s="10"/>
      <c r="P119" s="10"/>
      <c r="Q119" s="10">
        <f>N118*P118</f>
        <v>0</v>
      </c>
      <c r="R119" s="10"/>
      <c r="S119" s="10"/>
      <c r="T119" s="10"/>
      <c r="U119" s="10">
        <f>R118*T118</f>
        <v>0</v>
      </c>
      <c r="V119" s="10">
        <f>SUM(E119:U119)</f>
        <v>0</v>
      </c>
      <c r="W119" s="11"/>
      <c r="X119" s="11"/>
      <c r="Y119" s="12" t="e">
        <f>V119/W119/X119/1000</f>
        <v>#DIV/0!</v>
      </c>
    </row>
    <row r="120" spans="1:25" x14ac:dyDescent="0.25">
      <c r="A120" s="381" t="s">
        <v>38</v>
      </c>
      <c r="B120" s="3">
        <v>5</v>
      </c>
      <c r="C120" s="3" t="s">
        <v>37</v>
      </c>
      <c r="D120" s="3">
        <v>40</v>
      </c>
      <c r="E120" s="3"/>
      <c r="F120" s="8"/>
      <c r="G120" s="8"/>
      <c r="H120" s="8"/>
      <c r="I120" s="3"/>
      <c r="J120" s="3"/>
      <c r="K120" s="3"/>
      <c r="L120" s="3"/>
      <c r="M120" s="3"/>
      <c r="N120" s="3"/>
      <c r="O120" s="3"/>
      <c r="P120" s="3"/>
      <c r="Q120" s="3"/>
      <c r="R120" s="3"/>
      <c r="S120" s="3"/>
      <c r="T120" s="3"/>
      <c r="U120" s="3"/>
      <c r="V120" s="3"/>
      <c r="W120" s="3"/>
      <c r="X120" s="3"/>
      <c r="Y120" s="5"/>
    </row>
    <row r="121" spans="1:25" x14ac:dyDescent="0.25">
      <c r="A121" s="381"/>
      <c r="B121" s="10"/>
      <c r="C121" s="10"/>
      <c r="D121" s="10"/>
      <c r="E121" s="10">
        <f>B120*D120</f>
        <v>200</v>
      </c>
      <c r="F121" s="10"/>
      <c r="G121" s="10"/>
      <c r="H121" s="10"/>
      <c r="I121" s="10">
        <f>F120*H120</f>
        <v>0</v>
      </c>
      <c r="J121" s="10"/>
      <c r="K121" s="10"/>
      <c r="L121" s="10"/>
      <c r="M121" s="10">
        <f>J120*L120</f>
        <v>0</v>
      </c>
      <c r="N121" s="10"/>
      <c r="O121" s="10"/>
      <c r="P121" s="10"/>
      <c r="Q121" s="10">
        <f>N120*P120</f>
        <v>0</v>
      </c>
      <c r="R121" s="10"/>
      <c r="S121" s="10"/>
      <c r="T121" s="10"/>
      <c r="U121" s="10">
        <f>R120*T120</f>
        <v>0</v>
      </c>
      <c r="V121" s="10">
        <f>SUM(E121:U121)</f>
        <v>200</v>
      </c>
      <c r="W121" s="11">
        <v>0.2</v>
      </c>
      <c r="X121" s="11">
        <v>0.2</v>
      </c>
      <c r="Y121" s="12">
        <f>V121/W121/X121/1000</f>
        <v>5</v>
      </c>
    </row>
    <row r="122" spans="1:25" x14ac:dyDescent="0.25">
      <c r="A122" s="381" t="s">
        <v>39</v>
      </c>
      <c r="B122" s="3">
        <v>5</v>
      </c>
      <c r="C122" s="3" t="s">
        <v>37</v>
      </c>
      <c r="D122" s="3">
        <v>40</v>
      </c>
      <c r="E122" s="3"/>
      <c r="F122" s="8"/>
      <c r="G122" s="8"/>
      <c r="H122" s="8"/>
      <c r="I122" s="3"/>
      <c r="J122" s="3"/>
      <c r="K122" s="3"/>
      <c r="L122" s="3"/>
      <c r="M122" s="3"/>
      <c r="N122" s="3"/>
      <c r="O122" s="3"/>
      <c r="P122" s="3"/>
      <c r="Q122" s="3"/>
      <c r="R122" s="3"/>
      <c r="S122" s="3"/>
      <c r="T122" s="3"/>
      <c r="U122" s="3"/>
      <c r="V122" s="3"/>
      <c r="W122" s="3"/>
      <c r="X122" s="3"/>
      <c r="Y122" s="5"/>
    </row>
    <row r="123" spans="1:25" ht="15.75" thickBot="1" x14ac:dyDescent="0.3">
      <c r="A123" s="394"/>
      <c r="B123" s="13"/>
      <c r="C123" s="13"/>
      <c r="D123" s="13"/>
      <c r="E123" s="13">
        <f>B122*D122</f>
        <v>200</v>
      </c>
      <c r="F123" s="13"/>
      <c r="G123" s="13"/>
      <c r="H123" s="13"/>
      <c r="I123" s="13">
        <f>F122*H122</f>
        <v>0</v>
      </c>
      <c r="J123" s="13"/>
      <c r="K123" s="13"/>
      <c r="L123" s="13"/>
      <c r="M123" s="13">
        <f>J122*L122</f>
        <v>0</v>
      </c>
      <c r="N123" s="13"/>
      <c r="O123" s="13"/>
      <c r="P123" s="13"/>
      <c r="Q123" s="13">
        <f>N122*P122</f>
        <v>0</v>
      </c>
      <c r="R123" s="13"/>
      <c r="S123" s="13"/>
      <c r="T123" s="13"/>
      <c r="U123" s="13">
        <f>R122*T122</f>
        <v>0</v>
      </c>
      <c r="V123" s="13">
        <f>SUM(E123:U123)</f>
        <v>200</v>
      </c>
      <c r="W123" s="11">
        <v>0.2</v>
      </c>
      <c r="X123" s="11">
        <v>0.2</v>
      </c>
      <c r="Y123" s="14">
        <f>V123/W123/X123/1000</f>
        <v>5</v>
      </c>
    </row>
    <row r="124" spans="1:25" ht="15.75" thickBot="1" x14ac:dyDescent="0.3">
      <c r="V124" s="15">
        <f>SUM(V117:V123)</f>
        <v>400</v>
      </c>
      <c r="W124" s="16">
        <v>0.3</v>
      </c>
      <c r="X124" s="16">
        <v>0.2</v>
      </c>
      <c r="Y124" s="17">
        <f>V124/W124/X124/1000</f>
        <v>6.666666666666667</v>
      </c>
    </row>
    <row r="129" spans="1:25" ht="15.75" thickBot="1" x14ac:dyDescent="0.3"/>
    <row r="130" spans="1:25" ht="15.75" thickBot="1" x14ac:dyDescent="0.3">
      <c r="A130" s="2" t="s">
        <v>15</v>
      </c>
      <c r="B130" s="395" t="s">
        <v>43</v>
      </c>
      <c r="C130" s="383"/>
      <c r="F130" s="384"/>
      <c r="G130" s="384"/>
      <c r="J130" s="384"/>
      <c r="K130" s="384"/>
      <c r="N130" s="384"/>
      <c r="O130" s="384"/>
      <c r="R130" s="384"/>
      <c r="S130" s="384"/>
    </row>
    <row r="131" spans="1:25" x14ac:dyDescent="0.25">
      <c r="A131" s="390" t="s">
        <v>16</v>
      </c>
      <c r="B131" s="392" t="s">
        <v>17</v>
      </c>
      <c r="C131" s="392"/>
      <c r="D131" s="392"/>
      <c r="E131" s="392"/>
      <c r="F131" s="392" t="s">
        <v>18</v>
      </c>
      <c r="G131" s="392"/>
      <c r="H131" s="392"/>
      <c r="I131" s="392"/>
      <c r="J131" s="392" t="s">
        <v>19</v>
      </c>
      <c r="K131" s="392"/>
      <c r="L131" s="392"/>
      <c r="M131" s="392"/>
      <c r="N131" s="392" t="s">
        <v>20</v>
      </c>
      <c r="O131" s="392"/>
      <c r="P131" s="392"/>
      <c r="Q131" s="392"/>
      <c r="R131" s="392" t="s">
        <v>21</v>
      </c>
      <c r="S131" s="392"/>
      <c r="T131" s="392"/>
      <c r="U131" s="392"/>
      <c r="V131" s="385" t="s">
        <v>25</v>
      </c>
      <c r="W131" s="387"/>
      <c r="X131" s="387"/>
      <c r="Y131" s="388"/>
    </row>
    <row r="132" spans="1:25" x14ac:dyDescent="0.25">
      <c r="A132" s="381"/>
      <c r="B132" s="3" t="s">
        <v>13</v>
      </c>
      <c r="C132" s="3" t="s">
        <v>27</v>
      </c>
      <c r="D132" s="3" t="s">
        <v>28</v>
      </c>
      <c r="E132" s="3" t="s">
        <v>29</v>
      </c>
      <c r="F132" s="3" t="s">
        <v>13</v>
      </c>
      <c r="G132" s="3" t="s">
        <v>27</v>
      </c>
      <c r="H132" s="3" t="s">
        <v>28</v>
      </c>
      <c r="I132" s="3" t="s">
        <v>29</v>
      </c>
      <c r="J132" s="3" t="s">
        <v>13</v>
      </c>
      <c r="K132" s="3" t="s">
        <v>27</v>
      </c>
      <c r="L132" s="3" t="s">
        <v>28</v>
      </c>
      <c r="M132" s="3" t="s">
        <v>29</v>
      </c>
      <c r="N132" s="3" t="s">
        <v>13</v>
      </c>
      <c r="O132" s="3" t="s">
        <v>27</v>
      </c>
      <c r="P132" s="3" t="s">
        <v>28</v>
      </c>
      <c r="Q132" s="3" t="s">
        <v>29</v>
      </c>
      <c r="R132" s="3" t="s">
        <v>13</v>
      </c>
      <c r="S132" s="3" t="s">
        <v>27</v>
      </c>
      <c r="T132" s="3" t="s">
        <v>28</v>
      </c>
      <c r="U132" s="3" t="s">
        <v>29</v>
      </c>
      <c r="V132" s="386"/>
      <c r="W132" s="4" t="s">
        <v>30</v>
      </c>
      <c r="X132" s="4" t="s">
        <v>31</v>
      </c>
      <c r="Y132" s="5" t="s">
        <v>32</v>
      </c>
    </row>
    <row r="133" spans="1:25" ht="15.75" thickBot="1" x14ac:dyDescent="0.3">
      <c r="A133" s="391"/>
      <c r="B133" s="6"/>
      <c r="C133" s="6"/>
      <c r="D133" s="6" t="s">
        <v>33</v>
      </c>
      <c r="E133" s="6" t="s">
        <v>33</v>
      </c>
      <c r="F133" s="6"/>
      <c r="G133" s="6"/>
      <c r="H133" s="6" t="s">
        <v>33</v>
      </c>
      <c r="I133" s="6" t="s">
        <v>33</v>
      </c>
      <c r="J133" s="6"/>
      <c r="K133" s="6"/>
      <c r="L133" s="6" t="s">
        <v>33</v>
      </c>
      <c r="M133" s="6" t="s">
        <v>33</v>
      </c>
      <c r="N133" s="6"/>
      <c r="O133" s="6"/>
      <c r="P133" s="6" t="s">
        <v>33</v>
      </c>
      <c r="Q133" s="6" t="s">
        <v>33</v>
      </c>
      <c r="R133" s="6"/>
      <c r="S133" s="6"/>
      <c r="T133" s="6" t="s">
        <v>33</v>
      </c>
      <c r="U133" s="6" t="s">
        <v>33</v>
      </c>
      <c r="V133" s="6" t="s">
        <v>33</v>
      </c>
      <c r="W133" s="6" t="s">
        <v>34</v>
      </c>
      <c r="X133" s="6" t="s">
        <v>34</v>
      </c>
      <c r="Y133" s="7" t="s">
        <v>35</v>
      </c>
    </row>
    <row r="134" spans="1:25" ht="15.75" thickTop="1" x14ac:dyDescent="0.25">
      <c r="A134" s="389" t="s">
        <v>36</v>
      </c>
      <c r="B134" s="3"/>
      <c r="C134" s="3"/>
      <c r="D134" s="3"/>
      <c r="E134" s="8"/>
      <c r="F134" s="3"/>
      <c r="G134" s="3"/>
      <c r="H134" s="3"/>
      <c r="I134" s="8"/>
      <c r="J134" s="8"/>
      <c r="K134" s="8"/>
      <c r="L134" s="8"/>
      <c r="M134" s="8"/>
      <c r="N134" s="8"/>
      <c r="O134" s="8"/>
      <c r="P134" s="8"/>
      <c r="Q134" s="8"/>
      <c r="R134" s="8"/>
      <c r="S134" s="8"/>
      <c r="T134" s="8"/>
      <c r="U134" s="8"/>
      <c r="V134" s="8"/>
      <c r="W134" s="8"/>
      <c r="X134" s="8"/>
      <c r="Y134" s="9"/>
    </row>
    <row r="135" spans="1:25" x14ac:dyDescent="0.25">
      <c r="A135" s="381"/>
      <c r="B135" s="10"/>
      <c r="C135" s="10"/>
      <c r="D135" s="10"/>
      <c r="E135" s="10">
        <f>B134*D134</f>
        <v>0</v>
      </c>
      <c r="F135" s="10"/>
      <c r="G135" s="10"/>
      <c r="H135" s="10"/>
      <c r="I135" s="10">
        <f>F134*H134</f>
        <v>0</v>
      </c>
      <c r="J135" s="10"/>
      <c r="K135" s="10"/>
      <c r="L135" s="10"/>
      <c r="M135" s="10">
        <f>J134*L134</f>
        <v>0</v>
      </c>
      <c r="N135" s="10"/>
      <c r="O135" s="10"/>
      <c r="P135" s="10"/>
      <c r="Q135" s="10">
        <f>N134*P134</f>
        <v>0</v>
      </c>
      <c r="R135" s="10"/>
      <c r="S135" s="10"/>
      <c r="T135" s="10"/>
      <c r="U135" s="10">
        <f>R134*T134</f>
        <v>0</v>
      </c>
      <c r="V135" s="10">
        <f>SUM(E135:U135)</f>
        <v>0</v>
      </c>
      <c r="W135" s="11"/>
      <c r="X135" s="11"/>
      <c r="Y135" s="12" t="e">
        <f>V135/W135/X135/1000</f>
        <v>#DIV/0!</v>
      </c>
    </row>
    <row r="136" spans="1:25" x14ac:dyDescent="0.25">
      <c r="A136" s="381" t="s">
        <v>10</v>
      </c>
      <c r="B136" s="3"/>
      <c r="C136" s="3"/>
      <c r="D136" s="3"/>
      <c r="E136" s="3"/>
      <c r="F136" s="8"/>
      <c r="G136" s="8"/>
      <c r="H136" s="8"/>
      <c r="I136" s="3"/>
      <c r="J136" s="3"/>
      <c r="K136" s="3"/>
      <c r="L136" s="3"/>
      <c r="M136" s="3"/>
      <c r="N136" s="3"/>
      <c r="O136" s="3"/>
      <c r="P136" s="3"/>
      <c r="Q136" s="3"/>
      <c r="R136" s="3"/>
      <c r="S136" s="3"/>
      <c r="T136" s="3"/>
      <c r="U136" s="3"/>
      <c r="V136" s="3"/>
      <c r="W136" s="3"/>
      <c r="X136" s="3"/>
      <c r="Y136" s="5"/>
    </row>
    <row r="137" spans="1:25" x14ac:dyDescent="0.25">
      <c r="A137" s="381"/>
      <c r="B137" s="10"/>
      <c r="C137" s="10"/>
      <c r="D137" s="10"/>
      <c r="E137" s="10">
        <f>B136*D136</f>
        <v>0</v>
      </c>
      <c r="F137" s="10"/>
      <c r="G137" s="10"/>
      <c r="H137" s="10"/>
      <c r="I137" s="10">
        <f>F136*H136</f>
        <v>0</v>
      </c>
      <c r="J137" s="10"/>
      <c r="K137" s="10"/>
      <c r="L137" s="10"/>
      <c r="M137" s="10">
        <f>J136*L136</f>
        <v>0</v>
      </c>
      <c r="N137" s="10"/>
      <c r="O137" s="10"/>
      <c r="P137" s="10"/>
      <c r="Q137" s="10">
        <f>N136*P136</f>
        <v>0</v>
      </c>
      <c r="R137" s="10"/>
      <c r="S137" s="10"/>
      <c r="T137" s="10"/>
      <c r="U137" s="10">
        <f>R136*T136</f>
        <v>0</v>
      </c>
      <c r="V137" s="10">
        <f>SUM(E137:U137)</f>
        <v>0</v>
      </c>
      <c r="W137" s="11">
        <v>0</v>
      </c>
      <c r="X137" s="11">
        <v>0</v>
      </c>
      <c r="Y137" s="12" t="e">
        <f>V137/W137/X137/1000</f>
        <v>#DIV/0!</v>
      </c>
    </row>
    <row r="138" spans="1:25" x14ac:dyDescent="0.25">
      <c r="A138" s="381" t="s">
        <v>38</v>
      </c>
      <c r="B138" s="3">
        <v>6</v>
      </c>
      <c r="C138" s="3" t="s">
        <v>37</v>
      </c>
      <c r="D138" s="3">
        <v>40</v>
      </c>
      <c r="E138" s="3"/>
      <c r="F138" s="8"/>
      <c r="G138" s="8"/>
      <c r="H138" s="8"/>
      <c r="I138" s="3"/>
      <c r="J138" s="3"/>
      <c r="K138" s="3"/>
      <c r="L138" s="3"/>
      <c r="M138" s="3"/>
      <c r="N138" s="3"/>
      <c r="O138" s="3"/>
      <c r="P138" s="3"/>
      <c r="Q138" s="3"/>
      <c r="R138" s="3"/>
      <c r="S138" s="3"/>
      <c r="T138" s="3"/>
      <c r="U138" s="3"/>
      <c r="V138" s="3"/>
      <c r="W138" s="3"/>
      <c r="X138" s="3"/>
      <c r="Y138" s="5"/>
    </row>
    <row r="139" spans="1:25" x14ac:dyDescent="0.25">
      <c r="A139" s="381"/>
      <c r="B139" s="10"/>
      <c r="C139" s="10"/>
      <c r="D139" s="10"/>
      <c r="E139" s="10">
        <f>B138*D138</f>
        <v>240</v>
      </c>
      <c r="F139" s="10"/>
      <c r="G139" s="10"/>
      <c r="H139" s="10"/>
      <c r="I139" s="10">
        <f>F138*H138</f>
        <v>0</v>
      </c>
      <c r="J139" s="10"/>
      <c r="K139" s="10"/>
      <c r="L139" s="10"/>
      <c r="M139" s="10">
        <f>J138*L138</f>
        <v>0</v>
      </c>
      <c r="N139" s="10"/>
      <c r="O139" s="10"/>
      <c r="P139" s="10"/>
      <c r="Q139" s="10">
        <f>N138*P138</f>
        <v>0</v>
      </c>
      <c r="R139" s="10"/>
      <c r="S139" s="10"/>
      <c r="T139" s="10"/>
      <c r="U139" s="10">
        <f>R138*T138</f>
        <v>0</v>
      </c>
      <c r="V139" s="10">
        <f>SUM(E139:U139)</f>
        <v>240</v>
      </c>
      <c r="W139" s="11">
        <v>0.3</v>
      </c>
      <c r="X139" s="11">
        <v>0.2</v>
      </c>
      <c r="Y139" s="12">
        <f>V139/W139/X139/1000</f>
        <v>4</v>
      </c>
    </row>
    <row r="140" spans="1:25" x14ac:dyDescent="0.25">
      <c r="A140" s="381" t="s">
        <v>39</v>
      </c>
      <c r="B140" s="3">
        <v>6</v>
      </c>
      <c r="C140" s="3" t="s">
        <v>37</v>
      </c>
      <c r="D140" s="3">
        <v>40</v>
      </c>
      <c r="E140" s="3"/>
      <c r="F140" s="8"/>
      <c r="G140" s="8"/>
      <c r="H140" s="8"/>
      <c r="I140" s="3"/>
      <c r="J140" s="3"/>
      <c r="K140" s="3"/>
      <c r="L140" s="3"/>
      <c r="M140" s="3"/>
      <c r="N140" s="3"/>
      <c r="O140" s="3"/>
      <c r="P140" s="3"/>
      <c r="Q140" s="3"/>
      <c r="R140" s="3"/>
      <c r="S140" s="3"/>
      <c r="T140" s="3"/>
      <c r="U140" s="3"/>
      <c r="V140" s="3"/>
      <c r="W140" s="3"/>
      <c r="X140" s="3"/>
      <c r="Y140" s="5"/>
    </row>
    <row r="141" spans="1:25" ht="15.75" thickBot="1" x14ac:dyDescent="0.3">
      <c r="A141" s="394"/>
      <c r="B141" s="13"/>
      <c r="C141" s="13"/>
      <c r="D141" s="13"/>
      <c r="E141" s="13">
        <f>B140*D140</f>
        <v>240</v>
      </c>
      <c r="F141" s="13"/>
      <c r="G141" s="13"/>
      <c r="H141" s="13"/>
      <c r="I141" s="13">
        <f>F140*H140</f>
        <v>0</v>
      </c>
      <c r="J141" s="13"/>
      <c r="K141" s="13"/>
      <c r="L141" s="13"/>
      <c r="M141" s="13">
        <f>J140*L140</f>
        <v>0</v>
      </c>
      <c r="N141" s="13"/>
      <c r="O141" s="13"/>
      <c r="P141" s="13"/>
      <c r="Q141" s="13">
        <f>N140*P140</f>
        <v>0</v>
      </c>
      <c r="R141" s="13"/>
      <c r="S141" s="13"/>
      <c r="T141" s="13"/>
      <c r="U141" s="13">
        <f>R140*T140</f>
        <v>0</v>
      </c>
      <c r="V141" s="13">
        <f>SUM(E141:U141)</f>
        <v>240</v>
      </c>
      <c r="W141" s="11">
        <v>0.3</v>
      </c>
      <c r="X141" s="11">
        <v>0.2</v>
      </c>
      <c r="Y141" s="14">
        <f>V141/W141/X141/1000</f>
        <v>4</v>
      </c>
    </row>
    <row r="142" spans="1:25" ht="15.75" thickBot="1" x14ac:dyDescent="0.3">
      <c r="V142" s="15">
        <f>SUM(V135:V141)</f>
        <v>480</v>
      </c>
      <c r="W142" s="16">
        <v>0.3</v>
      </c>
      <c r="X142" s="16">
        <v>0.3</v>
      </c>
      <c r="Y142" s="17">
        <f>V142/W142/X142/1000</f>
        <v>5.3333333333333339</v>
      </c>
    </row>
    <row r="147" spans="1:25" ht="15.75" thickBot="1" x14ac:dyDescent="0.3"/>
    <row r="148" spans="1:25" ht="15.75" thickBot="1" x14ac:dyDescent="0.3">
      <c r="A148" s="2" t="s">
        <v>15</v>
      </c>
      <c r="B148" s="395" t="s">
        <v>44</v>
      </c>
      <c r="C148" s="383"/>
      <c r="F148" s="384"/>
      <c r="G148" s="384"/>
      <c r="J148" s="384"/>
      <c r="K148" s="384"/>
      <c r="N148" s="384"/>
      <c r="O148" s="384"/>
      <c r="R148" s="384"/>
      <c r="S148" s="384"/>
    </row>
    <row r="149" spans="1:25" x14ac:dyDescent="0.25">
      <c r="A149" s="390" t="s">
        <v>16</v>
      </c>
      <c r="B149" s="392" t="s">
        <v>17</v>
      </c>
      <c r="C149" s="392"/>
      <c r="D149" s="392"/>
      <c r="E149" s="392"/>
      <c r="F149" s="392" t="s">
        <v>18</v>
      </c>
      <c r="G149" s="392"/>
      <c r="H149" s="392"/>
      <c r="I149" s="392"/>
      <c r="J149" s="392" t="s">
        <v>19</v>
      </c>
      <c r="K149" s="392"/>
      <c r="L149" s="392"/>
      <c r="M149" s="392"/>
      <c r="N149" s="392" t="s">
        <v>20</v>
      </c>
      <c r="O149" s="392"/>
      <c r="P149" s="392"/>
      <c r="Q149" s="392"/>
      <c r="R149" s="392" t="s">
        <v>21</v>
      </c>
      <c r="S149" s="392"/>
      <c r="T149" s="392"/>
      <c r="U149" s="392"/>
      <c r="V149" s="385" t="s">
        <v>25</v>
      </c>
      <c r="W149" s="387"/>
      <c r="X149" s="387"/>
      <c r="Y149" s="388"/>
    </row>
    <row r="150" spans="1:25" x14ac:dyDescent="0.25">
      <c r="A150" s="381"/>
      <c r="B150" s="3" t="s">
        <v>13</v>
      </c>
      <c r="C150" s="3" t="s">
        <v>27</v>
      </c>
      <c r="D150" s="3" t="s">
        <v>28</v>
      </c>
      <c r="E150" s="3" t="s">
        <v>29</v>
      </c>
      <c r="F150" s="3" t="s">
        <v>13</v>
      </c>
      <c r="G150" s="3" t="s">
        <v>27</v>
      </c>
      <c r="H150" s="3" t="s">
        <v>28</v>
      </c>
      <c r="I150" s="3" t="s">
        <v>29</v>
      </c>
      <c r="J150" s="3" t="s">
        <v>13</v>
      </c>
      <c r="K150" s="3" t="s">
        <v>27</v>
      </c>
      <c r="L150" s="3" t="s">
        <v>28</v>
      </c>
      <c r="M150" s="3" t="s">
        <v>29</v>
      </c>
      <c r="N150" s="3" t="s">
        <v>13</v>
      </c>
      <c r="O150" s="3" t="s">
        <v>27</v>
      </c>
      <c r="P150" s="3" t="s">
        <v>28</v>
      </c>
      <c r="Q150" s="3" t="s">
        <v>29</v>
      </c>
      <c r="R150" s="3" t="s">
        <v>13</v>
      </c>
      <c r="S150" s="3" t="s">
        <v>27</v>
      </c>
      <c r="T150" s="3" t="s">
        <v>28</v>
      </c>
      <c r="U150" s="3" t="s">
        <v>29</v>
      </c>
      <c r="V150" s="386"/>
      <c r="W150" s="4" t="s">
        <v>30</v>
      </c>
      <c r="X150" s="4" t="s">
        <v>31</v>
      </c>
      <c r="Y150" s="5" t="s">
        <v>32</v>
      </c>
    </row>
    <row r="151" spans="1:25" ht="15.75" thickBot="1" x14ac:dyDescent="0.3">
      <c r="A151" s="391"/>
      <c r="B151" s="6"/>
      <c r="C151" s="6"/>
      <c r="D151" s="6" t="s">
        <v>33</v>
      </c>
      <c r="E151" s="6" t="s">
        <v>33</v>
      </c>
      <c r="F151" s="6"/>
      <c r="G151" s="6"/>
      <c r="H151" s="6" t="s">
        <v>33</v>
      </c>
      <c r="I151" s="6" t="s">
        <v>33</v>
      </c>
      <c r="J151" s="6"/>
      <c r="K151" s="6"/>
      <c r="L151" s="6" t="s">
        <v>33</v>
      </c>
      <c r="M151" s="6" t="s">
        <v>33</v>
      </c>
      <c r="N151" s="6"/>
      <c r="O151" s="6"/>
      <c r="P151" s="6" t="s">
        <v>33</v>
      </c>
      <c r="Q151" s="6" t="s">
        <v>33</v>
      </c>
      <c r="R151" s="6"/>
      <c r="S151" s="6"/>
      <c r="T151" s="6" t="s">
        <v>33</v>
      </c>
      <c r="U151" s="6" t="s">
        <v>33</v>
      </c>
      <c r="V151" s="6" t="s">
        <v>33</v>
      </c>
      <c r="W151" s="6" t="s">
        <v>34</v>
      </c>
      <c r="X151" s="6" t="s">
        <v>34</v>
      </c>
      <c r="Y151" s="7" t="s">
        <v>35</v>
      </c>
    </row>
    <row r="152" spans="1:25" ht="15.75" thickTop="1" x14ac:dyDescent="0.25">
      <c r="A152" s="389" t="s">
        <v>36</v>
      </c>
      <c r="B152" s="3"/>
      <c r="C152" s="3"/>
      <c r="D152" s="3"/>
      <c r="E152" s="8"/>
      <c r="F152" s="3"/>
      <c r="G152" s="3"/>
      <c r="H152" s="3"/>
      <c r="I152" s="8"/>
      <c r="J152" s="8"/>
      <c r="K152" s="8"/>
      <c r="L152" s="8"/>
      <c r="M152" s="8"/>
      <c r="N152" s="8"/>
      <c r="O152" s="8"/>
      <c r="P152" s="8"/>
      <c r="Q152" s="8"/>
      <c r="R152" s="8"/>
      <c r="S152" s="8"/>
      <c r="T152" s="8"/>
      <c r="U152" s="8"/>
      <c r="V152" s="8"/>
      <c r="W152" s="8"/>
      <c r="X152" s="8"/>
      <c r="Y152" s="9"/>
    </row>
    <row r="153" spans="1:25" x14ac:dyDescent="0.25">
      <c r="A153" s="381"/>
      <c r="B153" s="10"/>
      <c r="C153" s="10"/>
      <c r="D153" s="10"/>
      <c r="E153" s="10">
        <f>B152*D152</f>
        <v>0</v>
      </c>
      <c r="F153" s="10"/>
      <c r="G153" s="10"/>
      <c r="H153" s="10"/>
      <c r="I153" s="10">
        <f>F152*H152</f>
        <v>0</v>
      </c>
      <c r="J153" s="10"/>
      <c r="K153" s="10"/>
      <c r="L153" s="10"/>
      <c r="M153" s="10">
        <f>J152*L152</f>
        <v>0</v>
      </c>
      <c r="N153" s="10"/>
      <c r="O153" s="10"/>
      <c r="P153" s="10"/>
      <c r="Q153" s="10">
        <f>N152*P152</f>
        <v>0</v>
      </c>
      <c r="R153" s="10"/>
      <c r="S153" s="10"/>
      <c r="T153" s="10"/>
      <c r="U153" s="10">
        <f>R152*T152</f>
        <v>0</v>
      </c>
      <c r="V153" s="10">
        <f>SUM(E153:U153)</f>
        <v>0</v>
      </c>
      <c r="W153" s="11"/>
      <c r="X153" s="11"/>
      <c r="Y153" s="12" t="e">
        <f>V153/W153/X153/1000</f>
        <v>#DIV/0!</v>
      </c>
    </row>
    <row r="154" spans="1:25" x14ac:dyDescent="0.25">
      <c r="A154" s="381" t="s">
        <v>10</v>
      </c>
      <c r="B154" s="3"/>
      <c r="C154" s="3"/>
      <c r="D154" s="3"/>
      <c r="E154" s="3"/>
      <c r="F154" s="8"/>
      <c r="G154" s="8"/>
      <c r="H154" s="8"/>
      <c r="I154" s="3"/>
      <c r="J154" s="3"/>
      <c r="K154" s="3"/>
      <c r="L154" s="3"/>
      <c r="M154" s="3"/>
      <c r="N154" s="3"/>
      <c r="O154" s="3"/>
      <c r="P154" s="3"/>
      <c r="Q154" s="3"/>
      <c r="R154" s="3"/>
      <c r="S154" s="3"/>
      <c r="T154" s="3"/>
      <c r="U154" s="3"/>
      <c r="V154" s="3"/>
      <c r="W154" s="3"/>
      <c r="X154" s="3"/>
      <c r="Y154" s="5"/>
    </row>
    <row r="155" spans="1:25" x14ac:dyDescent="0.25">
      <c r="A155" s="381"/>
      <c r="B155" s="10"/>
      <c r="C155" s="10"/>
      <c r="D155" s="10"/>
      <c r="E155" s="10">
        <f>B154*D154</f>
        <v>0</v>
      </c>
      <c r="F155" s="10"/>
      <c r="G155" s="10"/>
      <c r="H155" s="10"/>
      <c r="I155" s="10">
        <f>F154*H154</f>
        <v>0</v>
      </c>
      <c r="J155" s="10"/>
      <c r="K155" s="10"/>
      <c r="L155" s="10"/>
      <c r="M155" s="10">
        <f>J154*L154</f>
        <v>0</v>
      </c>
      <c r="N155" s="10"/>
      <c r="O155" s="10"/>
      <c r="P155" s="10"/>
      <c r="Q155" s="10">
        <f>N154*P154</f>
        <v>0</v>
      </c>
      <c r="R155" s="10"/>
      <c r="S155" s="10"/>
      <c r="T155" s="10"/>
      <c r="U155" s="10">
        <f>R154*T154</f>
        <v>0</v>
      </c>
      <c r="V155" s="10">
        <f>SUM(E155:U155)</f>
        <v>0</v>
      </c>
      <c r="W155" s="11">
        <v>0</v>
      </c>
      <c r="X155" s="11">
        <v>0</v>
      </c>
      <c r="Y155" s="12" t="e">
        <f>V155/W155/X155/1000</f>
        <v>#DIV/0!</v>
      </c>
    </row>
    <row r="156" spans="1:25" x14ac:dyDescent="0.25">
      <c r="A156" s="381" t="s">
        <v>38</v>
      </c>
      <c r="B156" s="3">
        <v>2</v>
      </c>
      <c r="C156" s="3" t="s">
        <v>37</v>
      </c>
      <c r="D156" s="3">
        <v>40</v>
      </c>
      <c r="E156" s="3"/>
      <c r="F156" s="8"/>
      <c r="G156" s="8"/>
      <c r="H156" s="8"/>
      <c r="I156" s="3"/>
      <c r="J156" s="3"/>
      <c r="K156" s="3"/>
      <c r="L156" s="3"/>
      <c r="M156" s="3"/>
      <c r="N156" s="3"/>
      <c r="O156" s="3"/>
      <c r="P156" s="3"/>
      <c r="Q156" s="3"/>
      <c r="R156" s="3"/>
      <c r="S156" s="3"/>
      <c r="T156" s="3"/>
      <c r="U156" s="3"/>
      <c r="V156" s="3"/>
      <c r="W156" s="3"/>
      <c r="X156" s="3"/>
      <c r="Y156" s="5"/>
    </row>
    <row r="157" spans="1:25" x14ac:dyDescent="0.25">
      <c r="A157" s="381"/>
      <c r="B157" s="10"/>
      <c r="C157" s="10"/>
      <c r="D157" s="10"/>
      <c r="E157" s="10">
        <f>B156*D156</f>
        <v>80</v>
      </c>
      <c r="F157" s="10"/>
      <c r="G157" s="10"/>
      <c r="H157" s="10"/>
      <c r="I157" s="10">
        <f>F156*H156</f>
        <v>0</v>
      </c>
      <c r="J157" s="10"/>
      <c r="K157" s="10"/>
      <c r="L157" s="10"/>
      <c r="M157" s="10">
        <f>J156*L156</f>
        <v>0</v>
      </c>
      <c r="N157" s="10"/>
      <c r="O157" s="10"/>
      <c r="P157" s="10"/>
      <c r="Q157" s="10">
        <f>N156*P156</f>
        <v>0</v>
      </c>
      <c r="R157" s="10"/>
      <c r="S157" s="10"/>
      <c r="T157" s="10"/>
      <c r="U157" s="10">
        <f>R156*T156</f>
        <v>0</v>
      </c>
      <c r="V157" s="10">
        <f>SUM(E157:U157)</f>
        <v>80</v>
      </c>
      <c r="W157" s="11">
        <v>0.2</v>
      </c>
      <c r="X157" s="11">
        <v>0.15</v>
      </c>
      <c r="Y157" s="12">
        <f>V157/W157/X157/1000</f>
        <v>2.666666666666667</v>
      </c>
    </row>
    <row r="158" spans="1:25" x14ac:dyDescent="0.25">
      <c r="A158" s="381" t="s">
        <v>39</v>
      </c>
      <c r="B158" s="3">
        <v>2</v>
      </c>
      <c r="C158" s="3" t="s">
        <v>37</v>
      </c>
      <c r="D158" s="3">
        <v>40</v>
      </c>
      <c r="E158" s="3"/>
      <c r="F158" s="8"/>
      <c r="G158" s="8"/>
      <c r="H158" s="8"/>
      <c r="I158" s="3"/>
      <c r="J158" s="3"/>
      <c r="K158" s="3"/>
      <c r="L158" s="3"/>
      <c r="M158" s="3"/>
      <c r="N158" s="3"/>
      <c r="O158" s="3"/>
      <c r="P158" s="3"/>
      <c r="Q158" s="3"/>
      <c r="R158" s="3"/>
      <c r="S158" s="3"/>
      <c r="T158" s="3"/>
      <c r="U158" s="3"/>
      <c r="V158" s="3"/>
      <c r="W158" s="3"/>
      <c r="X158" s="3"/>
      <c r="Y158" s="5"/>
    </row>
    <row r="159" spans="1:25" ht="15.75" thickBot="1" x14ac:dyDescent="0.3">
      <c r="A159" s="394"/>
      <c r="B159" s="13"/>
      <c r="C159" s="13"/>
      <c r="D159" s="13"/>
      <c r="E159" s="13">
        <f>B158*D158</f>
        <v>80</v>
      </c>
      <c r="F159" s="13"/>
      <c r="G159" s="13"/>
      <c r="H159" s="13"/>
      <c r="I159" s="13">
        <f>F158*H158</f>
        <v>0</v>
      </c>
      <c r="J159" s="13"/>
      <c r="K159" s="13"/>
      <c r="L159" s="13"/>
      <c r="M159" s="13">
        <f>J158*L158</f>
        <v>0</v>
      </c>
      <c r="N159" s="13"/>
      <c r="O159" s="13"/>
      <c r="P159" s="13"/>
      <c r="Q159" s="13">
        <f>N158*P158</f>
        <v>0</v>
      </c>
      <c r="R159" s="13"/>
      <c r="S159" s="13"/>
      <c r="T159" s="13"/>
      <c r="U159" s="13">
        <f>R158*T158</f>
        <v>0</v>
      </c>
      <c r="V159" s="13">
        <f>SUM(E159:U159)</f>
        <v>80</v>
      </c>
      <c r="W159" s="11">
        <v>0.2</v>
      </c>
      <c r="X159" s="11">
        <v>0.15</v>
      </c>
      <c r="Y159" s="14">
        <f>V159/W159/X159/1000</f>
        <v>2.666666666666667</v>
      </c>
    </row>
    <row r="160" spans="1:25" ht="15.75" thickBot="1" x14ac:dyDescent="0.3">
      <c r="V160" s="15">
        <f>SUM(V153:V159)</f>
        <v>160</v>
      </c>
      <c r="W160" s="16">
        <v>0.2</v>
      </c>
      <c r="X160" s="16">
        <v>0.2</v>
      </c>
      <c r="Y160" s="17">
        <f>V160/W160/X160/1000</f>
        <v>4</v>
      </c>
    </row>
    <row r="165" spans="1:25" ht="15.75" thickBot="1" x14ac:dyDescent="0.3"/>
    <row r="166" spans="1:25" ht="15.75" thickBot="1" x14ac:dyDescent="0.3">
      <c r="A166" s="2" t="s">
        <v>15</v>
      </c>
      <c r="B166" s="395" t="s">
        <v>45</v>
      </c>
      <c r="C166" s="383"/>
      <c r="F166" s="384"/>
      <c r="G166" s="384"/>
      <c r="J166" s="384"/>
      <c r="K166" s="384"/>
      <c r="N166" s="384"/>
      <c r="O166" s="384"/>
      <c r="R166" s="384"/>
      <c r="S166" s="384"/>
    </row>
    <row r="167" spans="1:25" x14ac:dyDescent="0.25">
      <c r="A167" s="390" t="s">
        <v>16</v>
      </c>
      <c r="B167" s="392" t="s">
        <v>17</v>
      </c>
      <c r="C167" s="392"/>
      <c r="D167" s="392"/>
      <c r="E167" s="392"/>
      <c r="F167" s="392" t="s">
        <v>18</v>
      </c>
      <c r="G167" s="392"/>
      <c r="H167" s="392"/>
      <c r="I167" s="392"/>
      <c r="J167" s="392" t="s">
        <v>19</v>
      </c>
      <c r="K167" s="392"/>
      <c r="L167" s="392"/>
      <c r="M167" s="392"/>
      <c r="N167" s="392" t="s">
        <v>20</v>
      </c>
      <c r="O167" s="392"/>
      <c r="P167" s="392"/>
      <c r="Q167" s="392"/>
      <c r="R167" s="392" t="s">
        <v>21</v>
      </c>
      <c r="S167" s="392"/>
      <c r="T167" s="392"/>
      <c r="U167" s="392"/>
      <c r="V167" s="385" t="s">
        <v>25</v>
      </c>
      <c r="W167" s="387"/>
      <c r="X167" s="387"/>
      <c r="Y167" s="388"/>
    </row>
    <row r="168" spans="1:25" x14ac:dyDescent="0.25">
      <c r="A168" s="381"/>
      <c r="B168" s="3" t="s">
        <v>13</v>
      </c>
      <c r="C168" s="3" t="s">
        <v>27</v>
      </c>
      <c r="D168" s="3" t="s">
        <v>28</v>
      </c>
      <c r="E168" s="3" t="s">
        <v>29</v>
      </c>
      <c r="F168" s="3" t="s">
        <v>13</v>
      </c>
      <c r="G168" s="3" t="s">
        <v>27</v>
      </c>
      <c r="H168" s="3" t="s">
        <v>28</v>
      </c>
      <c r="I168" s="3" t="s">
        <v>29</v>
      </c>
      <c r="J168" s="3" t="s">
        <v>13</v>
      </c>
      <c r="K168" s="3" t="s">
        <v>27</v>
      </c>
      <c r="L168" s="3" t="s">
        <v>28</v>
      </c>
      <c r="M168" s="3" t="s">
        <v>29</v>
      </c>
      <c r="N168" s="3" t="s">
        <v>13</v>
      </c>
      <c r="O168" s="3" t="s">
        <v>27</v>
      </c>
      <c r="P168" s="3" t="s">
        <v>28</v>
      </c>
      <c r="Q168" s="3" t="s">
        <v>29</v>
      </c>
      <c r="R168" s="3" t="s">
        <v>13</v>
      </c>
      <c r="S168" s="3" t="s">
        <v>27</v>
      </c>
      <c r="T168" s="3" t="s">
        <v>28</v>
      </c>
      <c r="U168" s="3" t="s">
        <v>29</v>
      </c>
      <c r="V168" s="386"/>
      <c r="W168" s="4" t="s">
        <v>30</v>
      </c>
      <c r="X168" s="4" t="s">
        <v>31</v>
      </c>
      <c r="Y168" s="5" t="s">
        <v>32</v>
      </c>
    </row>
    <row r="169" spans="1:25" ht="15.75" thickBot="1" x14ac:dyDescent="0.3">
      <c r="A169" s="391"/>
      <c r="B169" s="6"/>
      <c r="C169" s="6"/>
      <c r="D169" s="6" t="s">
        <v>33</v>
      </c>
      <c r="E169" s="6" t="s">
        <v>33</v>
      </c>
      <c r="F169" s="6"/>
      <c r="G169" s="6"/>
      <c r="H169" s="6" t="s">
        <v>33</v>
      </c>
      <c r="I169" s="6" t="s">
        <v>33</v>
      </c>
      <c r="J169" s="6"/>
      <c r="K169" s="6"/>
      <c r="L169" s="6" t="s">
        <v>33</v>
      </c>
      <c r="M169" s="6" t="s">
        <v>33</v>
      </c>
      <c r="N169" s="6"/>
      <c r="O169" s="6"/>
      <c r="P169" s="6" t="s">
        <v>33</v>
      </c>
      <c r="Q169" s="6" t="s">
        <v>33</v>
      </c>
      <c r="R169" s="6"/>
      <c r="S169" s="6"/>
      <c r="T169" s="6" t="s">
        <v>33</v>
      </c>
      <c r="U169" s="6" t="s">
        <v>33</v>
      </c>
      <c r="V169" s="6" t="s">
        <v>33</v>
      </c>
      <c r="W169" s="6" t="s">
        <v>34</v>
      </c>
      <c r="X169" s="6" t="s">
        <v>34</v>
      </c>
      <c r="Y169" s="7" t="s">
        <v>35</v>
      </c>
    </row>
    <row r="170" spans="1:25" ht="15.75" thickTop="1" x14ac:dyDescent="0.25">
      <c r="A170" s="389" t="s">
        <v>36</v>
      </c>
      <c r="B170" s="3"/>
      <c r="C170" s="3"/>
      <c r="D170" s="3"/>
      <c r="E170" s="8"/>
      <c r="F170" s="3"/>
      <c r="G170" s="3"/>
      <c r="H170" s="3"/>
      <c r="I170" s="8"/>
      <c r="J170" s="8"/>
      <c r="K170" s="8"/>
      <c r="L170" s="8"/>
      <c r="M170" s="8"/>
      <c r="N170" s="8"/>
      <c r="O170" s="8"/>
      <c r="P170" s="8"/>
      <c r="Q170" s="8"/>
      <c r="R170" s="8"/>
      <c r="S170" s="8"/>
      <c r="T170" s="8"/>
      <c r="U170" s="8"/>
      <c r="V170" s="8"/>
      <c r="W170" s="8"/>
      <c r="X170" s="8"/>
      <c r="Y170" s="9"/>
    </row>
    <row r="171" spans="1:25" x14ac:dyDescent="0.25">
      <c r="A171" s="381"/>
      <c r="B171" s="10"/>
      <c r="C171" s="10"/>
      <c r="D171" s="10"/>
      <c r="E171" s="10">
        <f>B170*D170</f>
        <v>0</v>
      </c>
      <c r="F171" s="10"/>
      <c r="G171" s="10"/>
      <c r="H171" s="10"/>
      <c r="I171" s="10">
        <f>F170*H170</f>
        <v>0</v>
      </c>
      <c r="J171" s="10"/>
      <c r="K171" s="10"/>
      <c r="L171" s="10"/>
      <c r="M171" s="10">
        <f>J170*L170</f>
        <v>0</v>
      </c>
      <c r="N171" s="10"/>
      <c r="O171" s="10"/>
      <c r="P171" s="10"/>
      <c r="Q171" s="10">
        <f>N170*P170</f>
        <v>0</v>
      </c>
      <c r="R171" s="10"/>
      <c r="S171" s="10"/>
      <c r="T171" s="10"/>
      <c r="U171" s="10">
        <f>R170*T170</f>
        <v>0</v>
      </c>
      <c r="V171" s="10">
        <f>SUM(E171:U171)</f>
        <v>0</v>
      </c>
      <c r="W171" s="11"/>
      <c r="X171" s="11"/>
      <c r="Y171" s="12" t="e">
        <f>V171/W171/X171/1000</f>
        <v>#DIV/0!</v>
      </c>
    </row>
    <row r="172" spans="1:25" x14ac:dyDescent="0.25">
      <c r="A172" s="381" t="s">
        <v>10</v>
      </c>
      <c r="B172" s="3"/>
      <c r="C172" s="3"/>
      <c r="D172" s="3"/>
      <c r="E172" s="3"/>
      <c r="F172" s="8"/>
      <c r="G172" s="8"/>
      <c r="H172" s="8"/>
      <c r="I172" s="3"/>
      <c r="J172" s="3"/>
      <c r="K172" s="3"/>
      <c r="L172" s="3"/>
      <c r="M172" s="3"/>
      <c r="N172" s="3"/>
      <c r="O172" s="3"/>
      <c r="P172" s="3"/>
      <c r="Q172" s="3"/>
      <c r="R172" s="3"/>
      <c r="S172" s="3"/>
      <c r="T172" s="3"/>
      <c r="U172" s="3"/>
      <c r="V172" s="3"/>
      <c r="W172" s="3"/>
      <c r="X172" s="3"/>
      <c r="Y172" s="5"/>
    </row>
    <row r="173" spans="1:25" x14ac:dyDescent="0.25">
      <c r="A173" s="381"/>
      <c r="B173" s="10"/>
      <c r="C173" s="10"/>
      <c r="D173" s="10"/>
      <c r="E173" s="10">
        <f>B172*D172</f>
        <v>0</v>
      </c>
      <c r="F173" s="10"/>
      <c r="G173" s="10"/>
      <c r="H173" s="10"/>
      <c r="I173" s="10">
        <f>F172*H172</f>
        <v>0</v>
      </c>
      <c r="J173" s="10"/>
      <c r="K173" s="10"/>
      <c r="L173" s="10"/>
      <c r="M173" s="10">
        <f>J172*L172</f>
        <v>0</v>
      </c>
      <c r="N173" s="10"/>
      <c r="O173" s="10"/>
      <c r="P173" s="10"/>
      <c r="Q173" s="10">
        <f>N172*P172</f>
        <v>0</v>
      </c>
      <c r="R173" s="10"/>
      <c r="S173" s="10"/>
      <c r="T173" s="10"/>
      <c r="U173" s="10">
        <f>R172*T172</f>
        <v>0</v>
      </c>
      <c r="V173" s="10">
        <f>SUM(E173:U173)</f>
        <v>0</v>
      </c>
      <c r="W173" s="11">
        <v>0</v>
      </c>
      <c r="X173" s="11">
        <v>0</v>
      </c>
      <c r="Y173" s="12" t="e">
        <f>V173/W173/X173/1000</f>
        <v>#DIV/0!</v>
      </c>
    </row>
    <row r="174" spans="1:25" x14ac:dyDescent="0.25">
      <c r="A174" s="381" t="s">
        <v>38</v>
      </c>
      <c r="B174" s="3">
        <v>4</v>
      </c>
      <c r="C174" s="3" t="s">
        <v>37</v>
      </c>
      <c r="D174" s="3">
        <v>40</v>
      </c>
      <c r="E174" s="3"/>
      <c r="F174" s="8"/>
      <c r="G174" s="8"/>
      <c r="H174" s="8"/>
      <c r="I174" s="3"/>
      <c r="J174" s="3"/>
      <c r="K174" s="3"/>
      <c r="L174" s="3"/>
      <c r="M174" s="3"/>
      <c r="N174" s="3"/>
      <c r="O174" s="3"/>
      <c r="P174" s="3"/>
      <c r="Q174" s="3"/>
      <c r="R174" s="3"/>
      <c r="S174" s="3"/>
      <c r="T174" s="3"/>
      <c r="U174" s="3"/>
      <c r="V174" s="3"/>
      <c r="W174" s="3"/>
      <c r="X174" s="3"/>
      <c r="Y174" s="5"/>
    </row>
    <row r="175" spans="1:25" x14ac:dyDescent="0.25">
      <c r="A175" s="381"/>
      <c r="B175" s="10"/>
      <c r="C175" s="10"/>
      <c r="D175" s="10"/>
      <c r="E175" s="10">
        <f>B174*D174</f>
        <v>160</v>
      </c>
      <c r="F175" s="10"/>
      <c r="G175" s="10"/>
      <c r="H175" s="10"/>
      <c r="I175" s="10">
        <f>F174*H174</f>
        <v>0</v>
      </c>
      <c r="J175" s="10"/>
      <c r="K175" s="10"/>
      <c r="L175" s="10"/>
      <c r="M175" s="10">
        <f>J174*L174</f>
        <v>0</v>
      </c>
      <c r="N175" s="10"/>
      <c r="O175" s="10"/>
      <c r="P175" s="10"/>
      <c r="Q175" s="10">
        <f>N174*P174</f>
        <v>0</v>
      </c>
      <c r="R175" s="10"/>
      <c r="S175" s="10"/>
      <c r="T175" s="10"/>
      <c r="U175" s="10">
        <f>R174*T174</f>
        <v>0</v>
      </c>
      <c r="V175" s="10">
        <f>SUM(E175:U175)</f>
        <v>160</v>
      </c>
      <c r="W175" s="11">
        <v>0.2</v>
      </c>
      <c r="X175" s="11">
        <v>0.2</v>
      </c>
      <c r="Y175" s="12">
        <f>V175/W175/X175/1000</f>
        <v>4</v>
      </c>
    </row>
    <row r="176" spans="1:25" x14ac:dyDescent="0.25">
      <c r="A176" s="381" t="s">
        <v>39</v>
      </c>
      <c r="B176" s="3">
        <v>4</v>
      </c>
      <c r="C176" s="3" t="s">
        <v>37</v>
      </c>
      <c r="D176" s="3">
        <v>40</v>
      </c>
      <c r="E176" s="3"/>
      <c r="F176" s="8"/>
      <c r="G176" s="8"/>
      <c r="H176" s="8"/>
      <c r="I176" s="3"/>
      <c r="J176" s="3"/>
      <c r="K176" s="3"/>
      <c r="L176" s="3"/>
      <c r="M176" s="3"/>
      <c r="N176" s="3"/>
      <c r="O176" s="3"/>
      <c r="P176" s="3"/>
      <c r="Q176" s="3"/>
      <c r="R176" s="3"/>
      <c r="S176" s="3"/>
      <c r="T176" s="3"/>
      <c r="U176" s="3"/>
      <c r="V176" s="3"/>
      <c r="W176" s="3"/>
      <c r="X176" s="3"/>
      <c r="Y176" s="5"/>
    </row>
    <row r="177" spans="1:25" ht="15.75" thickBot="1" x14ac:dyDescent="0.3">
      <c r="A177" s="394"/>
      <c r="B177" s="13"/>
      <c r="C177" s="13"/>
      <c r="D177" s="13"/>
      <c r="E177" s="13">
        <f>B176*D176</f>
        <v>160</v>
      </c>
      <c r="F177" s="13"/>
      <c r="G177" s="13"/>
      <c r="H177" s="13"/>
      <c r="I177" s="13">
        <f>F176*H176</f>
        <v>0</v>
      </c>
      <c r="J177" s="13"/>
      <c r="K177" s="13"/>
      <c r="L177" s="13"/>
      <c r="M177" s="13">
        <f>J176*L176</f>
        <v>0</v>
      </c>
      <c r="N177" s="13"/>
      <c r="O177" s="13"/>
      <c r="P177" s="13"/>
      <c r="Q177" s="13">
        <f>N176*P176</f>
        <v>0</v>
      </c>
      <c r="R177" s="13"/>
      <c r="S177" s="13"/>
      <c r="T177" s="13"/>
      <c r="U177" s="13">
        <f>R176*T176</f>
        <v>0</v>
      </c>
      <c r="V177" s="13">
        <f>SUM(E177:U177)</f>
        <v>160</v>
      </c>
      <c r="W177" s="11">
        <v>0.2</v>
      </c>
      <c r="X177" s="11">
        <v>0.2</v>
      </c>
      <c r="Y177" s="14">
        <f>V177/W177/X177/1000</f>
        <v>4</v>
      </c>
    </row>
    <row r="178" spans="1:25" ht="15.75" thickBot="1" x14ac:dyDescent="0.3">
      <c r="V178" s="15">
        <f>SUM(V171:V177)</f>
        <v>320</v>
      </c>
      <c r="W178" s="16">
        <v>0.3</v>
      </c>
      <c r="X178" s="16">
        <v>0.2</v>
      </c>
      <c r="Y178" s="17">
        <f>V178/W178/X178/1000</f>
        <v>5.333333333333333</v>
      </c>
    </row>
    <row r="183" spans="1:25" ht="15.75" thickBot="1" x14ac:dyDescent="0.3"/>
    <row r="184" spans="1:25" ht="15.75" thickBot="1" x14ac:dyDescent="0.3">
      <c r="A184" s="2" t="s">
        <v>15</v>
      </c>
      <c r="B184" s="395" t="s">
        <v>46</v>
      </c>
      <c r="C184" s="383"/>
      <c r="F184" s="384"/>
      <c r="G184" s="384"/>
      <c r="J184" s="384"/>
      <c r="K184" s="384"/>
      <c r="N184" s="384"/>
      <c r="O184" s="384"/>
      <c r="R184" s="384"/>
      <c r="S184" s="384"/>
    </row>
    <row r="185" spans="1:25" x14ac:dyDescent="0.25">
      <c r="A185" s="390" t="s">
        <v>16</v>
      </c>
      <c r="B185" s="392" t="s">
        <v>17</v>
      </c>
      <c r="C185" s="392"/>
      <c r="D185" s="392"/>
      <c r="E185" s="392"/>
      <c r="F185" s="392" t="s">
        <v>18</v>
      </c>
      <c r="G185" s="392"/>
      <c r="H185" s="392"/>
      <c r="I185" s="392"/>
      <c r="J185" s="392" t="s">
        <v>19</v>
      </c>
      <c r="K185" s="392"/>
      <c r="L185" s="392"/>
      <c r="M185" s="392"/>
      <c r="N185" s="392" t="s">
        <v>20</v>
      </c>
      <c r="O185" s="392"/>
      <c r="P185" s="392"/>
      <c r="Q185" s="392"/>
      <c r="R185" s="392" t="s">
        <v>21</v>
      </c>
      <c r="S185" s="392"/>
      <c r="T185" s="392"/>
      <c r="U185" s="392"/>
      <c r="V185" s="385" t="s">
        <v>25</v>
      </c>
      <c r="W185" s="387"/>
      <c r="X185" s="387"/>
      <c r="Y185" s="388"/>
    </row>
    <row r="186" spans="1:25" x14ac:dyDescent="0.25">
      <c r="A186" s="381"/>
      <c r="B186" s="3" t="s">
        <v>13</v>
      </c>
      <c r="C186" s="3" t="s">
        <v>27</v>
      </c>
      <c r="D186" s="3" t="s">
        <v>28</v>
      </c>
      <c r="E186" s="3" t="s">
        <v>29</v>
      </c>
      <c r="F186" s="3" t="s">
        <v>13</v>
      </c>
      <c r="G186" s="3" t="s">
        <v>27</v>
      </c>
      <c r="H186" s="3" t="s">
        <v>28</v>
      </c>
      <c r="I186" s="3" t="s">
        <v>29</v>
      </c>
      <c r="J186" s="3" t="s">
        <v>13</v>
      </c>
      <c r="K186" s="3" t="s">
        <v>27</v>
      </c>
      <c r="L186" s="3" t="s">
        <v>28</v>
      </c>
      <c r="M186" s="3" t="s">
        <v>29</v>
      </c>
      <c r="N186" s="3" t="s">
        <v>13</v>
      </c>
      <c r="O186" s="3" t="s">
        <v>27</v>
      </c>
      <c r="P186" s="3" t="s">
        <v>28</v>
      </c>
      <c r="Q186" s="3" t="s">
        <v>29</v>
      </c>
      <c r="R186" s="3" t="s">
        <v>13</v>
      </c>
      <c r="S186" s="3" t="s">
        <v>27</v>
      </c>
      <c r="T186" s="3" t="s">
        <v>28</v>
      </c>
      <c r="U186" s="3" t="s">
        <v>29</v>
      </c>
      <c r="V186" s="386"/>
      <c r="W186" s="4" t="s">
        <v>30</v>
      </c>
      <c r="X186" s="4" t="s">
        <v>31</v>
      </c>
      <c r="Y186" s="5" t="s">
        <v>32</v>
      </c>
    </row>
    <row r="187" spans="1:25" ht="15.75" thickBot="1" x14ac:dyDescent="0.3">
      <c r="A187" s="391"/>
      <c r="B187" s="6"/>
      <c r="C187" s="6"/>
      <c r="D187" s="6" t="s">
        <v>33</v>
      </c>
      <c r="E187" s="6" t="s">
        <v>33</v>
      </c>
      <c r="F187" s="6"/>
      <c r="G187" s="6"/>
      <c r="H187" s="6" t="s">
        <v>33</v>
      </c>
      <c r="I187" s="6" t="s">
        <v>33</v>
      </c>
      <c r="J187" s="6"/>
      <c r="K187" s="6"/>
      <c r="L187" s="6" t="s">
        <v>33</v>
      </c>
      <c r="M187" s="6" t="s">
        <v>33</v>
      </c>
      <c r="N187" s="6"/>
      <c r="O187" s="6"/>
      <c r="P187" s="6" t="s">
        <v>33</v>
      </c>
      <c r="Q187" s="6" t="s">
        <v>33</v>
      </c>
      <c r="R187" s="6"/>
      <c r="S187" s="6"/>
      <c r="T187" s="6" t="s">
        <v>33</v>
      </c>
      <c r="U187" s="6" t="s">
        <v>33</v>
      </c>
      <c r="V187" s="6" t="s">
        <v>33</v>
      </c>
      <c r="W187" s="6" t="s">
        <v>34</v>
      </c>
      <c r="X187" s="6" t="s">
        <v>34</v>
      </c>
      <c r="Y187" s="7" t="s">
        <v>35</v>
      </c>
    </row>
    <row r="188" spans="1:25" ht="15.75" thickTop="1" x14ac:dyDescent="0.25">
      <c r="A188" s="389" t="s">
        <v>36</v>
      </c>
      <c r="B188" s="3">
        <v>1</v>
      </c>
      <c r="C188" s="3" t="s">
        <v>47</v>
      </c>
      <c r="D188" s="3">
        <v>90</v>
      </c>
      <c r="E188" s="8"/>
      <c r="F188" s="3"/>
      <c r="G188" s="3"/>
      <c r="H188" s="3"/>
      <c r="I188" s="8"/>
      <c r="J188" s="8"/>
      <c r="K188" s="8"/>
      <c r="L188" s="8"/>
      <c r="M188" s="8"/>
      <c r="N188" s="8"/>
      <c r="O188" s="8"/>
      <c r="P188" s="8"/>
      <c r="Q188" s="8"/>
      <c r="R188" s="8"/>
      <c r="S188" s="8"/>
      <c r="T188" s="8"/>
      <c r="U188" s="8"/>
      <c r="V188" s="8"/>
      <c r="W188" s="8"/>
      <c r="X188" s="8"/>
      <c r="Y188" s="9"/>
    </row>
    <row r="189" spans="1:25" x14ac:dyDescent="0.25">
      <c r="A189" s="381"/>
      <c r="B189" s="10"/>
      <c r="C189" s="10"/>
      <c r="D189" s="10"/>
      <c r="E189" s="10">
        <f>B188*D188</f>
        <v>90</v>
      </c>
      <c r="F189" s="10"/>
      <c r="G189" s="10"/>
      <c r="H189" s="10"/>
      <c r="I189" s="10">
        <f>F188*H188</f>
        <v>0</v>
      </c>
      <c r="J189" s="10"/>
      <c r="K189" s="10"/>
      <c r="L189" s="10"/>
      <c r="M189" s="10">
        <f>J188*L188</f>
        <v>0</v>
      </c>
      <c r="N189" s="10"/>
      <c r="O189" s="10"/>
      <c r="P189" s="10"/>
      <c r="Q189" s="10">
        <f>N188*P188</f>
        <v>0</v>
      </c>
      <c r="R189" s="10"/>
      <c r="S189" s="10"/>
      <c r="T189" s="10"/>
      <c r="U189" s="10">
        <f>R188*T188</f>
        <v>0</v>
      </c>
      <c r="V189" s="10">
        <f>SUM(E189:U189)</f>
        <v>90</v>
      </c>
      <c r="W189" s="11"/>
      <c r="X189" s="11"/>
      <c r="Y189" s="12" t="e">
        <f>V189/W189/X189/1000</f>
        <v>#DIV/0!</v>
      </c>
    </row>
    <row r="190" spans="1:25" x14ac:dyDescent="0.25">
      <c r="A190" s="381" t="s">
        <v>10</v>
      </c>
      <c r="B190" s="3"/>
      <c r="C190" s="3"/>
      <c r="D190" s="3"/>
      <c r="E190" s="3"/>
      <c r="F190" s="8"/>
      <c r="G190" s="8"/>
      <c r="H190" s="8"/>
      <c r="I190" s="3"/>
      <c r="J190" s="3"/>
      <c r="K190" s="3"/>
      <c r="L190" s="3"/>
      <c r="M190" s="3"/>
      <c r="N190" s="3"/>
      <c r="O190" s="3"/>
      <c r="P190" s="3"/>
      <c r="Q190" s="3"/>
      <c r="R190" s="3"/>
      <c r="S190" s="3"/>
      <c r="T190" s="3"/>
      <c r="U190" s="3"/>
      <c r="V190" s="3"/>
      <c r="W190" s="3"/>
      <c r="X190" s="3"/>
      <c r="Y190" s="5"/>
    </row>
    <row r="191" spans="1:25" x14ac:dyDescent="0.25">
      <c r="A191" s="381"/>
      <c r="B191" s="10"/>
      <c r="C191" s="10"/>
      <c r="D191" s="10"/>
      <c r="E191" s="10">
        <f>B190*D190</f>
        <v>0</v>
      </c>
      <c r="F191" s="10"/>
      <c r="G191" s="10"/>
      <c r="H191" s="10"/>
      <c r="I191" s="10">
        <f>F190*H190</f>
        <v>0</v>
      </c>
      <c r="J191" s="10"/>
      <c r="K191" s="10"/>
      <c r="L191" s="10"/>
      <c r="M191" s="10">
        <f>J190*L190</f>
        <v>0</v>
      </c>
      <c r="N191" s="10"/>
      <c r="O191" s="10"/>
      <c r="P191" s="10"/>
      <c r="Q191" s="10">
        <f>N190*P190</f>
        <v>0</v>
      </c>
      <c r="R191" s="10"/>
      <c r="S191" s="10"/>
      <c r="T191" s="10"/>
      <c r="U191" s="10">
        <f>R190*T190</f>
        <v>0</v>
      </c>
      <c r="V191" s="10">
        <f>SUM(E191:U191)</f>
        <v>0</v>
      </c>
      <c r="W191" s="11">
        <v>0</v>
      </c>
      <c r="X191" s="11">
        <v>0</v>
      </c>
      <c r="Y191" s="12" t="e">
        <f>V191/W191/X191/1000</f>
        <v>#DIV/0!</v>
      </c>
    </row>
    <row r="192" spans="1:25" x14ac:dyDescent="0.25">
      <c r="A192" s="381" t="s">
        <v>38</v>
      </c>
      <c r="B192" s="3"/>
      <c r="C192" s="3"/>
      <c r="D192" s="3"/>
      <c r="E192" s="3"/>
      <c r="F192" s="8"/>
      <c r="G192" s="8"/>
      <c r="H192" s="8"/>
      <c r="I192" s="3"/>
      <c r="J192" s="3"/>
      <c r="K192" s="3"/>
      <c r="L192" s="3"/>
      <c r="M192" s="3"/>
      <c r="N192" s="3"/>
      <c r="O192" s="3"/>
      <c r="P192" s="3"/>
      <c r="Q192" s="3"/>
      <c r="R192" s="3"/>
      <c r="S192" s="3"/>
      <c r="T192" s="3"/>
      <c r="U192" s="3"/>
      <c r="V192" s="3"/>
      <c r="W192" s="3"/>
      <c r="X192" s="3"/>
      <c r="Y192" s="5"/>
    </row>
    <row r="193" spans="1:25" x14ac:dyDescent="0.25">
      <c r="A193" s="381"/>
      <c r="B193" s="10"/>
      <c r="C193" s="10"/>
      <c r="D193" s="10"/>
      <c r="E193" s="10">
        <f>B192*D192</f>
        <v>0</v>
      </c>
      <c r="F193" s="10"/>
      <c r="G193" s="10"/>
      <c r="H193" s="10"/>
      <c r="I193" s="10">
        <f>F192*H192</f>
        <v>0</v>
      </c>
      <c r="J193" s="10"/>
      <c r="K193" s="10"/>
      <c r="L193" s="10"/>
      <c r="M193" s="10">
        <f>J192*L192</f>
        <v>0</v>
      </c>
      <c r="N193" s="10"/>
      <c r="O193" s="10"/>
      <c r="P193" s="10"/>
      <c r="Q193" s="10">
        <f>N192*P192</f>
        <v>0</v>
      </c>
      <c r="R193" s="10"/>
      <c r="S193" s="10"/>
      <c r="T193" s="10"/>
      <c r="U193" s="10">
        <f>R192*T192</f>
        <v>0</v>
      </c>
      <c r="V193" s="10">
        <f>SUM(E193:U193)</f>
        <v>0</v>
      </c>
      <c r="W193" s="11">
        <v>0.2</v>
      </c>
      <c r="X193" s="11">
        <v>0.2</v>
      </c>
      <c r="Y193" s="12">
        <f>V193/W193/X193/1000</f>
        <v>0</v>
      </c>
    </row>
    <row r="194" spans="1:25" x14ac:dyDescent="0.25">
      <c r="A194" s="381" t="s">
        <v>39</v>
      </c>
      <c r="B194" s="3"/>
      <c r="C194" s="3"/>
      <c r="D194" s="3"/>
      <c r="E194" s="3"/>
      <c r="F194" s="8"/>
      <c r="G194" s="8"/>
      <c r="H194" s="8"/>
      <c r="I194" s="3"/>
      <c r="J194" s="3"/>
      <c r="K194" s="3"/>
      <c r="L194" s="3"/>
      <c r="M194" s="3"/>
      <c r="N194" s="3"/>
      <c r="O194" s="3"/>
      <c r="P194" s="3"/>
      <c r="Q194" s="3"/>
      <c r="R194" s="3"/>
      <c r="S194" s="3"/>
      <c r="T194" s="3"/>
      <c r="U194" s="3"/>
      <c r="V194" s="3"/>
      <c r="W194" s="3"/>
      <c r="X194" s="3"/>
      <c r="Y194" s="5"/>
    </row>
    <row r="195" spans="1:25" ht="15.75" thickBot="1" x14ac:dyDescent="0.3">
      <c r="A195" s="394"/>
      <c r="B195" s="13"/>
      <c r="C195" s="13"/>
      <c r="D195" s="13"/>
      <c r="E195" s="13">
        <f>B194*D194</f>
        <v>0</v>
      </c>
      <c r="F195" s="13"/>
      <c r="G195" s="13"/>
      <c r="H195" s="13"/>
      <c r="I195" s="13">
        <f>F194*H194</f>
        <v>0</v>
      </c>
      <c r="J195" s="13"/>
      <c r="K195" s="13"/>
      <c r="L195" s="13"/>
      <c r="M195" s="13">
        <f>J194*L194</f>
        <v>0</v>
      </c>
      <c r="N195" s="13"/>
      <c r="O195" s="13"/>
      <c r="P195" s="13"/>
      <c r="Q195" s="13">
        <f>N194*P194</f>
        <v>0</v>
      </c>
      <c r="R195" s="13"/>
      <c r="S195" s="13"/>
      <c r="T195" s="13"/>
      <c r="U195" s="13">
        <f>R194*T194</f>
        <v>0</v>
      </c>
      <c r="V195" s="13">
        <f>SUM(E195:U195)</f>
        <v>0</v>
      </c>
      <c r="W195" s="11">
        <v>0.2</v>
      </c>
      <c r="X195" s="11">
        <v>0.2</v>
      </c>
      <c r="Y195" s="14">
        <f>V195/W195/X195/1000</f>
        <v>0</v>
      </c>
    </row>
    <row r="196" spans="1:25" ht="15.75" thickBot="1" x14ac:dyDescent="0.3">
      <c r="V196" s="15">
        <f>SUM(V189:V195)</f>
        <v>90</v>
      </c>
      <c r="W196" s="16">
        <v>0.2</v>
      </c>
      <c r="X196" s="16">
        <v>0.15</v>
      </c>
      <c r="Y196" s="17">
        <f>V196/W196/X196/1000</f>
        <v>3</v>
      </c>
    </row>
    <row r="197" spans="1:25" ht="15.75" thickBot="1" x14ac:dyDescent="0.3">
      <c r="V197" s="15">
        <f>SUM(V190:V196)</f>
        <v>90</v>
      </c>
      <c r="W197" s="16">
        <v>0.3</v>
      </c>
      <c r="X197" s="16">
        <v>0.15</v>
      </c>
      <c r="Y197" s="17">
        <f>V197/W197/X197/1000</f>
        <v>2</v>
      </c>
    </row>
  </sheetData>
  <mergeCells count="212">
    <mergeCell ref="R98:U98"/>
    <mergeCell ref="V98:V99"/>
    <mergeCell ref="W98:Y98"/>
    <mergeCell ref="R83:S83"/>
    <mergeCell ref="V70:V71"/>
    <mergeCell ref="V84:V85"/>
    <mergeCell ref="W84:Y84"/>
    <mergeCell ref="A87:A88"/>
    <mergeCell ref="A89:A90"/>
    <mergeCell ref="A91:A92"/>
    <mergeCell ref="A93:A94"/>
    <mergeCell ref="B97:C97"/>
    <mergeCell ref="F97:G97"/>
    <mergeCell ref="J97:K97"/>
    <mergeCell ref="N97:O97"/>
    <mergeCell ref="R97:S97"/>
    <mergeCell ref="A84:A86"/>
    <mergeCell ref="B84:E84"/>
    <mergeCell ref="F84:I84"/>
    <mergeCell ref="J84:M84"/>
    <mergeCell ref="N84:Q84"/>
    <mergeCell ref="R84:U84"/>
    <mergeCell ref="A75:A76"/>
    <mergeCell ref="A77:A78"/>
    <mergeCell ref="A188:A189"/>
    <mergeCell ref="A190:A191"/>
    <mergeCell ref="A192:A193"/>
    <mergeCell ref="A194:A195"/>
    <mergeCell ref="R185:U185"/>
    <mergeCell ref="V185:V186"/>
    <mergeCell ref="W185:Y185"/>
    <mergeCell ref="N184:O184"/>
    <mergeCell ref="R184:S184"/>
    <mergeCell ref="A185:A187"/>
    <mergeCell ref="B185:E185"/>
    <mergeCell ref="F185:I185"/>
    <mergeCell ref="J185:M185"/>
    <mergeCell ref="N185:Q185"/>
    <mergeCell ref="A172:A173"/>
    <mergeCell ref="A174:A175"/>
    <mergeCell ref="A176:A177"/>
    <mergeCell ref="B184:C184"/>
    <mergeCell ref="F184:G184"/>
    <mergeCell ref="J184:K184"/>
    <mergeCell ref="V167:V168"/>
    <mergeCell ref="W167:Y167"/>
    <mergeCell ref="A170:A171"/>
    <mergeCell ref="A167:A169"/>
    <mergeCell ref="B167:E167"/>
    <mergeCell ref="F167:I167"/>
    <mergeCell ref="J167:M167"/>
    <mergeCell ref="N167:Q167"/>
    <mergeCell ref="R167:U167"/>
    <mergeCell ref="J166:K166"/>
    <mergeCell ref="N166:O166"/>
    <mergeCell ref="R166:S166"/>
    <mergeCell ref="A152:A153"/>
    <mergeCell ref="A154:A155"/>
    <mergeCell ref="A156:A157"/>
    <mergeCell ref="A158:A159"/>
    <mergeCell ref="B166:C166"/>
    <mergeCell ref="F166:G166"/>
    <mergeCell ref="R149:U149"/>
    <mergeCell ref="V149:V150"/>
    <mergeCell ref="W149:Y149"/>
    <mergeCell ref="N148:O148"/>
    <mergeCell ref="R148:S148"/>
    <mergeCell ref="A149:A151"/>
    <mergeCell ref="B149:E149"/>
    <mergeCell ref="F149:I149"/>
    <mergeCell ref="J149:M149"/>
    <mergeCell ref="N149:Q149"/>
    <mergeCell ref="A136:A137"/>
    <mergeCell ref="A138:A139"/>
    <mergeCell ref="A140:A141"/>
    <mergeCell ref="B148:C148"/>
    <mergeCell ref="F148:G148"/>
    <mergeCell ref="J148:K148"/>
    <mergeCell ref="V131:V132"/>
    <mergeCell ref="W131:Y131"/>
    <mergeCell ref="A134:A135"/>
    <mergeCell ref="A131:A133"/>
    <mergeCell ref="B131:E131"/>
    <mergeCell ref="F131:I131"/>
    <mergeCell ref="J131:M131"/>
    <mergeCell ref="N131:Q131"/>
    <mergeCell ref="R131:U131"/>
    <mergeCell ref="J130:K130"/>
    <mergeCell ref="N130:O130"/>
    <mergeCell ref="R130:S130"/>
    <mergeCell ref="A116:A117"/>
    <mergeCell ref="A118:A119"/>
    <mergeCell ref="A120:A121"/>
    <mergeCell ref="A122:A123"/>
    <mergeCell ref="B130:C130"/>
    <mergeCell ref="F130:G130"/>
    <mergeCell ref="R113:U113"/>
    <mergeCell ref="V113:V114"/>
    <mergeCell ref="W113:Y113"/>
    <mergeCell ref="N112:O112"/>
    <mergeCell ref="R112:S112"/>
    <mergeCell ref="A113:A115"/>
    <mergeCell ref="B113:E113"/>
    <mergeCell ref="F113:I113"/>
    <mergeCell ref="J113:M113"/>
    <mergeCell ref="N113:Q113"/>
    <mergeCell ref="A79:A80"/>
    <mergeCell ref="B112:C112"/>
    <mergeCell ref="F112:G112"/>
    <mergeCell ref="J112:K112"/>
    <mergeCell ref="B83:C83"/>
    <mergeCell ref="F83:G83"/>
    <mergeCell ref="J83:K83"/>
    <mergeCell ref="N83:O83"/>
    <mergeCell ref="A98:A100"/>
    <mergeCell ref="B98:E98"/>
    <mergeCell ref="F98:I98"/>
    <mergeCell ref="J98:M98"/>
    <mergeCell ref="N98:Q98"/>
    <mergeCell ref="A107:A108"/>
    <mergeCell ref="A101:A102"/>
    <mergeCell ref="A103:A104"/>
    <mergeCell ref="A105:A106"/>
    <mergeCell ref="A73:A74"/>
    <mergeCell ref="A70:A72"/>
    <mergeCell ref="B70:E70"/>
    <mergeCell ref="F70:I70"/>
    <mergeCell ref="J70:M70"/>
    <mergeCell ref="N70:Q70"/>
    <mergeCell ref="R70:U70"/>
    <mergeCell ref="J69:K69"/>
    <mergeCell ref="N69:O69"/>
    <mergeCell ref="R69:S69"/>
    <mergeCell ref="B69:C69"/>
    <mergeCell ref="F69:G69"/>
    <mergeCell ref="A54:A55"/>
    <mergeCell ref="B59:C59"/>
    <mergeCell ref="F59:G59"/>
    <mergeCell ref="J59:K59"/>
    <mergeCell ref="N59:O59"/>
    <mergeCell ref="R59:S59"/>
    <mergeCell ref="V51:V52"/>
    <mergeCell ref="W51:Y51"/>
    <mergeCell ref="W70:Y70"/>
    <mergeCell ref="N60:Q60"/>
    <mergeCell ref="R60:U60"/>
    <mergeCell ref="V60:V61"/>
    <mergeCell ref="W60:Y60"/>
    <mergeCell ref="A60:A62"/>
    <mergeCell ref="B60:E60"/>
    <mergeCell ref="F60:I60"/>
    <mergeCell ref="J60:M60"/>
    <mergeCell ref="A63:A64"/>
    <mergeCell ref="N50:O50"/>
    <mergeCell ref="R50:S50"/>
    <mergeCell ref="A51:A53"/>
    <mergeCell ref="B51:E51"/>
    <mergeCell ref="F51:I51"/>
    <mergeCell ref="J51:M51"/>
    <mergeCell ref="N51:Q51"/>
    <mergeCell ref="A41:A42"/>
    <mergeCell ref="A43:A44"/>
    <mergeCell ref="B50:C50"/>
    <mergeCell ref="F50:G50"/>
    <mergeCell ref="J50:K50"/>
    <mergeCell ref="R51:U51"/>
    <mergeCell ref="V36:V37"/>
    <mergeCell ref="W36:Y36"/>
    <mergeCell ref="A39:A40"/>
    <mergeCell ref="A36:A38"/>
    <mergeCell ref="B36:E36"/>
    <mergeCell ref="F36:I36"/>
    <mergeCell ref="J36:M36"/>
    <mergeCell ref="N36:Q36"/>
    <mergeCell ref="R36:U36"/>
    <mergeCell ref="J35:K35"/>
    <mergeCell ref="N35:O35"/>
    <mergeCell ref="R35:S35"/>
    <mergeCell ref="A23:A24"/>
    <mergeCell ref="A25:A26"/>
    <mergeCell ref="A27:A28"/>
    <mergeCell ref="B35:C35"/>
    <mergeCell ref="F35:G35"/>
    <mergeCell ref="R20:U20"/>
    <mergeCell ref="V20:V21"/>
    <mergeCell ref="W20:Y20"/>
    <mergeCell ref="N19:O19"/>
    <mergeCell ref="R19:S19"/>
    <mergeCell ref="A20:A22"/>
    <mergeCell ref="B20:E20"/>
    <mergeCell ref="F20:I20"/>
    <mergeCell ref="J20:M20"/>
    <mergeCell ref="N20:Q20"/>
    <mergeCell ref="A9:A10"/>
    <mergeCell ref="A11:A12"/>
    <mergeCell ref="B19:C19"/>
    <mergeCell ref="F19:G19"/>
    <mergeCell ref="J19:K19"/>
    <mergeCell ref="V4:V5"/>
    <mergeCell ref="W4:Y4"/>
    <mergeCell ref="A7:A8"/>
    <mergeCell ref="R3:S3"/>
    <mergeCell ref="A4:A6"/>
    <mergeCell ref="B4:E4"/>
    <mergeCell ref="F4:I4"/>
    <mergeCell ref="J4:M4"/>
    <mergeCell ref="N4:Q4"/>
    <mergeCell ref="R4:U4"/>
    <mergeCell ref="B3:C3"/>
    <mergeCell ref="F3:G3"/>
    <mergeCell ref="J3:K3"/>
    <mergeCell ref="N3:O3"/>
  </mergeCells>
  <phoneticPr fontId="20" type="noConversion"/>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07AAEA6-4296-491C-A197-69E9AD95F509}">
  <dimension ref="A1:Z101"/>
  <sheetViews>
    <sheetView tabSelected="1" view="pageBreakPreview" topLeftCell="A25" zoomScale="85" zoomScaleNormal="115" zoomScaleSheetLayoutView="85" workbookViewId="0">
      <selection activeCell="Z39" sqref="Z39"/>
    </sheetView>
  </sheetViews>
  <sheetFormatPr defaultRowHeight="15" outlineLevelRow="1" x14ac:dyDescent="0.25"/>
  <cols>
    <col min="1" max="1" width="4.7109375" style="349" customWidth="1"/>
    <col min="2" max="8" width="11.28515625" style="349" customWidth="1"/>
    <col min="9" max="9" width="4.7109375" style="349" customWidth="1"/>
    <col min="10" max="11" width="9.140625" style="349"/>
    <col min="12" max="18" width="10.7109375" style="349" customWidth="1"/>
    <col min="19" max="19" width="11.7109375" style="349" customWidth="1"/>
    <col min="20" max="26" width="10.7109375" style="349" customWidth="1"/>
    <col min="27" max="16384" width="9.140625" style="349"/>
  </cols>
  <sheetData>
    <row r="1" spans="1:20" ht="31.5" x14ac:dyDescent="0.25">
      <c r="A1" s="420" t="s">
        <v>425</v>
      </c>
      <c r="B1" s="420"/>
      <c r="C1" s="420"/>
      <c r="D1" s="420"/>
      <c r="E1" s="420"/>
      <c r="F1" s="420"/>
      <c r="G1" s="420"/>
      <c r="H1" s="420"/>
      <c r="I1" s="420"/>
      <c r="L1" s="350"/>
      <c r="M1" s="350"/>
      <c r="N1" s="350"/>
      <c r="O1" s="350"/>
      <c r="P1" s="350"/>
      <c r="Q1" s="350"/>
      <c r="R1" s="350"/>
      <c r="T1" s="351"/>
    </row>
    <row r="2" spans="1:20" ht="19.899999999999999" customHeight="1" x14ac:dyDescent="0.35">
      <c r="A2" s="421"/>
      <c r="B2" s="421"/>
      <c r="C2" s="421"/>
      <c r="D2" s="421"/>
      <c r="E2" s="421"/>
      <c r="F2" s="421"/>
      <c r="G2" s="421"/>
      <c r="H2" s="421"/>
      <c r="I2" s="421"/>
      <c r="L2" s="352"/>
      <c r="M2" s="423"/>
      <c r="N2" s="423"/>
      <c r="O2" s="352"/>
      <c r="P2" s="352"/>
      <c r="Q2" s="352"/>
      <c r="R2" s="352"/>
      <c r="T2" s="353"/>
    </row>
    <row r="3" spans="1:20" ht="15" customHeight="1" x14ac:dyDescent="0.25">
      <c r="C3" s="352"/>
      <c r="D3" s="352"/>
      <c r="E3" s="352"/>
      <c r="F3" s="352"/>
      <c r="G3" s="352"/>
      <c r="H3" s="352"/>
      <c r="M3" s="352"/>
      <c r="N3" s="352"/>
      <c r="O3" s="352"/>
      <c r="P3" s="352"/>
      <c r="Q3" s="352"/>
      <c r="R3" s="352"/>
    </row>
    <row r="4" spans="1:20" ht="15" customHeight="1" x14ac:dyDescent="0.25">
      <c r="A4" s="354" t="s">
        <v>426</v>
      </c>
      <c r="B4" s="354"/>
      <c r="C4" s="354"/>
      <c r="D4" s="354"/>
      <c r="E4" s="354"/>
      <c r="F4" s="354"/>
      <c r="G4" s="354"/>
      <c r="H4" s="354"/>
      <c r="I4" s="354"/>
      <c r="K4" s="349" t="s">
        <v>427</v>
      </c>
      <c r="L4" s="354"/>
      <c r="M4" s="354"/>
      <c r="N4" s="354"/>
      <c r="O4" s="354"/>
      <c r="P4" s="354"/>
      <c r="Q4" s="354"/>
      <c r="R4" s="354"/>
    </row>
    <row r="5" spans="1:20" ht="15" customHeight="1" x14ac:dyDescent="0.25">
      <c r="A5" s="349" t="s">
        <v>428</v>
      </c>
      <c r="B5" s="424" t="s">
        <v>429</v>
      </c>
      <c r="C5" s="424"/>
      <c r="D5" s="353" t="s">
        <v>430</v>
      </c>
      <c r="E5" s="424" t="s">
        <v>431</v>
      </c>
      <c r="F5" s="424"/>
      <c r="G5" s="424"/>
      <c r="I5" s="355"/>
      <c r="N5" s="353"/>
    </row>
    <row r="6" spans="1:20" ht="15" customHeight="1" x14ac:dyDescent="0.25">
      <c r="B6" s="425" t="s">
        <v>432</v>
      </c>
      <c r="C6" s="425"/>
      <c r="E6" s="356" t="s">
        <v>433</v>
      </c>
      <c r="F6" s="356"/>
      <c r="G6" s="356"/>
      <c r="L6" s="357"/>
      <c r="M6" s="357"/>
      <c r="O6" s="357"/>
      <c r="P6" s="357"/>
      <c r="Q6" s="357"/>
    </row>
    <row r="7" spans="1:20" ht="15" customHeight="1" x14ac:dyDescent="0.25">
      <c r="B7" s="424" t="s">
        <v>434</v>
      </c>
      <c r="C7" s="424"/>
      <c r="D7" s="424"/>
      <c r="E7" s="424"/>
      <c r="F7" s="424"/>
      <c r="G7" s="353"/>
      <c r="Q7" s="353"/>
    </row>
    <row r="8" spans="1:20" ht="15" customHeight="1" x14ac:dyDescent="0.25">
      <c r="B8" s="426" t="s">
        <v>435</v>
      </c>
      <c r="C8" s="426"/>
      <c r="D8" s="426"/>
      <c r="E8" s="426"/>
      <c r="F8" s="426"/>
      <c r="L8" s="358"/>
      <c r="M8" s="358"/>
      <c r="N8" s="358"/>
      <c r="O8" s="358"/>
      <c r="P8" s="358"/>
    </row>
    <row r="9" spans="1:20" ht="15" customHeight="1" x14ac:dyDescent="0.25">
      <c r="A9" s="427" t="s">
        <v>436</v>
      </c>
      <c r="B9" s="427"/>
      <c r="C9" s="427"/>
      <c r="D9" s="427"/>
      <c r="E9" s="427"/>
      <c r="F9" s="427"/>
      <c r="G9" s="427"/>
      <c r="H9" s="427"/>
      <c r="I9" s="427"/>
    </row>
    <row r="10" spans="1:20" ht="15" customHeight="1" x14ac:dyDescent="0.25">
      <c r="B10" s="359" t="s">
        <v>437</v>
      </c>
      <c r="C10" s="360"/>
      <c r="D10" s="360"/>
      <c r="E10" s="360"/>
      <c r="F10" s="360"/>
      <c r="G10" s="360"/>
      <c r="H10" s="360"/>
      <c r="I10" s="361"/>
      <c r="T10" s="353"/>
    </row>
    <row r="11" spans="1:20" ht="15" customHeight="1" x14ac:dyDescent="0.25">
      <c r="B11" s="362" t="s">
        <v>438</v>
      </c>
      <c r="C11" s="362"/>
      <c r="D11" s="362"/>
      <c r="E11" s="362"/>
      <c r="F11" s="362"/>
      <c r="G11" s="362"/>
      <c r="H11" s="362"/>
      <c r="I11" s="363"/>
    </row>
    <row r="12" spans="1:20" ht="15" customHeight="1" x14ac:dyDescent="0.25">
      <c r="B12" s="362" t="s">
        <v>439</v>
      </c>
      <c r="C12" s="362"/>
      <c r="D12" s="362"/>
      <c r="E12" s="362"/>
      <c r="F12" s="362"/>
      <c r="G12" s="362"/>
      <c r="H12" s="362"/>
      <c r="I12" s="363"/>
    </row>
    <row r="13" spans="1:20" ht="15" customHeight="1" x14ac:dyDescent="0.25"/>
    <row r="14" spans="1:20" ht="15" customHeight="1" x14ac:dyDescent="0.25">
      <c r="A14" s="428" t="s">
        <v>440</v>
      </c>
      <c r="B14" s="428"/>
      <c r="C14" s="428"/>
      <c r="D14" s="428"/>
      <c r="E14" s="428"/>
      <c r="F14" s="428"/>
      <c r="G14" s="428"/>
      <c r="H14" s="428"/>
      <c r="I14" s="428"/>
    </row>
    <row r="15" spans="1:20" ht="15" customHeight="1" x14ac:dyDescent="0.25">
      <c r="A15" s="428" t="s">
        <v>441</v>
      </c>
      <c r="B15" s="428"/>
      <c r="C15" s="428"/>
      <c r="D15" s="428"/>
      <c r="E15" s="428"/>
      <c r="F15" s="428"/>
      <c r="G15" s="428"/>
      <c r="H15" s="428"/>
      <c r="I15" s="428"/>
    </row>
    <row r="16" spans="1:20" ht="19.899999999999999" customHeight="1" x14ac:dyDescent="0.25">
      <c r="A16" s="364" t="s">
        <v>442</v>
      </c>
      <c r="B16" s="365" t="s">
        <v>443</v>
      </c>
      <c r="C16" s="365"/>
      <c r="D16" s="365"/>
      <c r="E16" s="365"/>
      <c r="F16" s="365"/>
      <c r="G16" s="365"/>
      <c r="H16" s="365"/>
      <c r="I16" s="365"/>
      <c r="K16" s="364" t="s">
        <v>442</v>
      </c>
      <c r="L16" s="365" t="s">
        <v>444</v>
      </c>
      <c r="M16" s="365"/>
      <c r="N16" s="365"/>
      <c r="O16" s="365"/>
      <c r="P16" s="365"/>
      <c r="Q16" s="365"/>
      <c r="R16" s="365"/>
      <c r="S16" s="365"/>
    </row>
    <row r="17" spans="2:26" ht="19.899999999999999" customHeight="1" x14ac:dyDescent="0.25">
      <c r="B17" s="407" t="s">
        <v>445</v>
      </c>
      <c r="C17" s="407"/>
      <c r="D17" s="407" t="s">
        <v>446</v>
      </c>
      <c r="E17" s="407"/>
      <c r="F17" s="407"/>
      <c r="G17" s="407"/>
      <c r="H17" s="407"/>
      <c r="L17" s="407" t="s">
        <v>445</v>
      </c>
      <c r="M17" s="407"/>
      <c r="N17" s="407" t="s">
        <v>446</v>
      </c>
      <c r="O17" s="407"/>
      <c r="P17" s="407"/>
      <c r="Q17" s="407"/>
      <c r="R17" s="407"/>
      <c r="T17" s="422"/>
      <c r="U17" s="422"/>
      <c r="V17" s="422"/>
      <c r="W17" s="422"/>
      <c r="X17" s="422"/>
      <c r="Y17" s="422"/>
      <c r="Z17" s="422"/>
    </row>
    <row r="18" spans="2:26" ht="45" customHeight="1" x14ac:dyDescent="0.25">
      <c r="B18" s="415" t="s">
        <v>447</v>
      </c>
      <c r="C18" s="416"/>
      <c r="D18" s="417" t="s">
        <v>448</v>
      </c>
      <c r="E18" s="418"/>
      <c r="F18" s="418"/>
      <c r="G18" s="418"/>
      <c r="H18" s="419"/>
      <c r="L18" s="415" t="s">
        <v>449</v>
      </c>
      <c r="M18" s="416"/>
      <c r="N18" s="410" t="s">
        <v>448</v>
      </c>
      <c r="O18" s="411"/>
      <c r="P18" s="411"/>
      <c r="Q18" s="411"/>
      <c r="R18" s="412"/>
      <c r="T18" s="398"/>
      <c r="U18" s="398"/>
      <c r="V18" s="399"/>
      <c r="W18" s="399"/>
      <c r="X18" s="399"/>
      <c r="Y18" s="399"/>
      <c r="Z18" s="399"/>
    </row>
    <row r="19" spans="2:26" ht="45" customHeight="1" x14ac:dyDescent="0.25">
      <c r="B19" s="415" t="s">
        <v>450</v>
      </c>
      <c r="C19" s="416"/>
      <c r="D19" s="417" t="s">
        <v>448</v>
      </c>
      <c r="E19" s="418"/>
      <c r="F19" s="418"/>
      <c r="G19" s="418"/>
      <c r="H19" s="419"/>
      <c r="L19" s="415" t="s">
        <v>451</v>
      </c>
      <c r="M19" s="416"/>
      <c r="N19" s="410" t="s">
        <v>448</v>
      </c>
      <c r="O19" s="411"/>
      <c r="P19" s="411"/>
      <c r="Q19" s="411"/>
      <c r="R19" s="412"/>
      <c r="T19" s="398"/>
      <c r="U19" s="398"/>
      <c r="V19" s="399"/>
      <c r="W19" s="399"/>
      <c r="X19" s="399"/>
      <c r="Y19" s="399"/>
      <c r="Z19" s="399"/>
    </row>
    <row r="20" spans="2:26" ht="45" customHeight="1" x14ac:dyDescent="0.25">
      <c r="B20" s="415" t="s">
        <v>452</v>
      </c>
      <c r="C20" s="416"/>
      <c r="D20" s="417" t="s">
        <v>453</v>
      </c>
      <c r="E20" s="418"/>
      <c r="F20" s="418"/>
      <c r="G20" s="418"/>
      <c r="H20" s="419"/>
      <c r="L20" s="415" t="s">
        <v>454</v>
      </c>
      <c r="M20" s="416"/>
      <c r="N20" s="410" t="s">
        <v>453</v>
      </c>
      <c r="O20" s="411"/>
      <c r="P20" s="411"/>
      <c r="Q20" s="411"/>
      <c r="R20" s="412"/>
      <c r="T20" s="398"/>
      <c r="U20" s="398"/>
      <c r="V20" s="399"/>
      <c r="W20" s="399"/>
      <c r="X20" s="399"/>
      <c r="Y20" s="399"/>
      <c r="Z20" s="399"/>
    </row>
    <row r="21" spans="2:26" ht="45" customHeight="1" x14ac:dyDescent="0.25">
      <c r="B21" s="415" t="s">
        <v>455</v>
      </c>
      <c r="C21" s="416"/>
      <c r="D21" s="417" t="s">
        <v>456</v>
      </c>
      <c r="E21" s="418"/>
      <c r="F21" s="418"/>
      <c r="G21" s="418"/>
      <c r="H21" s="419"/>
      <c r="L21" s="415" t="s">
        <v>457</v>
      </c>
      <c r="M21" s="416"/>
      <c r="N21" s="417" t="s">
        <v>456</v>
      </c>
      <c r="O21" s="418"/>
      <c r="P21" s="418"/>
      <c r="Q21" s="418"/>
      <c r="R21" s="419"/>
      <c r="T21" s="398"/>
      <c r="U21" s="398"/>
      <c r="V21" s="399"/>
      <c r="W21" s="399"/>
      <c r="X21" s="399"/>
      <c r="Y21" s="399"/>
      <c r="Z21" s="399"/>
    </row>
    <row r="22" spans="2:26" ht="45" customHeight="1" x14ac:dyDescent="0.25">
      <c r="B22" s="415" t="s">
        <v>458</v>
      </c>
      <c r="C22" s="416"/>
      <c r="D22" s="417" t="s">
        <v>459</v>
      </c>
      <c r="E22" s="418"/>
      <c r="F22" s="418"/>
      <c r="G22" s="418"/>
      <c r="H22" s="419"/>
      <c r="L22" s="415" t="s">
        <v>460</v>
      </c>
      <c r="M22" s="416"/>
      <c r="N22" s="417" t="s">
        <v>459</v>
      </c>
      <c r="O22" s="418"/>
      <c r="P22" s="418"/>
      <c r="Q22" s="418"/>
      <c r="R22" s="419"/>
      <c r="T22" s="398"/>
      <c r="U22" s="398"/>
      <c r="V22" s="399"/>
      <c r="W22" s="399"/>
      <c r="X22" s="399"/>
      <c r="Y22" s="399"/>
      <c r="Z22" s="399"/>
    </row>
    <row r="23" spans="2:26" ht="45" customHeight="1" x14ac:dyDescent="0.25">
      <c r="B23" s="415" t="s">
        <v>461</v>
      </c>
      <c r="C23" s="416"/>
      <c r="D23" s="417" t="s">
        <v>462</v>
      </c>
      <c r="E23" s="418"/>
      <c r="F23" s="418"/>
      <c r="G23" s="418"/>
      <c r="H23" s="419"/>
      <c r="L23" s="415" t="s">
        <v>463</v>
      </c>
      <c r="M23" s="416"/>
      <c r="N23" s="417" t="s">
        <v>462</v>
      </c>
      <c r="O23" s="418"/>
      <c r="P23" s="418"/>
      <c r="Q23" s="418"/>
      <c r="R23" s="419"/>
      <c r="T23" s="398"/>
      <c r="U23" s="398"/>
      <c r="V23" s="399"/>
      <c r="W23" s="399"/>
      <c r="X23" s="399"/>
      <c r="Y23" s="399"/>
      <c r="Z23" s="399"/>
    </row>
    <row r="24" spans="2:26" ht="45" customHeight="1" x14ac:dyDescent="0.25">
      <c r="B24" s="404" t="s">
        <v>464</v>
      </c>
      <c r="C24" s="404"/>
      <c r="D24" s="405" t="s">
        <v>465</v>
      </c>
      <c r="E24" s="405"/>
      <c r="F24" s="405"/>
      <c r="G24" s="405"/>
      <c r="H24" s="405"/>
      <c r="L24" s="404" t="s">
        <v>466</v>
      </c>
      <c r="M24" s="404"/>
      <c r="N24" s="405" t="s">
        <v>465</v>
      </c>
      <c r="O24" s="405"/>
      <c r="P24" s="405"/>
      <c r="Q24" s="405"/>
      <c r="R24" s="405"/>
      <c r="T24" s="398"/>
      <c r="U24" s="398"/>
      <c r="V24" s="399"/>
      <c r="W24" s="399"/>
      <c r="X24" s="399"/>
      <c r="Y24" s="399"/>
      <c r="Z24" s="399"/>
    </row>
    <row r="25" spans="2:26" ht="45" customHeight="1" x14ac:dyDescent="0.25">
      <c r="B25" s="404" t="s">
        <v>467</v>
      </c>
      <c r="C25" s="404"/>
      <c r="D25" s="405" t="s">
        <v>468</v>
      </c>
      <c r="E25" s="405"/>
      <c r="F25" s="405"/>
      <c r="G25" s="405"/>
      <c r="H25" s="405"/>
      <c r="L25" s="404" t="s">
        <v>469</v>
      </c>
      <c r="M25" s="404"/>
      <c r="N25" s="405" t="s">
        <v>468</v>
      </c>
      <c r="O25" s="405"/>
      <c r="P25" s="405"/>
      <c r="Q25" s="405"/>
      <c r="R25" s="405"/>
      <c r="T25" s="398"/>
      <c r="U25" s="398"/>
      <c r="V25" s="399"/>
      <c r="W25" s="399"/>
      <c r="X25" s="399"/>
      <c r="Y25" s="399"/>
      <c r="Z25" s="399"/>
    </row>
    <row r="26" spans="2:26" ht="45" customHeight="1" x14ac:dyDescent="0.25">
      <c r="B26" s="415" t="s">
        <v>470</v>
      </c>
      <c r="C26" s="416"/>
      <c r="D26" s="417" t="s">
        <v>471</v>
      </c>
      <c r="E26" s="418"/>
      <c r="F26" s="418"/>
      <c r="G26" s="418"/>
      <c r="H26" s="419"/>
      <c r="L26" s="415" t="s">
        <v>472</v>
      </c>
      <c r="M26" s="416"/>
      <c r="N26" s="417" t="s">
        <v>471</v>
      </c>
      <c r="O26" s="418"/>
      <c r="P26" s="418"/>
      <c r="Q26" s="418"/>
      <c r="R26" s="419"/>
      <c r="T26" s="398"/>
      <c r="U26" s="398"/>
      <c r="V26" s="399"/>
      <c r="W26" s="399"/>
      <c r="X26" s="399"/>
      <c r="Y26" s="399"/>
      <c r="Z26" s="399"/>
    </row>
    <row r="27" spans="2:26" ht="45" customHeight="1" x14ac:dyDescent="0.25">
      <c r="B27" s="415" t="s">
        <v>473</v>
      </c>
      <c r="C27" s="416"/>
      <c r="D27" s="417" t="s">
        <v>474</v>
      </c>
      <c r="E27" s="418"/>
      <c r="F27" s="418"/>
      <c r="G27" s="418"/>
      <c r="H27" s="419"/>
      <c r="L27" s="415" t="s">
        <v>475</v>
      </c>
      <c r="M27" s="416"/>
      <c r="N27" s="417" t="s">
        <v>474</v>
      </c>
      <c r="O27" s="418"/>
      <c r="P27" s="418"/>
      <c r="Q27" s="418"/>
      <c r="R27" s="419"/>
      <c r="T27" s="361"/>
      <c r="U27" s="361"/>
      <c r="V27" s="367"/>
      <c r="W27" s="367"/>
      <c r="X27" s="367"/>
      <c r="Y27" s="367"/>
      <c r="Z27" s="367"/>
    </row>
    <row r="28" spans="2:26" ht="45" customHeight="1" x14ac:dyDescent="0.25">
      <c r="B28" s="404" t="s">
        <v>476</v>
      </c>
      <c r="C28" s="404"/>
      <c r="D28" s="405" t="s">
        <v>477</v>
      </c>
      <c r="E28" s="405"/>
      <c r="F28" s="405"/>
      <c r="G28" s="405"/>
      <c r="H28" s="405"/>
      <c r="L28" s="404" t="s">
        <v>478</v>
      </c>
      <c r="M28" s="404"/>
      <c r="N28" s="405" t="s">
        <v>477</v>
      </c>
      <c r="O28" s="405"/>
      <c r="P28" s="405"/>
      <c r="Q28" s="405"/>
      <c r="R28" s="405"/>
      <c r="T28" s="398"/>
      <c r="U28" s="398"/>
      <c r="V28" s="399"/>
      <c r="W28" s="399"/>
      <c r="X28" s="399"/>
      <c r="Y28" s="399"/>
      <c r="Z28" s="399"/>
    </row>
    <row r="29" spans="2:26" ht="45" customHeight="1" x14ac:dyDescent="0.25">
      <c r="B29" s="415" t="s">
        <v>479</v>
      </c>
      <c r="C29" s="416"/>
      <c r="D29" s="417" t="s">
        <v>480</v>
      </c>
      <c r="E29" s="418"/>
      <c r="F29" s="418"/>
      <c r="G29" s="418"/>
      <c r="H29" s="419"/>
      <c r="I29" s="365"/>
      <c r="L29" s="415" t="s">
        <v>481</v>
      </c>
      <c r="M29" s="416"/>
      <c r="N29" s="405" t="s">
        <v>482</v>
      </c>
      <c r="O29" s="405"/>
      <c r="P29" s="405"/>
      <c r="Q29" s="405"/>
      <c r="R29" s="405"/>
    </row>
    <row r="30" spans="2:26" ht="45" customHeight="1" x14ac:dyDescent="0.25">
      <c r="B30" s="408" t="s">
        <v>483</v>
      </c>
      <c r="C30" s="409"/>
      <c r="D30" s="410" t="s">
        <v>484</v>
      </c>
      <c r="E30" s="411"/>
      <c r="F30" s="411"/>
      <c r="G30" s="411"/>
      <c r="H30" s="412"/>
      <c r="I30" s="365"/>
      <c r="L30" s="408" t="s">
        <v>485</v>
      </c>
      <c r="M30" s="409"/>
      <c r="N30" s="410" t="s">
        <v>486</v>
      </c>
      <c r="O30" s="411"/>
      <c r="P30" s="411"/>
      <c r="Q30" s="411"/>
      <c r="R30" s="412"/>
      <c r="S30" s="353"/>
    </row>
    <row r="31" spans="2:26" ht="45" hidden="1" customHeight="1" outlineLevel="1" x14ac:dyDescent="0.25">
      <c r="B31" s="408" t="s">
        <v>487</v>
      </c>
      <c r="C31" s="409"/>
      <c r="D31" s="410" t="s">
        <v>488</v>
      </c>
      <c r="E31" s="411"/>
      <c r="F31" s="411"/>
      <c r="G31" s="411"/>
      <c r="H31" s="412"/>
      <c r="I31" s="365"/>
      <c r="K31" s="370"/>
      <c r="L31" s="408"/>
      <c r="M31" s="409"/>
      <c r="N31" s="410"/>
      <c r="O31" s="411"/>
      <c r="P31" s="411"/>
      <c r="Q31" s="411"/>
      <c r="R31" s="412"/>
    </row>
    <row r="32" spans="2:26" ht="15" customHeight="1" collapsed="1" x14ac:dyDescent="0.25">
      <c r="B32" s="365"/>
      <c r="C32" s="365"/>
      <c r="D32" s="365"/>
      <c r="E32" s="365"/>
      <c r="F32" s="365"/>
      <c r="G32" s="365"/>
      <c r="H32" s="365"/>
      <c r="I32" s="365"/>
      <c r="K32" s="370"/>
    </row>
    <row r="33" spans="1:26" ht="15" hidden="1" customHeight="1" outlineLevel="1" x14ac:dyDescent="0.25"/>
    <row r="34" spans="1:26" ht="15" hidden="1" customHeight="1" outlineLevel="1" x14ac:dyDescent="0.25"/>
    <row r="35" spans="1:26" ht="15" hidden="1" customHeight="1" outlineLevel="1" x14ac:dyDescent="0.25"/>
    <row r="36" spans="1:26" ht="34.9" customHeight="1" collapsed="1" x14ac:dyDescent="0.25">
      <c r="A36" s="364" t="s">
        <v>442</v>
      </c>
      <c r="B36" s="399" t="s">
        <v>489</v>
      </c>
      <c r="C36" s="399"/>
      <c r="D36" s="399"/>
      <c r="E36" s="399"/>
      <c r="F36" s="399"/>
      <c r="G36" s="399"/>
      <c r="H36" s="399"/>
      <c r="I36" s="399"/>
    </row>
    <row r="37" spans="1:26" ht="19.899999999999999" customHeight="1" x14ac:dyDescent="0.25">
      <c r="B37" s="407" t="s">
        <v>490</v>
      </c>
      <c r="C37" s="407"/>
      <c r="D37" s="407" t="s">
        <v>446</v>
      </c>
      <c r="E37" s="407"/>
      <c r="F37" s="407"/>
      <c r="G37" s="407"/>
      <c r="H37" s="407"/>
      <c r="L37" s="414" t="s">
        <v>490</v>
      </c>
      <c r="M37" s="414"/>
      <c r="N37" s="414" t="s">
        <v>446</v>
      </c>
      <c r="O37" s="414"/>
      <c r="P37" s="414"/>
      <c r="Q37" s="414"/>
      <c r="R37" s="414"/>
    </row>
    <row r="38" spans="1:26" ht="30" customHeight="1" x14ac:dyDescent="0.25">
      <c r="B38" s="404" t="s">
        <v>491</v>
      </c>
      <c r="C38" s="404"/>
      <c r="D38" s="405" t="s">
        <v>492</v>
      </c>
      <c r="E38" s="405"/>
      <c r="F38" s="405"/>
      <c r="G38" s="405"/>
      <c r="H38" s="405"/>
      <c r="L38" s="404" t="s">
        <v>491</v>
      </c>
      <c r="M38" s="404"/>
      <c r="N38" s="405" t="s">
        <v>492</v>
      </c>
      <c r="O38" s="405"/>
      <c r="P38" s="405"/>
      <c r="Q38" s="405"/>
      <c r="R38" s="405"/>
    </row>
    <row r="39" spans="1:26" ht="30" customHeight="1" x14ac:dyDescent="0.25">
      <c r="B39" s="404" t="s">
        <v>493</v>
      </c>
      <c r="C39" s="404"/>
      <c r="D39" s="405" t="s">
        <v>494</v>
      </c>
      <c r="E39" s="405"/>
      <c r="F39" s="405"/>
      <c r="G39" s="405"/>
      <c r="H39" s="405"/>
      <c r="L39" s="404" t="s">
        <v>493</v>
      </c>
      <c r="M39" s="404"/>
      <c r="N39" s="405" t="s">
        <v>494</v>
      </c>
      <c r="O39" s="405"/>
      <c r="P39" s="405"/>
      <c r="Q39" s="405"/>
      <c r="R39" s="405"/>
    </row>
    <row r="40" spans="1:26" ht="30" hidden="1" customHeight="1" outlineLevel="1" x14ac:dyDescent="0.25">
      <c r="B40" s="404" t="s">
        <v>495</v>
      </c>
      <c r="C40" s="404"/>
      <c r="D40" s="405" t="s">
        <v>496</v>
      </c>
      <c r="E40" s="405"/>
      <c r="F40" s="405"/>
      <c r="G40" s="405"/>
      <c r="H40" s="405"/>
      <c r="L40" s="404" t="s">
        <v>495</v>
      </c>
      <c r="M40" s="404"/>
      <c r="N40" s="405" t="s">
        <v>496</v>
      </c>
      <c r="O40" s="405"/>
      <c r="P40" s="405"/>
      <c r="Q40" s="405"/>
      <c r="R40" s="405"/>
    </row>
    <row r="41" spans="1:26" ht="30" hidden="1" customHeight="1" outlineLevel="1" x14ac:dyDescent="0.25">
      <c r="B41" s="404" t="s">
        <v>497</v>
      </c>
      <c r="C41" s="404"/>
      <c r="D41" s="405" t="s">
        <v>498</v>
      </c>
      <c r="E41" s="405"/>
      <c r="F41" s="405"/>
      <c r="G41" s="405"/>
      <c r="H41" s="405"/>
      <c r="L41" s="368" t="s">
        <v>499</v>
      </c>
      <c r="M41" s="369"/>
      <c r="N41" s="410" t="s">
        <v>500</v>
      </c>
      <c r="O41" s="411"/>
      <c r="P41" s="411"/>
      <c r="Q41" s="411"/>
      <c r="R41" s="412"/>
    </row>
    <row r="42" spans="1:26" ht="30" hidden="1" customHeight="1" outlineLevel="1" x14ac:dyDescent="0.25">
      <c r="B42" s="404" t="s">
        <v>501</v>
      </c>
      <c r="C42" s="404"/>
      <c r="D42" s="405" t="s">
        <v>502</v>
      </c>
      <c r="E42" s="405"/>
      <c r="F42" s="405"/>
      <c r="G42" s="405"/>
      <c r="H42" s="405"/>
      <c r="L42" s="368" t="s">
        <v>503</v>
      </c>
      <c r="M42" s="369"/>
      <c r="N42" s="410" t="s">
        <v>504</v>
      </c>
      <c r="O42" s="411"/>
      <c r="P42" s="411"/>
      <c r="Q42" s="411"/>
      <c r="R42" s="412"/>
    </row>
    <row r="43" spans="1:26" ht="30" hidden="1" customHeight="1" outlineLevel="1" x14ac:dyDescent="0.25">
      <c r="B43" s="404"/>
      <c r="C43" s="404"/>
      <c r="D43" s="405"/>
      <c r="E43" s="405"/>
      <c r="F43" s="405"/>
      <c r="G43" s="405"/>
      <c r="H43" s="405"/>
      <c r="L43" s="408" t="s">
        <v>505</v>
      </c>
      <c r="M43" s="409"/>
      <c r="N43" s="410" t="s">
        <v>506</v>
      </c>
      <c r="O43" s="411"/>
      <c r="P43" s="411"/>
      <c r="Q43" s="411"/>
      <c r="R43" s="412"/>
    </row>
    <row r="44" spans="1:26" ht="30" hidden="1" customHeight="1" outlineLevel="1" x14ac:dyDescent="0.25">
      <c r="B44" s="413"/>
      <c r="C44" s="413"/>
      <c r="D44" s="413"/>
      <c r="E44" s="413"/>
      <c r="F44" s="413"/>
      <c r="G44" s="413"/>
      <c r="H44" s="413"/>
      <c r="L44" s="404" t="s">
        <v>497</v>
      </c>
      <c r="M44" s="404"/>
      <c r="N44" s="405" t="s">
        <v>498</v>
      </c>
      <c r="O44" s="405"/>
      <c r="P44" s="405"/>
      <c r="Q44" s="405"/>
      <c r="R44" s="405"/>
    </row>
    <row r="45" spans="1:26" ht="15" customHeight="1" collapsed="1" x14ac:dyDescent="0.25">
      <c r="A45" s="365"/>
      <c r="L45" s="404" t="s">
        <v>501</v>
      </c>
      <c r="M45" s="404"/>
      <c r="N45" s="405" t="s">
        <v>502</v>
      </c>
      <c r="O45" s="405"/>
      <c r="P45" s="405"/>
      <c r="Q45" s="405"/>
      <c r="R45" s="405"/>
      <c r="T45" s="361"/>
      <c r="U45" s="361"/>
      <c r="V45" s="367"/>
      <c r="W45" s="367"/>
      <c r="X45" s="367"/>
      <c r="Y45" s="367"/>
      <c r="Z45" s="367"/>
    </row>
    <row r="46" spans="1:26" ht="19.899999999999999" customHeight="1" x14ac:dyDescent="0.25">
      <c r="A46" s="365" t="s">
        <v>507</v>
      </c>
      <c r="L46" s="363"/>
      <c r="M46" s="371"/>
      <c r="N46" s="406"/>
      <c r="O46" s="406"/>
      <c r="P46" s="406"/>
      <c r="Q46" s="406"/>
      <c r="R46" s="406"/>
      <c r="T46" s="361"/>
      <c r="U46" s="361"/>
      <c r="V46" s="367"/>
      <c r="W46" s="367"/>
      <c r="X46" s="367"/>
      <c r="Y46" s="367"/>
      <c r="Z46" s="367"/>
    </row>
    <row r="47" spans="1:26" ht="19.899999999999999" customHeight="1" x14ac:dyDescent="0.25">
      <c r="B47" s="407" t="s">
        <v>508</v>
      </c>
      <c r="C47" s="407"/>
      <c r="D47" s="407" t="s">
        <v>509</v>
      </c>
      <c r="E47" s="407"/>
      <c r="F47" s="407"/>
      <c r="G47" s="407"/>
      <c r="H47" s="366" t="s">
        <v>152</v>
      </c>
      <c r="M47" s="361"/>
      <c r="N47" s="399"/>
      <c r="O47" s="399"/>
      <c r="P47" s="399"/>
      <c r="Q47" s="399"/>
      <c r="R47" s="399"/>
    </row>
    <row r="48" spans="1:26" ht="15" customHeight="1" x14ac:dyDescent="0.25">
      <c r="B48" s="402" t="s">
        <v>514</v>
      </c>
      <c r="C48" s="403"/>
      <c r="D48" s="402" t="s">
        <v>515</v>
      </c>
      <c r="E48" s="402"/>
      <c r="F48" s="402"/>
      <c r="G48" s="402"/>
      <c r="H48" s="377" t="s">
        <v>516</v>
      </c>
      <c r="L48" s="363"/>
      <c r="M48" s="361"/>
      <c r="N48" s="399"/>
      <c r="O48" s="399"/>
      <c r="P48" s="399"/>
      <c r="Q48" s="399"/>
      <c r="R48" s="399"/>
    </row>
    <row r="49" spans="1:18" ht="15" customHeight="1" x14ac:dyDescent="0.25">
      <c r="B49" s="402" t="s">
        <v>517</v>
      </c>
      <c r="C49" s="403"/>
      <c r="D49" s="402" t="s">
        <v>518</v>
      </c>
      <c r="E49" s="402"/>
      <c r="F49" s="402"/>
      <c r="G49" s="402"/>
      <c r="H49" s="377" t="s">
        <v>516</v>
      </c>
      <c r="L49" s="398"/>
      <c r="M49" s="398"/>
      <c r="N49" s="399"/>
      <c r="O49" s="399"/>
      <c r="P49" s="399"/>
      <c r="Q49" s="399"/>
      <c r="R49" s="399"/>
    </row>
    <row r="50" spans="1:18" ht="15" customHeight="1" x14ac:dyDescent="0.25">
      <c r="B50" s="402" t="s">
        <v>519</v>
      </c>
      <c r="C50" s="403"/>
      <c r="D50" s="402" t="s">
        <v>520</v>
      </c>
      <c r="E50" s="402"/>
      <c r="F50" s="402"/>
      <c r="G50" s="402"/>
      <c r="H50" s="377" t="s">
        <v>516</v>
      </c>
      <c r="L50" s="398"/>
      <c r="M50" s="398"/>
      <c r="N50" s="399"/>
      <c r="O50" s="399"/>
      <c r="P50" s="399"/>
      <c r="Q50" s="399"/>
      <c r="R50" s="399"/>
    </row>
    <row r="51" spans="1:18" ht="15" hidden="1" customHeight="1" outlineLevel="1" x14ac:dyDescent="0.25">
      <c r="B51" s="400"/>
      <c r="C51" s="401"/>
      <c r="D51" s="400"/>
      <c r="E51" s="400"/>
      <c r="F51" s="400"/>
      <c r="G51" s="400"/>
      <c r="H51" s="372"/>
      <c r="L51" s="398"/>
      <c r="M51" s="398"/>
      <c r="N51" s="399"/>
      <c r="O51" s="399"/>
      <c r="P51" s="399"/>
      <c r="Q51" s="399"/>
      <c r="R51" s="399"/>
    </row>
    <row r="52" spans="1:18" ht="15" hidden="1" customHeight="1" outlineLevel="1" x14ac:dyDescent="0.25">
      <c r="B52" s="400"/>
      <c r="C52" s="401"/>
      <c r="D52" s="400"/>
      <c r="E52" s="400"/>
      <c r="F52" s="400"/>
      <c r="G52" s="400"/>
      <c r="H52" s="372"/>
      <c r="L52" s="398"/>
      <c r="M52" s="398"/>
      <c r="N52" s="399"/>
      <c r="O52" s="399"/>
      <c r="P52" s="399"/>
      <c r="Q52" s="399"/>
      <c r="R52" s="399"/>
    </row>
    <row r="53" spans="1:18" ht="15" hidden="1" customHeight="1" outlineLevel="1" x14ac:dyDescent="0.25">
      <c r="B53" s="400"/>
      <c r="C53" s="401"/>
      <c r="D53" s="400"/>
      <c r="E53" s="400"/>
      <c r="F53" s="400"/>
      <c r="G53" s="400"/>
      <c r="H53" s="372"/>
      <c r="L53" s="398"/>
      <c r="M53" s="398"/>
      <c r="N53" s="399"/>
      <c r="O53" s="399"/>
      <c r="P53" s="399"/>
      <c r="Q53" s="399"/>
      <c r="R53" s="399"/>
    </row>
    <row r="54" spans="1:18" ht="15" hidden="1" customHeight="1" outlineLevel="1" x14ac:dyDescent="0.25">
      <c r="B54" s="400"/>
      <c r="C54" s="401"/>
      <c r="D54" s="400"/>
      <c r="E54" s="400"/>
      <c r="F54" s="400"/>
      <c r="G54" s="400"/>
      <c r="H54" s="372"/>
      <c r="L54" s="398"/>
      <c r="M54" s="398"/>
      <c r="N54" s="399"/>
      <c r="O54" s="399"/>
      <c r="P54" s="399"/>
      <c r="Q54" s="399"/>
      <c r="R54" s="399"/>
    </row>
    <row r="55" spans="1:18" ht="15" hidden="1" customHeight="1" outlineLevel="1" x14ac:dyDescent="0.25">
      <c r="B55" s="400"/>
      <c r="C55" s="401"/>
      <c r="D55" s="400"/>
      <c r="E55" s="400"/>
      <c r="F55" s="400"/>
      <c r="G55" s="400"/>
      <c r="H55" s="372"/>
      <c r="L55" s="398"/>
      <c r="M55" s="398"/>
      <c r="N55" s="399"/>
      <c r="O55" s="399"/>
      <c r="P55" s="399"/>
      <c r="Q55" s="399"/>
      <c r="R55" s="399"/>
    </row>
    <row r="56" spans="1:18" ht="15" hidden="1" customHeight="1" outlineLevel="1" x14ac:dyDescent="0.25">
      <c r="B56" s="400"/>
      <c r="C56" s="401"/>
      <c r="D56" s="400"/>
      <c r="E56" s="400"/>
      <c r="F56" s="400"/>
      <c r="G56" s="400"/>
      <c r="H56" s="372"/>
      <c r="L56" s="398"/>
      <c r="M56" s="398"/>
      <c r="N56" s="399"/>
      <c r="O56" s="399"/>
      <c r="P56" s="399"/>
      <c r="Q56" s="399"/>
      <c r="R56" s="399"/>
    </row>
    <row r="57" spans="1:18" ht="15" hidden="1" customHeight="1" outlineLevel="1" x14ac:dyDescent="0.25">
      <c r="B57" s="400"/>
      <c r="C57" s="401"/>
      <c r="D57" s="400"/>
      <c r="E57" s="400"/>
      <c r="F57" s="400"/>
      <c r="G57" s="400"/>
      <c r="H57" s="372"/>
      <c r="L57" s="398"/>
      <c r="M57" s="398"/>
      <c r="N57" s="399"/>
      <c r="O57" s="399"/>
      <c r="P57" s="399"/>
      <c r="Q57" s="399"/>
      <c r="R57" s="399"/>
    </row>
    <row r="58" spans="1:18" ht="15" hidden="1" customHeight="1" outlineLevel="1" x14ac:dyDescent="0.25">
      <c r="B58" s="400"/>
      <c r="C58" s="401"/>
      <c r="D58" s="400"/>
      <c r="E58" s="400"/>
      <c r="F58" s="400"/>
      <c r="G58" s="400"/>
      <c r="H58" s="372"/>
      <c r="L58" s="398"/>
      <c r="M58" s="398"/>
      <c r="N58" s="399"/>
      <c r="O58" s="399"/>
      <c r="P58" s="399"/>
      <c r="Q58" s="399"/>
      <c r="R58" s="399"/>
    </row>
    <row r="59" spans="1:18" ht="15" hidden="1" customHeight="1" outlineLevel="1" x14ac:dyDescent="0.25">
      <c r="B59" s="400"/>
      <c r="C59" s="401"/>
      <c r="D59" s="400"/>
      <c r="E59" s="400"/>
      <c r="F59" s="400"/>
      <c r="G59" s="400"/>
      <c r="H59" s="372"/>
      <c r="L59" s="398"/>
      <c r="M59" s="398"/>
      <c r="N59" s="399"/>
      <c r="O59" s="399"/>
      <c r="P59" s="399"/>
      <c r="Q59" s="399"/>
      <c r="R59" s="399"/>
    </row>
    <row r="60" spans="1:18" ht="15" hidden="1" customHeight="1" outlineLevel="1" x14ac:dyDescent="0.25">
      <c r="B60" s="400"/>
      <c r="C60" s="401"/>
      <c r="D60" s="400"/>
      <c r="E60" s="400"/>
      <c r="F60" s="400"/>
      <c r="G60" s="400"/>
      <c r="H60" s="372"/>
      <c r="L60" s="398"/>
      <c r="M60" s="398"/>
      <c r="N60" s="399"/>
      <c r="O60" s="399"/>
      <c r="P60" s="399"/>
      <c r="Q60" s="399"/>
      <c r="R60" s="399"/>
    </row>
    <row r="61" spans="1:18" s="373" customFormat="1" ht="15" hidden="1" customHeight="1" outlineLevel="1" x14ac:dyDescent="0.2">
      <c r="B61" s="400"/>
      <c r="C61" s="401"/>
      <c r="D61" s="400"/>
      <c r="E61" s="400"/>
      <c r="F61" s="400"/>
      <c r="G61" s="400"/>
      <c r="H61" s="372"/>
      <c r="L61" s="398"/>
      <c r="M61" s="398"/>
      <c r="N61" s="399"/>
      <c r="O61" s="399"/>
      <c r="P61" s="399"/>
      <c r="Q61" s="399"/>
      <c r="R61" s="399"/>
    </row>
    <row r="62" spans="1:18" ht="15" hidden="1" customHeight="1" outlineLevel="1" x14ac:dyDescent="0.25">
      <c r="B62" s="400"/>
      <c r="C62" s="401"/>
      <c r="D62" s="400"/>
      <c r="E62" s="400"/>
      <c r="F62" s="400"/>
      <c r="G62" s="400"/>
      <c r="H62" s="372"/>
      <c r="L62" s="398"/>
      <c r="M62" s="398"/>
      <c r="N62" s="399"/>
      <c r="O62" s="399"/>
      <c r="P62" s="399"/>
      <c r="Q62" s="399"/>
      <c r="R62" s="399"/>
    </row>
    <row r="63" spans="1:18" ht="15" customHeight="1" collapsed="1" x14ac:dyDescent="0.25">
      <c r="L63" s="398"/>
      <c r="M63" s="398"/>
      <c r="N63" s="399"/>
      <c r="O63" s="399"/>
      <c r="P63" s="399"/>
      <c r="Q63" s="399"/>
      <c r="R63" s="399"/>
    </row>
    <row r="64" spans="1:18" x14ac:dyDescent="0.25">
      <c r="A64" s="349" t="s">
        <v>510</v>
      </c>
      <c r="L64" s="398"/>
      <c r="M64" s="398"/>
      <c r="N64" s="399"/>
      <c r="O64" s="399"/>
      <c r="P64" s="399"/>
      <c r="Q64" s="399"/>
      <c r="R64" s="399"/>
    </row>
    <row r="65" spans="1:18" ht="15" customHeight="1" x14ac:dyDescent="0.25">
      <c r="L65" s="398"/>
      <c r="M65" s="398"/>
      <c r="N65" s="399"/>
      <c r="O65" s="399"/>
      <c r="P65" s="399"/>
      <c r="Q65" s="399"/>
      <c r="R65" s="399"/>
    </row>
    <row r="66" spans="1:18" ht="15" customHeight="1" x14ac:dyDescent="0.25">
      <c r="L66" s="398"/>
      <c r="M66" s="398"/>
      <c r="N66" s="399"/>
      <c r="O66" s="399"/>
      <c r="P66" s="399"/>
      <c r="Q66" s="399"/>
      <c r="R66" s="399"/>
    </row>
    <row r="67" spans="1:18" ht="15.75" x14ac:dyDescent="0.25">
      <c r="B67" s="374"/>
      <c r="H67" s="374"/>
      <c r="L67" s="398"/>
      <c r="M67" s="398"/>
      <c r="N67" s="399"/>
      <c r="O67" s="399"/>
      <c r="P67" s="399"/>
      <c r="Q67" s="399"/>
      <c r="R67" s="399"/>
    </row>
    <row r="68" spans="1:18" x14ac:dyDescent="0.25">
      <c r="L68" s="398"/>
      <c r="M68" s="398"/>
      <c r="N68" s="399"/>
      <c r="O68" s="399"/>
      <c r="P68" s="399"/>
      <c r="Q68" s="399"/>
      <c r="R68" s="399"/>
    </row>
    <row r="69" spans="1:18" x14ac:dyDescent="0.25">
      <c r="L69" s="398"/>
      <c r="M69" s="398"/>
      <c r="N69" s="399"/>
      <c r="O69" s="399"/>
      <c r="P69" s="399"/>
      <c r="Q69" s="399"/>
      <c r="R69" s="399"/>
    </row>
    <row r="70" spans="1:18" x14ac:dyDescent="0.25">
      <c r="A70" s="349" t="s">
        <v>511</v>
      </c>
      <c r="C70" s="375" t="s">
        <v>512</v>
      </c>
      <c r="D70" s="376"/>
      <c r="F70" s="349" t="s">
        <v>513</v>
      </c>
      <c r="G70" s="396">
        <f ca="1">TODAY()</f>
        <v>45376</v>
      </c>
      <c r="H70" s="396"/>
      <c r="L70" s="398"/>
      <c r="M70" s="398"/>
      <c r="N70" s="399"/>
      <c r="O70" s="399"/>
      <c r="P70" s="399"/>
      <c r="Q70" s="399"/>
      <c r="R70" s="399"/>
    </row>
    <row r="71" spans="1:18" x14ac:dyDescent="0.25">
      <c r="F71" s="397"/>
      <c r="G71" s="397"/>
      <c r="L71" s="398"/>
      <c r="M71" s="398"/>
      <c r="N71" s="399"/>
      <c r="O71" s="399"/>
      <c r="P71" s="399"/>
      <c r="Q71" s="399"/>
      <c r="R71" s="399"/>
    </row>
    <row r="91" ht="45" customHeight="1" x14ac:dyDescent="0.25"/>
    <row r="92" ht="45" customHeight="1" x14ac:dyDescent="0.25"/>
    <row r="93" ht="45" customHeight="1" x14ac:dyDescent="0.25"/>
    <row r="94" ht="45" customHeight="1" x14ac:dyDescent="0.25"/>
    <row r="95" ht="45" customHeight="1" x14ac:dyDescent="0.25"/>
    <row r="96" ht="45" customHeight="1" x14ac:dyDescent="0.25"/>
    <row r="97" ht="45" customHeight="1" x14ac:dyDescent="0.25"/>
    <row r="98" ht="45" customHeight="1" x14ac:dyDescent="0.25"/>
    <row r="99" ht="45" customHeight="1" x14ac:dyDescent="0.25"/>
    <row r="100" ht="45" customHeight="1" x14ac:dyDescent="0.25"/>
    <row r="101" ht="45" customHeight="1" x14ac:dyDescent="0.25"/>
  </sheetData>
  <mergeCells count="174">
    <mergeCell ref="B17:C17"/>
    <mergeCell ref="D17:H17"/>
    <mergeCell ref="A1:I1"/>
    <mergeCell ref="A2:I2"/>
    <mergeCell ref="L17:M17"/>
    <mergeCell ref="N17:R17"/>
    <mergeCell ref="T17:U17"/>
    <mergeCell ref="V17:Z17"/>
    <mergeCell ref="B18:C18"/>
    <mergeCell ref="D18:H18"/>
    <mergeCell ref="L18:M18"/>
    <mergeCell ref="N18:R18"/>
    <mergeCell ref="T18:U18"/>
    <mergeCell ref="V18:Z18"/>
    <mergeCell ref="M2:N2"/>
    <mergeCell ref="B5:C5"/>
    <mergeCell ref="E5:G5"/>
    <mergeCell ref="B6:C6"/>
    <mergeCell ref="B7:F7"/>
    <mergeCell ref="B8:F8"/>
    <mergeCell ref="A9:I9"/>
    <mergeCell ref="A14:I14"/>
    <mergeCell ref="A15:I15"/>
    <mergeCell ref="B20:C20"/>
    <mergeCell ref="D20:H20"/>
    <mergeCell ref="L20:M20"/>
    <mergeCell ref="N20:R20"/>
    <mergeCell ref="T20:U20"/>
    <mergeCell ref="V20:Z20"/>
    <mergeCell ref="B19:C19"/>
    <mergeCell ref="D19:H19"/>
    <mergeCell ref="L19:M19"/>
    <mergeCell ref="N19:R19"/>
    <mergeCell ref="T19:U19"/>
    <mergeCell ref="V19:Z19"/>
    <mergeCell ref="B22:C22"/>
    <mergeCell ref="D22:H22"/>
    <mergeCell ref="L22:M22"/>
    <mergeCell ref="N22:R22"/>
    <mergeCell ref="T22:U22"/>
    <mergeCell ref="V22:Z22"/>
    <mergeCell ref="B21:C21"/>
    <mergeCell ref="D21:H21"/>
    <mergeCell ref="L21:M21"/>
    <mergeCell ref="N21:R21"/>
    <mergeCell ref="T21:U21"/>
    <mergeCell ref="V21:Z21"/>
    <mergeCell ref="B24:C24"/>
    <mergeCell ref="D24:H24"/>
    <mergeCell ref="L24:M24"/>
    <mergeCell ref="N24:R24"/>
    <mergeCell ref="T24:U24"/>
    <mergeCell ref="V24:Z24"/>
    <mergeCell ref="B23:C23"/>
    <mergeCell ref="D23:H23"/>
    <mergeCell ref="L23:M23"/>
    <mergeCell ref="N23:R23"/>
    <mergeCell ref="T23:U23"/>
    <mergeCell ref="V23:Z23"/>
    <mergeCell ref="B26:C26"/>
    <mergeCell ref="D26:H26"/>
    <mergeCell ref="L26:M26"/>
    <mergeCell ref="N26:R26"/>
    <mergeCell ref="T26:U26"/>
    <mergeCell ref="V26:Z26"/>
    <mergeCell ref="B25:C25"/>
    <mergeCell ref="D25:H25"/>
    <mergeCell ref="L25:M25"/>
    <mergeCell ref="N25:R25"/>
    <mergeCell ref="T25:U25"/>
    <mergeCell ref="V25:Z25"/>
    <mergeCell ref="V28:Z28"/>
    <mergeCell ref="B29:C29"/>
    <mergeCell ref="D29:H29"/>
    <mergeCell ref="L29:M29"/>
    <mergeCell ref="N29:R29"/>
    <mergeCell ref="B27:C27"/>
    <mergeCell ref="D27:H27"/>
    <mergeCell ref="L27:M27"/>
    <mergeCell ref="N27:R27"/>
    <mergeCell ref="B28:C28"/>
    <mergeCell ref="D28:H28"/>
    <mergeCell ref="L28:M28"/>
    <mergeCell ref="N28:R28"/>
    <mergeCell ref="B30:C30"/>
    <mergeCell ref="D30:H30"/>
    <mergeCell ref="L30:M30"/>
    <mergeCell ref="N30:R30"/>
    <mergeCell ref="B31:C31"/>
    <mergeCell ref="D31:H31"/>
    <mergeCell ref="L31:M31"/>
    <mergeCell ref="N31:R31"/>
    <mergeCell ref="T28:U28"/>
    <mergeCell ref="B39:C39"/>
    <mergeCell ref="D39:H39"/>
    <mergeCell ref="L39:M39"/>
    <mergeCell ref="N39:R39"/>
    <mergeCell ref="B40:C40"/>
    <mergeCell ref="D40:H40"/>
    <mergeCell ref="L40:M40"/>
    <mergeCell ref="N40:R40"/>
    <mergeCell ref="B36:I36"/>
    <mergeCell ref="B37:C37"/>
    <mergeCell ref="D37:H37"/>
    <mergeCell ref="L37:M37"/>
    <mergeCell ref="N37:R37"/>
    <mergeCell ref="B38:C38"/>
    <mergeCell ref="D38:H38"/>
    <mergeCell ref="L38:M38"/>
    <mergeCell ref="N38:R38"/>
    <mergeCell ref="B43:C43"/>
    <mergeCell ref="D43:H43"/>
    <mergeCell ref="L43:M43"/>
    <mergeCell ref="N43:R43"/>
    <mergeCell ref="B44:C44"/>
    <mergeCell ref="D44:H44"/>
    <mergeCell ref="L44:M44"/>
    <mergeCell ref="N44:R44"/>
    <mergeCell ref="B41:C41"/>
    <mergeCell ref="D41:H41"/>
    <mergeCell ref="N41:R41"/>
    <mergeCell ref="B42:C42"/>
    <mergeCell ref="D42:H42"/>
    <mergeCell ref="N42:R42"/>
    <mergeCell ref="B49:C49"/>
    <mergeCell ref="D49:G49"/>
    <mergeCell ref="L49:M50"/>
    <mergeCell ref="N49:R50"/>
    <mergeCell ref="B50:C50"/>
    <mergeCell ref="D50:G50"/>
    <mergeCell ref="L45:M45"/>
    <mergeCell ref="N45:R45"/>
    <mergeCell ref="N46:R46"/>
    <mergeCell ref="B47:C47"/>
    <mergeCell ref="D47:G47"/>
    <mergeCell ref="N47:R48"/>
    <mergeCell ref="B48:C48"/>
    <mergeCell ref="D48:G48"/>
    <mergeCell ref="B51:C51"/>
    <mergeCell ref="D51:G51"/>
    <mergeCell ref="L51:M60"/>
    <mergeCell ref="N51:R60"/>
    <mergeCell ref="B52:C52"/>
    <mergeCell ref="D52:G52"/>
    <mergeCell ref="B53:C53"/>
    <mergeCell ref="D53:G53"/>
    <mergeCell ref="B54:C54"/>
    <mergeCell ref="D54:G54"/>
    <mergeCell ref="B58:C58"/>
    <mergeCell ref="D58:G58"/>
    <mergeCell ref="B59:C59"/>
    <mergeCell ref="D59:G59"/>
    <mergeCell ref="B60:C60"/>
    <mergeCell ref="D60:G60"/>
    <mergeCell ref="B55:C55"/>
    <mergeCell ref="D55:G55"/>
    <mergeCell ref="B56:C56"/>
    <mergeCell ref="D56:G56"/>
    <mergeCell ref="B57:C57"/>
    <mergeCell ref="D57:G57"/>
    <mergeCell ref="G70:H70"/>
    <mergeCell ref="F71:G71"/>
    <mergeCell ref="L64:M67"/>
    <mergeCell ref="N64:R67"/>
    <mergeCell ref="L68:M68"/>
    <mergeCell ref="N68:R68"/>
    <mergeCell ref="L69:M71"/>
    <mergeCell ref="N69:R71"/>
    <mergeCell ref="B61:C61"/>
    <mergeCell ref="D61:G61"/>
    <mergeCell ref="L61:M63"/>
    <mergeCell ref="N61:R63"/>
    <mergeCell ref="B62:C62"/>
    <mergeCell ref="D62:G62"/>
  </mergeCells>
  <printOptions horizontalCentered="1"/>
  <pageMargins left="0.59055118110236227" right="0.59055118110236227" top="1.5748031496062993" bottom="0.74803149606299213" header="0.31496062992125984" footer="0.31496062992125984"/>
  <pageSetup paperSize="9" orientation="portrait" r:id="rId1"/>
  <headerFooter>
    <oddHeader xml:space="preserve">&amp;L&amp;G&amp;R&amp;"-,Bold"ABN&amp;"-,Regular": 366 2772 4029
&amp;"-,Bold"A&amp;"-,Regular": Suite 802, 299 Sussex St, Sydney    
&amp;"-,Bold"E: &amp;"-,Regular"admin@pcen.com.au
&amp;"-,Bold"W: &amp;"-,Regular"www.pcen.com.au
&amp;"-,Bold"M: &amp;"-,Regular"0426 076 689             </oddHeader>
    <oddFooter>&amp;LPremium Consulting Engineers&amp;CMechanical Design Certificate&amp;RPage &amp;P of &amp;N</oddFooter>
  </headerFooter>
  <rowBreaks count="1" manualBreakCount="1">
    <brk id="25" max="8" man="1"/>
  </rowBreaks>
  <drawing r:id="rId2"/>
  <legacyDrawingHF r:id="rId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FDA8B34-1AC0-4AA6-89B3-50750C6D6BBF}">
  <dimension ref="A1:T71"/>
  <sheetViews>
    <sheetView view="pageBreakPreview" zoomScale="115" zoomScaleNormal="115" zoomScaleSheetLayoutView="115" workbookViewId="0">
      <selection activeCell="L9" sqref="L9"/>
    </sheetView>
  </sheetViews>
  <sheetFormatPr defaultRowHeight="15" x14ac:dyDescent="0.25"/>
  <cols>
    <col min="1" max="1" width="4.7109375" style="349" customWidth="1"/>
    <col min="2" max="8" width="11.28515625" style="349" customWidth="1"/>
    <col min="9" max="9" width="4.7109375" style="349" customWidth="1"/>
    <col min="10" max="11" width="9.140625" style="349"/>
    <col min="12" max="18" width="10.7109375" style="349" customWidth="1"/>
    <col min="19" max="19" width="11.7109375" style="349" customWidth="1"/>
    <col min="20" max="26" width="10.7109375" style="349" customWidth="1"/>
    <col min="27" max="16384" width="9.140625" style="349"/>
  </cols>
  <sheetData>
    <row r="1" spans="1:20" ht="31.5" x14ac:dyDescent="0.25">
      <c r="A1" s="420" t="s">
        <v>521</v>
      </c>
      <c r="B1" s="420"/>
      <c r="C1" s="420"/>
      <c r="D1" s="420"/>
      <c r="E1" s="420"/>
      <c r="F1" s="420"/>
      <c r="G1" s="420"/>
      <c r="H1" s="420"/>
      <c r="I1" s="420"/>
      <c r="L1" s="350"/>
      <c r="M1" s="350"/>
      <c r="N1" s="350"/>
      <c r="O1" s="350"/>
      <c r="P1" s="350"/>
      <c r="Q1" s="350"/>
      <c r="R1" s="350"/>
      <c r="T1" s="351"/>
    </row>
    <row r="2" spans="1:20" ht="19.899999999999999" customHeight="1" x14ac:dyDescent="0.35">
      <c r="A2" s="421"/>
      <c r="B2" s="421"/>
      <c r="C2" s="421"/>
      <c r="D2" s="421"/>
      <c r="E2" s="421"/>
      <c r="F2" s="421"/>
      <c r="G2" s="421"/>
      <c r="H2" s="421"/>
      <c r="I2" s="421"/>
      <c r="L2" s="352"/>
      <c r="M2" s="423"/>
      <c r="N2" s="423"/>
      <c r="O2" s="352"/>
      <c r="P2" s="352"/>
      <c r="Q2" s="352"/>
      <c r="R2" s="352"/>
      <c r="T2" s="353"/>
    </row>
    <row r="3" spans="1:20" ht="15" customHeight="1" x14ac:dyDescent="0.25">
      <c r="C3" s="352"/>
      <c r="D3" s="352"/>
      <c r="E3" s="352"/>
      <c r="F3" s="352"/>
      <c r="G3" s="352"/>
      <c r="H3" s="352"/>
      <c r="M3" s="352"/>
      <c r="N3" s="352"/>
      <c r="O3" s="352"/>
      <c r="P3" s="352"/>
      <c r="Q3" s="352"/>
      <c r="R3" s="352"/>
    </row>
    <row r="4" spans="1:20" ht="15" customHeight="1" x14ac:dyDescent="0.25">
      <c r="A4" s="354" t="s">
        <v>522</v>
      </c>
      <c r="B4" s="354"/>
      <c r="C4" s="354"/>
      <c r="D4" s="354"/>
      <c r="E4" s="354"/>
      <c r="F4" s="354"/>
      <c r="G4" s="354"/>
      <c r="H4" s="354"/>
      <c r="I4" s="354"/>
      <c r="L4" s="354"/>
      <c r="M4" s="354"/>
      <c r="N4" s="354"/>
      <c r="O4" s="354"/>
      <c r="P4" s="354"/>
      <c r="Q4" s="354"/>
      <c r="R4" s="354"/>
    </row>
    <row r="5" spans="1:20" ht="15" customHeight="1" x14ac:dyDescent="0.25">
      <c r="A5" s="349" t="s">
        <v>428</v>
      </c>
      <c r="B5" s="424" t="s">
        <v>429</v>
      </c>
      <c r="C5" s="424"/>
      <c r="D5" s="353" t="s">
        <v>430</v>
      </c>
      <c r="E5" s="424" t="s">
        <v>431</v>
      </c>
      <c r="F5" s="424"/>
      <c r="G5" s="424"/>
      <c r="I5" s="355"/>
      <c r="N5" s="353"/>
    </row>
    <row r="6" spans="1:20" ht="15" customHeight="1" x14ac:dyDescent="0.25">
      <c r="B6" s="425" t="s">
        <v>432</v>
      </c>
      <c r="C6" s="425"/>
      <c r="E6" s="356" t="s">
        <v>433</v>
      </c>
      <c r="F6" s="356"/>
      <c r="G6" s="356"/>
      <c r="L6" s="357"/>
      <c r="M6" s="357"/>
      <c r="O6" s="357"/>
      <c r="P6" s="357"/>
      <c r="Q6" s="357"/>
    </row>
    <row r="7" spans="1:20" ht="15" customHeight="1" x14ac:dyDescent="0.25">
      <c r="B7" s="424" t="s">
        <v>434</v>
      </c>
      <c r="C7" s="424"/>
      <c r="D7" s="424"/>
      <c r="E7" s="424"/>
      <c r="F7" s="424"/>
      <c r="G7" s="353"/>
      <c r="Q7" s="353"/>
    </row>
    <row r="8" spans="1:20" ht="15" customHeight="1" x14ac:dyDescent="0.25">
      <c r="B8" s="426" t="s">
        <v>435</v>
      </c>
      <c r="C8" s="426"/>
      <c r="D8" s="426"/>
      <c r="E8" s="426"/>
      <c r="F8" s="426"/>
      <c r="L8" s="358"/>
      <c r="M8" s="358"/>
      <c r="N8" s="358"/>
      <c r="O8" s="358"/>
      <c r="P8" s="358"/>
    </row>
    <row r="9" spans="1:20" ht="15" customHeight="1" x14ac:dyDescent="0.25">
      <c r="A9" s="427" t="s">
        <v>436</v>
      </c>
      <c r="B9" s="427"/>
      <c r="C9" s="427"/>
      <c r="D9" s="427"/>
      <c r="E9" s="427"/>
      <c r="F9" s="427"/>
      <c r="G9" s="427"/>
      <c r="H9" s="427"/>
      <c r="I9" s="427"/>
    </row>
    <row r="10" spans="1:20" ht="15" customHeight="1" x14ac:dyDescent="0.25">
      <c r="B10" s="359" t="s">
        <v>437</v>
      </c>
      <c r="C10" s="360"/>
      <c r="D10" s="360"/>
      <c r="E10" s="360"/>
      <c r="F10" s="360"/>
      <c r="G10" s="360"/>
      <c r="H10" s="360"/>
      <c r="I10" s="361"/>
      <c r="T10" s="353"/>
    </row>
    <row r="11" spans="1:20" ht="15" customHeight="1" x14ac:dyDescent="0.25">
      <c r="B11" s="362" t="s">
        <v>438</v>
      </c>
      <c r="C11" s="362"/>
      <c r="D11" s="362"/>
      <c r="E11" s="362"/>
      <c r="F11" s="362"/>
      <c r="G11" s="362"/>
      <c r="H11" s="362"/>
      <c r="I11" s="363"/>
    </row>
    <row r="12" spans="1:20" ht="15" customHeight="1" x14ac:dyDescent="0.25">
      <c r="B12" s="362" t="s">
        <v>439</v>
      </c>
      <c r="C12" s="362"/>
      <c r="D12" s="362"/>
      <c r="E12" s="362"/>
      <c r="F12" s="362"/>
      <c r="G12" s="362"/>
      <c r="H12" s="362"/>
      <c r="I12" s="363"/>
    </row>
    <row r="13" spans="1:20" ht="15" customHeight="1" x14ac:dyDescent="0.25"/>
    <row r="14" spans="1:20" ht="15" customHeight="1" x14ac:dyDescent="0.25">
      <c r="A14" s="428" t="s">
        <v>440</v>
      </c>
      <c r="B14" s="428"/>
      <c r="C14" s="428"/>
      <c r="D14" s="428"/>
      <c r="E14" s="428"/>
      <c r="F14" s="428"/>
      <c r="G14" s="428"/>
      <c r="H14" s="428"/>
      <c r="I14" s="428"/>
    </row>
    <row r="15" spans="1:20" ht="15" customHeight="1" x14ac:dyDescent="0.25">
      <c r="A15" s="431" t="s">
        <v>524</v>
      </c>
      <c r="B15" s="399"/>
      <c r="C15" s="399"/>
      <c r="D15" s="399"/>
      <c r="E15" s="399"/>
      <c r="F15" s="399"/>
      <c r="G15" s="399"/>
      <c r="H15" s="399"/>
      <c r="I15" s="399"/>
    </row>
    <row r="16" spans="1:20" ht="15" customHeight="1" x14ac:dyDescent="0.25">
      <c r="A16" s="399"/>
      <c r="B16" s="399"/>
      <c r="C16" s="399"/>
      <c r="D16" s="399"/>
      <c r="E16" s="399"/>
      <c r="F16" s="399"/>
      <c r="G16" s="399"/>
      <c r="H16" s="399"/>
      <c r="I16" s="399"/>
    </row>
    <row r="17" spans="1:9" ht="15" customHeight="1" x14ac:dyDescent="0.25">
      <c r="A17" s="399"/>
      <c r="B17" s="399"/>
      <c r="C17" s="399"/>
      <c r="D17" s="399"/>
      <c r="E17" s="399"/>
      <c r="F17" s="399"/>
      <c r="G17" s="399"/>
      <c r="H17" s="399"/>
      <c r="I17" s="399"/>
    </row>
    <row r="18" spans="1:9" ht="15" customHeight="1" x14ac:dyDescent="0.25">
      <c r="A18" s="399"/>
      <c r="B18" s="399"/>
      <c r="C18" s="399"/>
      <c r="D18" s="399"/>
      <c r="E18" s="399"/>
      <c r="F18" s="399"/>
      <c r="G18" s="399"/>
      <c r="H18" s="399"/>
      <c r="I18" s="399"/>
    </row>
    <row r="19" spans="1:9" ht="15" customHeight="1" x14ac:dyDescent="0.25">
      <c r="A19" s="399" t="s">
        <v>523</v>
      </c>
      <c r="B19" s="399"/>
      <c r="C19" s="399"/>
      <c r="D19" s="399"/>
      <c r="E19" s="399"/>
      <c r="F19" s="399"/>
      <c r="G19" s="399"/>
      <c r="H19" s="399"/>
      <c r="I19" s="399"/>
    </row>
    <row r="20" spans="1:9" ht="15" customHeight="1" x14ac:dyDescent="0.25">
      <c r="A20" s="399"/>
      <c r="B20" s="399"/>
      <c r="C20" s="399"/>
      <c r="D20" s="399"/>
      <c r="E20" s="399"/>
      <c r="F20" s="399"/>
      <c r="G20" s="399"/>
      <c r="H20" s="399"/>
      <c r="I20" s="399"/>
    </row>
    <row r="21" spans="1:9" ht="15" customHeight="1" x14ac:dyDescent="0.25">
      <c r="A21" s="399"/>
      <c r="B21" s="399"/>
      <c r="C21" s="399"/>
      <c r="D21" s="399"/>
      <c r="E21" s="399"/>
      <c r="F21" s="399"/>
      <c r="G21" s="399"/>
      <c r="H21" s="399"/>
      <c r="I21" s="399"/>
    </row>
    <row r="22" spans="1:9" ht="15" customHeight="1" x14ac:dyDescent="0.25">
      <c r="A22" s="399"/>
      <c r="B22" s="399"/>
      <c r="C22" s="399"/>
      <c r="D22" s="399"/>
      <c r="E22" s="399"/>
      <c r="F22" s="399"/>
      <c r="G22" s="399"/>
      <c r="H22" s="399"/>
      <c r="I22" s="399"/>
    </row>
    <row r="23" spans="1:9" ht="15" customHeight="1" x14ac:dyDescent="0.25">
      <c r="A23" s="363"/>
      <c r="B23" s="363"/>
      <c r="C23" s="363"/>
      <c r="D23" s="363"/>
      <c r="E23" s="363"/>
      <c r="F23" s="363"/>
      <c r="G23" s="363"/>
      <c r="H23" s="363"/>
      <c r="I23" s="363"/>
    </row>
    <row r="24" spans="1:9" ht="15" customHeight="1" x14ac:dyDescent="0.25">
      <c r="A24" s="365" t="s">
        <v>507</v>
      </c>
      <c r="I24" s="363"/>
    </row>
    <row r="25" spans="1:9" ht="15" customHeight="1" x14ac:dyDescent="0.25">
      <c r="B25" s="434" t="s">
        <v>508</v>
      </c>
      <c r="C25" s="434"/>
      <c r="D25" s="434" t="s">
        <v>509</v>
      </c>
      <c r="E25" s="434"/>
      <c r="F25" s="434"/>
      <c r="G25" s="434"/>
      <c r="H25" s="379" t="s">
        <v>152</v>
      </c>
      <c r="I25" s="363"/>
    </row>
    <row r="26" spans="1:9" ht="15" customHeight="1" x14ac:dyDescent="0.25">
      <c r="B26" s="432" t="s">
        <v>514</v>
      </c>
      <c r="C26" s="433"/>
      <c r="D26" s="432" t="s">
        <v>515</v>
      </c>
      <c r="E26" s="432"/>
      <c r="F26" s="432"/>
      <c r="G26" s="432"/>
      <c r="H26" s="378" t="s">
        <v>516</v>
      </c>
      <c r="I26" s="363"/>
    </row>
    <row r="27" spans="1:9" ht="15" customHeight="1" x14ac:dyDescent="0.25">
      <c r="B27" s="432" t="s">
        <v>517</v>
      </c>
      <c r="C27" s="433"/>
      <c r="D27" s="432" t="s">
        <v>518</v>
      </c>
      <c r="E27" s="432"/>
      <c r="F27" s="432"/>
      <c r="G27" s="432"/>
      <c r="H27" s="378" t="s">
        <v>516</v>
      </c>
      <c r="I27" s="363"/>
    </row>
    <row r="28" spans="1:9" ht="15" customHeight="1" x14ac:dyDescent="0.25">
      <c r="B28" s="432" t="s">
        <v>519</v>
      </c>
      <c r="C28" s="433"/>
      <c r="D28" s="432" t="s">
        <v>520</v>
      </c>
      <c r="E28" s="432"/>
      <c r="F28" s="432"/>
      <c r="G28" s="432"/>
      <c r="H28" s="378" t="s">
        <v>516</v>
      </c>
      <c r="I28" s="363"/>
    </row>
    <row r="29" spans="1:9" ht="15" customHeight="1" x14ac:dyDescent="0.25">
      <c r="A29" s="363"/>
      <c r="B29" s="429"/>
      <c r="C29" s="430"/>
      <c r="D29" s="429"/>
      <c r="E29" s="429"/>
      <c r="F29" s="429"/>
      <c r="G29" s="429"/>
      <c r="H29" s="380"/>
      <c r="I29" s="363"/>
    </row>
    <row r="30" spans="1:9" ht="15" customHeight="1" x14ac:dyDescent="0.25">
      <c r="B30" s="429"/>
      <c r="C30" s="430"/>
      <c r="D30" s="429"/>
      <c r="E30" s="429"/>
      <c r="F30" s="429"/>
      <c r="G30" s="429"/>
      <c r="H30" s="380"/>
      <c r="I30" s="363"/>
    </row>
    <row r="31" spans="1:9" ht="15" customHeight="1" x14ac:dyDescent="0.25">
      <c r="A31" s="363"/>
      <c r="B31" s="429"/>
      <c r="C31" s="430"/>
      <c r="D31" s="429"/>
      <c r="E31" s="429"/>
      <c r="F31" s="429"/>
      <c r="G31" s="429"/>
      <c r="H31" s="380"/>
      <c r="I31" s="363"/>
    </row>
    <row r="32" spans="1:9" x14ac:dyDescent="0.25">
      <c r="A32" s="363"/>
      <c r="B32" s="429"/>
      <c r="C32" s="430"/>
      <c r="D32" s="429"/>
      <c r="E32" s="429"/>
      <c r="F32" s="429"/>
      <c r="G32" s="429"/>
      <c r="H32" s="380"/>
      <c r="I32" s="363"/>
    </row>
    <row r="33" spans="1:18" ht="15" customHeight="1" x14ac:dyDescent="0.25">
      <c r="B33" s="429"/>
      <c r="C33" s="430"/>
      <c r="D33" s="429"/>
      <c r="E33" s="429"/>
      <c r="F33" s="429"/>
      <c r="G33" s="429"/>
      <c r="H33" s="380"/>
      <c r="L33" s="398"/>
      <c r="M33" s="398"/>
      <c r="N33" s="399"/>
      <c r="O33" s="399"/>
      <c r="P33" s="399"/>
      <c r="Q33" s="399"/>
      <c r="R33" s="399"/>
    </row>
    <row r="34" spans="1:18" x14ac:dyDescent="0.25">
      <c r="A34" s="349" t="s">
        <v>510</v>
      </c>
      <c r="L34" s="398"/>
      <c r="M34" s="398"/>
      <c r="N34" s="399"/>
      <c r="O34" s="399"/>
      <c r="P34" s="399"/>
      <c r="Q34" s="399"/>
      <c r="R34" s="399"/>
    </row>
    <row r="35" spans="1:18" ht="15" customHeight="1" x14ac:dyDescent="0.25">
      <c r="L35" s="398"/>
      <c r="M35" s="398"/>
      <c r="N35" s="399"/>
      <c r="O35" s="399"/>
      <c r="P35" s="399"/>
      <c r="Q35" s="399"/>
      <c r="R35" s="399"/>
    </row>
    <row r="36" spans="1:18" ht="15" customHeight="1" x14ac:dyDescent="0.25">
      <c r="L36" s="398"/>
      <c r="M36" s="398"/>
      <c r="N36" s="399"/>
      <c r="O36" s="399"/>
      <c r="P36" s="399"/>
      <c r="Q36" s="399"/>
      <c r="R36" s="399"/>
    </row>
    <row r="37" spans="1:18" ht="15.75" x14ac:dyDescent="0.25">
      <c r="B37" s="374"/>
      <c r="H37" s="374"/>
      <c r="L37" s="398"/>
      <c r="M37" s="398"/>
      <c r="N37" s="399"/>
      <c r="O37" s="399"/>
      <c r="P37" s="399"/>
      <c r="Q37" s="399"/>
      <c r="R37" s="399"/>
    </row>
    <row r="38" spans="1:18" x14ac:dyDescent="0.25">
      <c r="L38" s="398"/>
      <c r="M38" s="398"/>
      <c r="N38" s="399"/>
      <c r="O38" s="399"/>
      <c r="P38" s="399"/>
      <c r="Q38" s="399"/>
      <c r="R38" s="399"/>
    </row>
    <row r="39" spans="1:18" x14ac:dyDescent="0.25">
      <c r="L39" s="398"/>
      <c r="M39" s="398"/>
      <c r="N39" s="399"/>
      <c r="O39" s="399"/>
      <c r="P39" s="399"/>
      <c r="Q39" s="399"/>
      <c r="R39" s="399"/>
    </row>
    <row r="40" spans="1:18" x14ac:dyDescent="0.25">
      <c r="A40" s="349" t="s">
        <v>511</v>
      </c>
      <c r="C40" s="375" t="s">
        <v>512</v>
      </c>
      <c r="D40" s="376"/>
      <c r="F40" s="349" t="s">
        <v>513</v>
      </c>
      <c r="G40" s="396">
        <f ca="1">TODAY()</f>
        <v>45376</v>
      </c>
      <c r="H40" s="396"/>
      <c r="L40" s="398"/>
      <c r="M40" s="398"/>
      <c r="N40" s="399"/>
      <c r="O40" s="399"/>
      <c r="P40" s="399"/>
      <c r="Q40" s="399"/>
      <c r="R40" s="399"/>
    </row>
    <row r="41" spans="1:18" x14ac:dyDescent="0.25">
      <c r="F41" s="397"/>
      <c r="G41" s="397"/>
      <c r="L41" s="398"/>
      <c r="M41" s="398"/>
      <c r="N41" s="399"/>
      <c r="O41" s="399"/>
      <c r="P41" s="399"/>
      <c r="Q41" s="399"/>
      <c r="R41" s="399"/>
    </row>
    <row r="61" ht="45" customHeight="1" x14ac:dyDescent="0.25"/>
    <row r="62" ht="45" customHeight="1" x14ac:dyDescent="0.25"/>
    <row r="63" ht="45" customHeight="1" x14ac:dyDescent="0.25"/>
    <row r="64" ht="45" customHeight="1" x14ac:dyDescent="0.25"/>
    <row r="65" ht="45" customHeight="1" x14ac:dyDescent="0.25"/>
    <row r="66" ht="45" customHeight="1" x14ac:dyDescent="0.25"/>
    <row r="67" ht="45" customHeight="1" x14ac:dyDescent="0.25"/>
    <row r="68" ht="45" customHeight="1" x14ac:dyDescent="0.25"/>
    <row r="69" ht="45" customHeight="1" x14ac:dyDescent="0.25"/>
    <row r="70" ht="45" customHeight="1" x14ac:dyDescent="0.25"/>
    <row r="71" ht="45" customHeight="1" x14ac:dyDescent="0.25"/>
  </sheetData>
  <mergeCells count="40">
    <mergeCell ref="B26:C26"/>
    <mergeCell ref="D26:G26"/>
    <mergeCell ref="B25:C25"/>
    <mergeCell ref="D25:G25"/>
    <mergeCell ref="B31:C31"/>
    <mergeCell ref="D31:G31"/>
    <mergeCell ref="B27:C27"/>
    <mergeCell ref="D27:G27"/>
    <mergeCell ref="B28:C28"/>
    <mergeCell ref="D28:G28"/>
    <mergeCell ref="B29:C29"/>
    <mergeCell ref="D29:G29"/>
    <mergeCell ref="B30:C30"/>
    <mergeCell ref="D30:G30"/>
    <mergeCell ref="A19:I22"/>
    <mergeCell ref="A1:I1"/>
    <mergeCell ref="A2:I2"/>
    <mergeCell ref="M2:N2"/>
    <mergeCell ref="B5:C5"/>
    <mergeCell ref="E5:G5"/>
    <mergeCell ref="B6:C6"/>
    <mergeCell ref="B7:F7"/>
    <mergeCell ref="B8:F8"/>
    <mergeCell ref="A9:I9"/>
    <mergeCell ref="A14:I14"/>
    <mergeCell ref="A15:I18"/>
    <mergeCell ref="L33:M33"/>
    <mergeCell ref="N33:R33"/>
    <mergeCell ref="L34:M37"/>
    <mergeCell ref="N34:R37"/>
    <mergeCell ref="B32:C32"/>
    <mergeCell ref="D32:G32"/>
    <mergeCell ref="B33:C33"/>
    <mergeCell ref="D33:G33"/>
    <mergeCell ref="L38:M38"/>
    <mergeCell ref="N38:R38"/>
    <mergeCell ref="L39:M41"/>
    <mergeCell ref="N39:R41"/>
    <mergeCell ref="G40:H40"/>
    <mergeCell ref="F41:G41"/>
  </mergeCells>
  <printOptions horizontalCentered="1"/>
  <pageMargins left="0.59055118110236227" right="0.59055118110236227" top="1.5748031496062993" bottom="0.74803149606299213" header="0.31496062992125984" footer="0.31496062992125984"/>
  <pageSetup paperSize="9" orientation="portrait" r:id="rId1"/>
  <headerFooter>
    <oddHeader xml:space="preserve">&amp;L&amp;G&amp;R&amp;"-,Bold"ABN: &amp;"-,Regular"366 2772 4029
&amp;"-,Bold"A:&amp;"-,Regular" Suite 802, 299 Sussex St, Sydney    
&amp;"-,Bold"E: &amp;"-,Regular"admin@pcen.com.au
&amp;"-,Bold"W: &amp;"-,Regular"www.pcen.com.au
&amp;"-,Bold"M: &amp;"-,Regular"0426 076 689             </oddHeader>
    <oddFooter>&amp;LPremium Consulting Engineers&amp;CMechanical Design Compliance Certificate&amp;RPage &amp;P of &amp;N</oddFooter>
  </headerFooter>
  <drawing r:id="rId2"/>
  <legacyDrawingHF r:id="rId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D8A2512-F2B5-4895-8B01-115F3125EA44}">
  <dimension ref="A2:R116"/>
  <sheetViews>
    <sheetView view="pageBreakPreview" zoomScale="145" zoomScaleNormal="70" zoomScaleSheetLayoutView="145" workbookViewId="0">
      <pane ySplit="5" topLeftCell="A6" activePane="bottomLeft" state="frozen"/>
      <selection pane="bottomLeft" activeCell="F10" sqref="F10"/>
    </sheetView>
  </sheetViews>
  <sheetFormatPr defaultColWidth="9.140625" defaultRowHeight="12.75" outlineLevelRow="1" x14ac:dyDescent="0.2"/>
  <cols>
    <col min="1" max="1" width="18.28515625" style="59" bestFit="1" customWidth="1"/>
    <col min="2" max="2" width="10.28515625" style="59" bestFit="1" customWidth="1"/>
    <col min="3" max="3" width="11.42578125" style="60" bestFit="1" customWidth="1"/>
    <col min="4" max="4" width="7.7109375" style="61" bestFit="1" customWidth="1"/>
    <col min="5" max="5" width="8.42578125" style="62" bestFit="1" customWidth="1"/>
    <col min="6" max="6" width="11.140625" style="61" bestFit="1" customWidth="1"/>
    <col min="7" max="7" width="8.7109375" style="62" customWidth="1"/>
    <col min="8" max="8" width="18.140625" style="62" bestFit="1" customWidth="1"/>
    <col min="9" max="9" width="8.42578125" style="59" bestFit="1" customWidth="1"/>
    <col min="10" max="10" width="8.28515625" style="59" bestFit="1" customWidth="1"/>
    <col min="11" max="11" width="10.7109375" style="59" customWidth="1"/>
    <col min="12" max="12" width="9.140625" style="63" bestFit="1" customWidth="1"/>
    <col min="13" max="13" width="9.42578125" style="64" bestFit="1" customWidth="1"/>
    <col min="14" max="14" width="8.5703125" style="23" bestFit="1" customWidth="1"/>
    <col min="15" max="15" width="9.85546875" style="23" bestFit="1" customWidth="1"/>
    <col min="16" max="17" width="9.140625" style="23"/>
    <col min="18" max="18" width="9.28515625" style="64" customWidth="1"/>
    <col min="19" max="19" width="9.140625" style="23"/>
    <col min="20" max="20" width="13.140625" style="23" customWidth="1"/>
    <col min="21" max="21" width="24.28515625" style="23" bestFit="1" customWidth="1"/>
    <col min="22" max="22" width="8" style="23" bestFit="1" customWidth="1"/>
    <col min="23" max="23" width="17.28515625" style="23" bestFit="1" customWidth="1"/>
    <col min="24" max="27" width="20.7109375" style="23" customWidth="1"/>
    <col min="28" max="16384" width="9.140625" style="23"/>
  </cols>
  <sheetData>
    <row r="2" spans="1:18" x14ac:dyDescent="0.2">
      <c r="A2" s="23"/>
      <c r="R2" s="23"/>
    </row>
    <row r="3" spans="1:18" x14ac:dyDescent="0.2">
      <c r="A3" s="437" t="s">
        <v>253</v>
      </c>
      <c r="B3" s="437"/>
      <c r="C3" s="437"/>
      <c r="D3" s="437"/>
      <c r="E3" s="437"/>
      <c r="F3" s="437"/>
      <c r="H3" s="437" t="s">
        <v>270</v>
      </c>
      <c r="I3" s="437"/>
      <c r="J3" s="437"/>
      <c r="K3" s="63"/>
      <c r="L3" s="437" t="s">
        <v>291</v>
      </c>
      <c r="M3" s="437"/>
      <c r="N3" s="437"/>
      <c r="O3" s="437"/>
      <c r="R3" s="23"/>
    </row>
    <row r="4" spans="1:18" ht="38.25" x14ac:dyDescent="0.2">
      <c r="A4" s="94" t="s">
        <v>48</v>
      </c>
      <c r="B4" s="95" t="s">
        <v>76</v>
      </c>
      <c r="C4" s="96" t="s">
        <v>50</v>
      </c>
      <c r="D4" s="97" t="s">
        <v>255</v>
      </c>
      <c r="E4" s="94" t="s">
        <v>256</v>
      </c>
      <c r="F4" s="94" t="s">
        <v>257</v>
      </c>
      <c r="H4" s="94" t="s">
        <v>290</v>
      </c>
      <c r="I4" s="94" t="s">
        <v>271</v>
      </c>
      <c r="J4" s="94" t="s">
        <v>272</v>
      </c>
      <c r="K4" s="62"/>
      <c r="L4" s="94" t="s">
        <v>289</v>
      </c>
      <c r="M4" s="95" t="s">
        <v>258</v>
      </c>
      <c r="N4" s="94" t="s">
        <v>260</v>
      </c>
      <c r="O4" s="94" t="s">
        <v>287</v>
      </c>
    </row>
    <row r="5" spans="1:18" ht="15" x14ac:dyDescent="0.2">
      <c r="A5" s="69"/>
      <c r="B5" s="69"/>
      <c r="C5" s="70" t="s">
        <v>292</v>
      </c>
      <c r="D5" s="68" t="s">
        <v>52</v>
      </c>
      <c r="E5" s="71" t="s">
        <v>52</v>
      </c>
      <c r="F5" s="68" t="s">
        <v>107</v>
      </c>
      <c r="G5" s="23"/>
      <c r="H5" s="69"/>
      <c r="I5" s="71" t="s">
        <v>52</v>
      </c>
      <c r="J5" s="92" t="s">
        <v>107</v>
      </c>
      <c r="K5" s="249"/>
      <c r="L5" s="92" t="s">
        <v>107</v>
      </c>
      <c r="M5" s="71" t="s">
        <v>259</v>
      </c>
      <c r="N5" s="71" t="s">
        <v>107</v>
      </c>
      <c r="O5" s="71" t="s">
        <v>107</v>
      </c>
    </row>
    <row r="6" spans="1:18" x14ac:dyDescent="0.2">
      <c r="A6" s="435" t="s">
        <v>319</v>
      </c>
      <c r="B6" s="436"/>
      <c r="C6" s="436"/>
      <c r="D6" s="436"/>
      <c r="E6" s="436"/>
      <c r="F6" s="436"/>
      <c r="G6" s="23"/>
      <c r="H6" s="23"/>
      <c r="I6" s="63"/>
      <c r="J6" s="23"/>
      <c r="K6" s="23"/>
      <c r="R6" s="23"/>
    </row>
    <row r="7" spans="1:18" x14ac:dyDescent="0.2">
      <c r="A7" s="188" t="s">
        <v>423</v>
      </c>
      <c r="B7" s="215">
        <v>175</v>
      </c>
      <c r="C7" s="214">
        <v>90</v>
      </c>
      <c r="D7" s="68">
        <f>B7*C7/1000</f>
        <v>15.75</v>
      </c>
      <c r="E7" s="64"/>
      <c r="F7" s="82"/>
      <c r="G7" s="23"/>
      <c r="H7" s="63"/>
      <c r="I7" s="63"/>
      <c r="J7" s="209"/>
      <c r="K7" s="209"/>
    </row>
    <row r="8" spans="1:18" outlineLevel="1" x14ac:dyDescent="0.2">
      <c r="A8" s="231" t="s">
        <v>77</v>
      </c>
      <c r="B8" s="69"/>
      <c r="C8" s="70"/>
      <c r="D8" s="252">
        <v>0</v>
      </c>
      <c r="E8" s="64"/>
      <c r="F8" s="212"/>
      <c r="G8" s="23"/>
      <c r="H8" s="63"/>
      <c r="I8" s="63"/>
      <c r="J8" s="209"/>
      <c r="K8" s="209"/>
    </row>
    <row r="9" spans="1:18" outlineLevel="1" x14ac:dyDescent="0.2">
      <c r="A9" s="231" t="s">
        <v>78</v>
      </c>
      <c r="B9" s="69"/>
      <c r="C9" s="70"/>
      <c r="D9" s="213">
        <v>0</v>
      </c>
      <c r="E9" s="64"/>
      <c r="F9" s="212"/>
      <c r="G9" s="23"/>
      <c r="H9" s="63"/>
      <c r="I9" s="63"/>
      <c r="J9" s="209"/>
      <c r="K9" s="209"/>
    </row>
    <row r="10" spans="1:18" outlineLevel="1" x14ac:dyDescent="0.2">
      <c r="A10" s="231" t="s">
        <v>79</v>
      </c>
      <c r="B10" s="211">
        <f>B7</f>
        <v>175</v>
      </c>
      <c r="C10" s="70">
        <v>15</v>
      </c>
      <c r="D10" s="68">
        <f>B10*C10/1000</f>
        <v>2.625</v>
      </c>
      <c r="E10" s="64"/>
      <c r="F10" s="82"/>
      <c r="G10" s="23"/>
      <c r="H10" s="218"/>
      <c r="I10" s="63"/>
      <c r="J10" s="209"/>
      <c r="K10" s="209"/>
    </row>
    <row r="11" spans="1:18" outlineLevel="1" x14ac:dyDescent="0.2">
      <c r="A11" s="231" t="s">
        <v>80</v>
      </c>
      <c r="B11" s="210">
        <f>B7/8</f>
        <v>21.875</v>
      </c>
      <c r="C11" s="70">
        <v>120</v>
      </c>
      <c r="D11" s="68">
        <f>B11*C11/1000</f>
        <v>2.625</v>
      </c>
      <c r="E11" s="64"/>
      <c r="F11" s="82"/>
      <c r="G11" s="23"/>
      <c r="H11" s="63"/>
      <c r="I11" s="63"/>
      <c r="J11" s="209"/>
      <c r="K11" s="209"/>
    </row>
    <row r="12" spans="1:18" outlineLevel="1" x14ac:dyDescent="0.2">
      <c r="A12" s="235" t="s">
        <v>81</v>
      </c>
      <c r="B12" s="234">
        <f>B11*7.5</f>
        <v>164.0625</v>
      </c>
      <c r="C12" s="233">
        <v>3.0499999999999999E-2</v>
      </c>
      <c r="D12" s="232">
        <f>B12*C12</f>
        <v>5.00390625</v>
      </c>
      <c r="E12" s="64"/>
      <c r="F12" s="82"/>
      <c r="G12" s="23"/>
      <c r="H12" s="218"/>
      <c r="I12" s="63"/>
      <c r="J12" s="209"/>
      <c r="K12" s="209"/>
    </row>
    <row r="13" spans="1:18" x14ac:dyDescent="0.2">
      <c r="A13" s="231" t="str">
        <f>A7 &amp;" Summary"</f>
        <v>KITCHEN Summary</v>
      </c>
      <c r="B13" s="230">
        <f>B7</f>
        <v>175</v>
      </c>
      <c r="C13" s="229">
        <f>IFERROR(E13/B13*1000,"-")</f>
        <v>148.59375</v>
      </c>
      <c r="D13" s="228"/>
      <c r="E13" s="227">
        <f>SUM(D7:D12)</f>
        <v>26.00390625</v>
      </c>
      <c r="F13" s="226">
        <f>B12</f>
        <v>164.0625</v>
      </c>
      <c r="G13" s="74"/>
      <c r="H13" s="248" t="s">
        <v>193</v>
      </c>
      <c r="I13" s="87">
        <f>IFERROR(VLOOKUP(H13,Table_AC_Daikin,2,FALSE),"-")</f>
        <v>10</v>
      </c>
      <c r="J13" s="87">
        <f>IFERROR(VLOOKUP(H13,Table_AC_Daikin,4,FALSE),"-")</f>
        <v>800</v>
      </c>
      <c r="K13" s="208"/>
      <c r="L13" s="88">
        <f>J13</f>
        <v>800</v>
      </c>
      <c r="M13" s="250">
        <v>2</v>
      </c>
      <c r="N13" s="87">
        <f>IFERROR(L13/M13,"-")</f>
        <v>400</v>
      </c>
      <c r="O13" s="251"/>
    </row>
    <row r="14" spans="1:18" x14ac:dyDescent="0.2">
      <c r="A14" s="83"/>
      <c r="B14" s="84"/>
      <c r="C14" s="85"/>
      <c r="D14" s="86"/>
      <c r="E14" s="23"/>
      <c r="F14" s="23"/>
      <c r="G14" s="74"/>
      <c r="H14" s="63"/>
      <c r="I14" s="23"/>
      <c r="J14" s="23"/>
      <c r="K14" s="23"/>
    </row>
    <row r="15" spans="1:18" x14ac:dyDescent="0.2">
      <c r="A15" s="239"/>
      <c r="B15" s="215">
        <v>0</v>
      </c>
      <c r="C15" s="214">
        <v>0</v>
      </c>
      <c r="D15" s="68">
        <f>B15*C15/1000</f>
        <v>0</v>
      </c>
      <c r="E15" s="64"/>
      <c r="F15" s="82"/>
      <c r="G15" s="23"/>
      <c r="H15" s="63"/>
      <c r="I15" s="63"/>
      <c r="J15" s="209"/>
      <c r="K15" s="209"/>
    </row>
    <row r="16" spans="1:18" outlineLevel="1" x14ac:dyDescent="0.2">
      <c r="A16" s="236" t="s">
        <v>77</v>
      </c>
      <c r="B16" s="69"/>
      <c r="C16" s="70"/>
      <c r="D16" s="213">
        <v>0</v>
      </c>
      <c r="E16" s="64"/>
      <c r="F16" s="212"/>
      <c r="G16" s="23"/>
      <c r="H16" s="63"/>
      <c r="I16" s="63"/>
      <c r="J16" s="209"/>
      <c r="K16" s="209"/>
    </row>
    <row r="17" spans="1:15" outlineLevel="1" x14ac:dyDescent="0.2">
      <c r="A17" s="236" t="s">
        <v>78</v>
      </c>
      <c r="B17" s="69"/>
      <c r="C17" s="70"/>
      <c r="D17" s="213">
        <v>0</v>
      </c>
      <c r="E17" s="64"/>
      <c r="F17" s="212"/>
      <c r="G17" s="23"/>
      <c r="H17" s="63"/>
      <c r="I17" s="63"/>
      <c r="J17" s="209"/>
      <c r="K17" s="209"/>
    </row>
    <row r="18" spans="1:15" outlineLevel="1" x14ac:dyDescent="0.2">
      <c r="A18" s="236" t="s">
        <v>79</v>
      </c>
      <c r="B18" s="211">
        <f>B15</f>
        <v>0</v>
      </c>
      <c r="C18" s="70">
        <v>15</v>
      </c>
      <c r="D18" s="68">
        <f>B18*C18/1000</f>
        <v>0</v>
      </c>
      <c r="E18" s="64"/>
      <c r="F18" s="82"/>
      <c r="G18" s="23"/>
      <c r="H18" s="218"/>
      <c r="I18" s="63"/>
      <c r="J18" s="209"/>
      <c r="K18" s="209"/>
    </row>
    <row r="19" spans="1:15" outlineLevel="1" x14ac:dyDescent="0.2">
      <c r="A19" s="236" t="s">
        <v>80</v>
      </c>
      <c r="B19" s="210">
        <v>0</v>
      </c>
      <c r="C19" s="70">
        <v>120</v>
      </c>
      <c r="D19" s="68">
        <f>B19*C19/1000</f>
        <v>0</v>
      </c>
      <c r="E19" s="64"/>
      <c r="F19" s="82"/>
      <c r="G19" s="23"/>
      <c r="H19" s="219"/>
      <c r="I19" s="63"/>
      <c r="J19" s="209"/>
      <c r="K19" s="209"/>
    </row>
    <row r="20" spans="1:15" outlineLevel="1" x14ac:dyDescent="0.2">
      <c r="A20" s="236" t="s">
        <v>81</v>
      </c>
      <c r="B20" s="73">
        <f>B19*7.5</f>
        <v>0</v>
      </c>
      <c r="C20" s="70">
        <v>3.0499999999999999E-2</v>
      </c>
      <c r="D20" s="68">
        <f>B20*C20</f>
        <v>0</v>
      </c>
      <c r="E20" s="64"/>
      <c r="F20" s="82"/>
      <c r="G20" s="23"/>
      <c r="H20" s="218"/>
      <c r="I20" s="63"/>
      <c r="J20" s="209"/>
      <c r="K20" s="209"/>
    </row>
    <row r="21" spans="1:15" x14ac:dyDescent="0.2">
      <c r="A21" s="236" t="str">
        <f>A15 &amp;" Summary"</f>
        <v xml:space="preserve"> Summary</v>
      </c>
      <c r="B21" s="237">
        <f>B15</f>
        <v>0</v>
      </c>
      <c r="C21" s="229" t="str">
        <f>IFERROR(E21/B21*1000,"-")</f>
        <v>-</v>
      </c>
      <c r="D21" s="228"/>
      <c r="E21" s="238">
        <f>SUM(D15:D20)</f>
        <v>0</v>
      </c>
      <c r="F21" s="226">
        <f>B20</f>
        <v>0</v>
      </c>
      <c r="G21" s="74"/>
      <c r="H21" s="248" t="s">
        <v>320</v>
      </c>
      <c r="I21" s="87">
        <f>IFERROR(VLOOKUP(H21,Table_AC_Daikin,2,FALSE),"-")</f>
        <v>0</v>
      </c>
      <c r="J21" s="87">
        <f>IFERROR(VLOOKUP(H21,Table_AC_Daikin,4,FALSE),"-")</f>
        <v>0</v>
      </c>
      <c r="K21" s="208"/>
      <c r="L21" s="88">
        <f>J21</f>
        <v>0</v>
      </c>
      <c r="M21" s="250">
        <v>1</v>
      </c>
      <c r="N21" s="87">
        <f>IFERROR(L21/M21,"-")</f>
        <v>0</v>
      </c>
      <c r="O21" s="251"/>
    </row>
    <row r="22" spans="1:15" x14ac:dyDescent="0.2">
      <c r="A22" s="75"/>
      <c r="B22" s="76"/>
      <c r="C22" s="77"/>
      <c r="D22" s="68"/>
      <c r="E22" s="220"/>
      <c r="F22" s="23"/>
      <c r="G22" s="74"/>
      <c r="H22" s="23"/>
      <c r="I22" s="208"/>
      <c r="J22" s="74"/>
      <c r="K22" s="74"/>
    </row>
    <row r="23" spans="1:15" x14ac:dyDescent="0.2">
      <c r="A23" s="239"/>
      <c r="B23" s="293">
        <v>0</v>
      </c>
      <c r="C23" s="294">
        <v>0</v>
      </c>
      <c r="D23" s="68">
        <f>B23*C23/1000</f>
        <v>0</v>
      </c>
      <c r="E23" s="64"/>
      <c r="F23" s="82"/>
      <c r="G23" s="23"/>
      <c r="H23" s="63"/>
      <c r="I23" s="63"/>
      <c r="J23" s="209"/>
      <c r="K23" s="209"/>
    </row>
    <row r="24" spans="1:15" outlineLevel="1" x14ac:dyDescent="0.2">
      <c r="A24" s="236" t="s">
        <v>318</v>
      </c>
      <c r="B24" s="69"/>
      <c r="C24" s="70"/>
      <c r="D24" s="252">
        <v>0</v>
      </c>
      <c r="E24" s="64"/>
      <c r="F24" s="212"/>
      <c r="G24" s="23"/>
      <c r="H24" s="63"/>
      <c r="I24" s="63"/>
      <c r="J24" s="209"/>
      <c r="K24" s="209"/>
    </row>
    <row r="25" spans="1:15" outlineLevel="1" x14ac:dyDescent="0.2">
      <c r="A25" s="236" t="s">
        <v>317</v>
      </c>
      <c r="B25" s="69"/>
      <c r="C25" s="70"/>
      <c r="D25" s="252">
        <v>0</v>
      </c>
      <c r="E25" s="64"/>
      <c r="F25" s="212"/>
      <c r="G25" s="23"/>
      <c r="H25" s="63"/>
      <c r="I25" s="63"/>
      <c r="J25" s="209"/>
      <c r="K25" s="209"/>
    </row>
    <row r="26" spans="1:15" outlineLevel="1" x14ac:dyDescent="0.2">
      <c r="A26" s="236" t="s">
        <v>316</v>
      </c>
      <c r="B26" s="211">
        <f>B23</f>
        <v>0</v>
      </c>
      <c r="C26" s="70">
        <v>15</v>
      </c>
      <c r="D26" s="68">
        <f>B26*C26/1000</f>
        <v>0</v>
      </c>
      <c r="E26" s="64"/>
      <c r="F26" s="82"/>
      <c r="G26" s="23"/>
      <c r="H26" s="218"/>
      <c r="I26" s="63"/>
      <c r="J26" s="209"/>
      <c r="K26" s="209"/>
    </row>
    <row r="27" spans="1:15" outlineLevel="1" x14ac:dyDescent="0.2">
      <c r="A27" s="236" t="s">
        <v>315</v>
      </c>
      <c r="B27" s="295">
        <v>0</v>
      </c>
      <c r="C27" s="70">
        <v>120</v>
      </c>
      <c r="D27" s="68">
        <f>B27*C27/1000</f>
        <v>0</v>
      </c>
      <c r="E27" s="64"/>
      <c r="F27" s="82"/>
      <c r="G27" s="23"/>
      <c r="H27" s="219"/>
      <c r="I27" s="63"/>
      <c r="J27" s="209"/>
      <c r="K27" s="209"/>
    </row>
    <row r="28" spans="1:15" outlineLevel="1" x14ac:dyDescent="0.2">
      <c r="A28" s="236" t="s">
        <v>314</v>
      </c>
      <c r="B28" s="73">
        <f>B27*7.5</f>
        <v>0</v>
      </c>
      <c r="C28" s="70">
        <v>3.0499999999999999E-2</v>
      </c>
      <c r="D28" s="68">
        <f>B28*C28</f>
        <v>0</v>
      </c>
      <c r="E28" s="64"/>
      <c r="F28" s="82"/>
      <c r="G28" s="23"/>
      <c r="H28" s="218"/>
      <c r="I28" s="63"/>
      <c r="J28" s="209"/>
      <c r="K28" s="209"/>
    </row>
    <row r="29" spans="1:15" x14ac:dyDescent="0.2">
      <c r="A29" s="236" t="str">
        <f>A23 &amp;" Summary"</f>
        <v xml:space="preserve"> Summary</v>
      </c>
      <c r="B29" s="237">
        <f>B23</f>
        <v>0</v>
      </c>
      <c r="C29" s="229" t="str">
        <f>IFERROR(E29/B29*1000,"-")</f>
        <v>-</v>
      </c>
      <c r="D29" s="228"/>
      <c r="E29" s="227">
        <f>SUM(D23:D28)</f>
        <v>0</v>
      </c>
      <c r="F29" s="226">
        <f>B28</f>
        <v>0</v>
      </c>
      <c r="G29" s="74"/>
      <c r="H29" s="248" t="s">
        <v>320</v>
      </c>
      <c r="I29" s="87">
        <f>IFERROR(VLOOKUP(H29,Table_AC_Daikin,2,FALSE),"-")</f>
        <v>0</v>
      </c>
      <c r="J29" s="87">
        <f>IFERROR(VLOOKUP(H29,Table_AC_Daikin,4,FALSE),"-")</f>
        <v>0</v>
      </c>
      <c r="K29" s="208"/>
      <c r="L29" s="88">
        <f>J29</f>
        <v>0</v>
      </c>
      <c r="M29" s="250">
        <v>1</v>
      </c>
      <c r="N29" s="87">
        <f>IFERROR(L29/M29,"-")</f>
        <v>0</v>
      </c>
      <c r="O29" s="251"/>
    </row>
    <row r="30" spans="1:15" x14ac:dyDescent="0.2">
      <c r="A30" s="75"/>
      <c r="B30" s="76"/>
      <c r="C30" s="77"/>
      <c r="D30" s="68"/>
      <c r="E30" s="220"/>
      <c r="F30" s="23"/>
      <c r="G30" s="74"/>
      <c r="H30" s="74"/>
      <c r="I30" s="208"/>
      <c r="J30" s="74"/>
      <c r="K30" s="74"/>
    </row>
    <row r="31" spans="1:15" x14ac:dyDescent="0.2">
      <c r="A31" s="239"/>
      <c r="B31" s="215">
        <v>0</v>
      </c>
      <c r="C31" s="294">
        <v>0</v>
      </c>
      <c r="D31" s="68">
        <f>B31*C31/1000</f>
        <v>0</v>
      </c>
      <c r="E31" s="64"/>
      <c r="F31" s="82"/>
      <c r="G31" s="23"/>
      <c r="H31" s="63"/>
      <c r="I31" s="63"/>
      <c r="J31" s="209"/>
      <c r="K31" s="209"/>
    </row>
    <row r="32" spans="1:15" outlineLevel="1" x14ac:dyDescent="0.2">
      <c r="A32" s="236" t="s">
        <v>318</v>
      </c>
      <c r="B32" s="69"/>
      <c r="C32" s="70"/>
      <c r="D32" s="252">
        <v>0</v>
      </c>
      <c r="E32" s="64"/>
      <c r="F32" s="212"/>
      <c r="G32" s="23"/>
      <c r="H32" s="63"/>
      <c r="I32" s="63"/>
      <c r="J32" s="209"/>
      <c r="K32" s="209"/>
    </row>
    <row r="33" spans="1:15" outlineLevel="1" x14ac:dyDescent="0.2">
      <c r="A33" s="236" t="s">
        <v>317</v>
      </c>
      <c r="B33" s="69"/>
      <c r="C33" s="70"/>
      <c r="D33" s="252">
        <v>0</v>
      </c>
      <c r="E33" s="64"/>
      <c r="F33" s="212"/>
      <c r="G33" s="23"/>
      <c r="H33" s="63"/>
      <c r="I33" s="63"/>
      <c r="J33" s="209"/>
      <c r="K33" s="209"/>
    </row>
    <row r="34" spans="1:15" outlineLevel="1" x14ac:dyDescent="0.2">
      <c r="A34" s="236" t="s">
        <v>316</v>
      </c>
      <c r="B34" s="211">
        <f>B31</f>
        <v>0</v>
      </c>
      <c r="C34" s="70">
        <v>15</v>
      </c>
      <c r="D34" s="68">
        <f>B34*C34/1000</f>
        <v>0</v>
      </c>
      <c r="E34" s="64"/>
      <c r="F34" s="82"/>
      <c r="G34" s="23"/>
      <c r="H34" s="218"/>
      <c r="I34" s="63"/>
      <c r="J34" s="209"/>
      <c r="K34" s="209"/>
    </row>
    <row r="35" spans="1:15" outlineLevel="1" x14ac:dyDescent="0.2">
      <c r="A35" s="236" t="s">
        <v>315</v>
      </c>
      <c r="B35" s="295">
        <v>0</v>
      </c>
      <c r="C35" s="70">
        <v>120</v>
      </c>
      <c r="D35" s="68">
        <f>B35*C35/1000</f>
        <v>0</v>
      </c>
      <c r="E35" s="64"/>
      <c r="F35" s="82"/>
      <c r="G35" s="23"/>
      <c r="H35" s="219"/>
      <c r="I35" s="63"/>
      <c r="J35" s="209"/>
      <c r="K35" s="209"/>
    </row>
    <row r="36" spans="1:15" outlineLevel="1" x14ac:dyDescent="0.2">
      <c r="A36" s="236" t="s">
        <v>314</v>
      </c>
      <c r="B36" s="73">
        <f>B35*7.5</f>
        <v>0</v>
      </c>
      <c r="C36" s="70">
        <v>3.0499999999999999E-2</v>
      </c>
      <c r="D36" s="68">
        <f>B36*C36</f>
        <v>0</v>
      </c>
      <c r="E36" s="64"/>
      <c r="F36" s="82"/>
      <c r="G36" s="23"/>
      <c r="H36" s="218"/>
      <c r="I36" s="63"/>
      <c r="J36" s="209"/>
      <c r="K36" s="209"/>
    </row>
    <row r="37" spans="1:15" x14ac:dyDescent="0.2">
      <c r="A37" s="236" t="str">
        <f>A31 &amp;" Summary"</f>
        <v xml:space="preserve"> Summary</v>
      </c>
      <c r="B37" s="237">
        <f>B31</f>
        <v>0</v>
      </c>
      <c r="C37" s="229" t="str">
        <f>IFERROR(E37/B37*1000,"-")</f>
        <v>-</v>
      </c>
      <c r="D37" s="228"/>
      <c r="E37" s="227">
        <f>SUM(D31:D36)</f>
        <v>0</v>
      </c>
      <c r="F37" s="226">
        <f>B36</f>
        <v>0</v>
      </c>
      <c r="G37" s="74"/>
      <c r="H37" s="248" t="s">
        <v>320</v>
      </c>
      <c r="I37" s="87">
        <f>IFERROR(VLOOKUP(H37,Table_AC_Daikin,2,FALSE),"-")</f>
        <v>0</v>
      </c>
      <c r="J37" s="87">
        <f>IFERROR(VLOOKUP(H37,Table_AC_Daikin,4,FALSE),"-")</f>
        <v>0</v>
      </c>
      <c r="K37" s="208"/>
      <c r="L37" s="88">
        <f>J37</f>
        <v>0</v>
      </c>
      <c r="M37" s="250">
        <v>1</v>
      </c>
      <c r="N37" s="87">
        <f>IFERROR(L37/M37,"-")</f>
        <v>0</v>
      </c>
      <c r="O37" s="251"/>
    </row>
    <row r="38" spans="1:15" x14ac:dyDescent="0.2">
      <c r="A38" s="75"/>
      <c r="B38" s="76"/>
      <c r="C38" s="77"/>
      <c r="D38" s="68"/>
      <c r="E38" s="23"/>
      <c r="F38" s="23"/>
      <c r="G38" s="74"/>
      <c r="H38" s="74"/>
      <c r="I38" s="208"/>
      <c r="J38" s="74"/>
      <c r="K38" s="74"/>
    </row>
    <row r="39" spans="1:15" x14ac:dyDescent="0.2">
      <c r="A39" s="239"/>
      <c r="B39" s="293">
        <v>0</v>
      </c>
      <c r="C39" s="294">
        <v>0</v>
      </c>
      <c r="D39" s="68">
        <f>B39*C39/1000</f>
        <v>0</v>
      </c>
      <c r="E39" s="64"/>
      <c r="F39" s="82"/>
      <c r="G39" s="23"/>
      <c r="H39" s="63"/>
      <c r="I39" s="63"/>
      <c r="J39" s="209"/>
      <c r="K39" s="209"/>
    </row>
    <row r="40" spans="1:15" outlineLevel="1" x14ac:dyDescent="0.2">
      <c r="A40" s="236" t="s">
        <v>318</v>
      </c>
      <c r="B40" s="69"/>
      <c r="C40" s="70"/>
      <c r="D40" s="252">
        <v>0</v>
      </c>
      <c r="E40" s="64"/>
      <c r="F40" s="212"/>
      <c r="G40" s="23"/>
      <c r="H40" s="63"/>
      <c r="I40" s="63"/>
      <c r="J40" s="209"/>
      <c r="K40" s="209"/>
    </row>
    <row r="41" spans="1:15" outlineLevel="1" x14ac:dyDescent="0.2">
      <c r="A41" s="236" t="s">
        <v>317</v>
      </c>
      <c r="B41" s="69"/>
      <c r="C41" s="70"/>
      <c r="D41" s="252">
        <v>0</v>
      </c>
      <c r="E41" s="64"/>
      <c r="F41" s="212"/>
      <c r="G41" s="23"/>
      <c r="H41" s="63"/>
      <c r="I41" s="63"/>
      <c r="J41" s="209"/>
      <c r="K41" s="209"/>
    </row>
    <row r="42" spans="1:15" outlineLevel="1" x14ac:dyDescent="0.2">
      <c r="A42" s="236" t="s">
        <v>316</v>
      </c>
      <c r="B42" s="211">
        <f>B39</f>
        <v>0</v>
      </c>
      <c r="C42" s="70">
        <v>15</v>
      </c>
      <c r="D42" s="68">
        <f>B42*C42/1000</f>
        <v>0</v>
      </c>
      <c r="E42" s="64"/>
      <c r="F42" s="82"/>
      <c r="G42" s="23"/>
      <c r="H42" s="218"/>
      <c r="I42" s="63"/>
      <c r="J42" s="209"/>
      <c r="K42" s="209"/>
    </row>
    <row r="43" spans="1:15" outlineLevel="1" x14ac:dyDescent="0.2">
      <c r="A43" s="236" t="s">
        <v>315</v>
      </c>
      <c r="B43" s="295">
        <v>0</v>
      </c>
      <c r="C43" s="70">
        <v>120</v>
      </c>
      <c r="D43" s="68">
        <f>B43*C43/1000</f>
        <v>0</v>
      </c>
      <c r="E43" s="64"/>
      <c r="F43" s="82"/>
      <c r="G43" s="23"/>
      <c r="H43" s="219"/>
      <c r="I43" s="63"/>
      <c r="J43" s="209"/>
      <c r="K43" s="209"/>
    </row>
    <row r="44" spans="1:15" outlineLevel="1" x14ac:dyDescent="0.2">
      <c r="A44" s="236" t="s">
        <v>314</v>
      </c>
      <c r="B44" s="73">
        <f>B43*7.5</f>
        <v>0</v>
      </c>
      <c r="C44" s="70">
        <v>3.0499999999999999E-2</v>
      </c>
      <c r="D44" s="68">
        <f>B44*C44</f>
        <v>0</v>
      </c>
      <c r="E44" s="64"/>
      <c r="F44" s="82"/>
      <c r="G44" s="23"/>
      <c r="H44" s="218"/>
      <c r="I44" s="63"/>
      <c r="J44" s="209"/>
      <c r="K44" s="209"/>
    </row>
    <row r="45" spans="1:15" x14ac:dyDescent="0.2">
      <c r="A45" s="236" t="str">
        <f>A39 &amp;" Summary"</f>
        <v xml:space="preserve"> Summary</v>
      </c>
      <c r="B45" s="237">
        <f>B39</f>
        <v>0</v>
      </c>
      <c r="C45" s="229" t="str">
        <f>IFERROR(E45/B45*1000,"-")</f>
        <v>-</v>
      </c>
      <c r="D45" s="228"/>
      <c r="E45" s="227">
        <f>SUM(D39:D44)</f>
        <v>0</v>
      </c>
      <c r="F45" s="226">
        <f>B44</f>
        <v>0</v>
      </c>
      <c r="G45" s="74"/>
      <c r="H45" s="248" t="s">
        <v>320</v>
      </c>
      <c r="I45" s="87">
        <f>IFERROR(VLOOKUP(H45,Table_AC_Daikin,2,FALSE),"-")</f>
        <v>0</v>
      </c>
      <c r="J45" s="87">
        <f>IFERROR(VLOOKUP(H45,Table_AC_Daikin,4,FALSE),"-")</f>
        <v>0</v>
      </c>
      <c r="K45" s="208"/>
      <c r="L45" s="88">
        <f>J45</f>
        <v>0</v>
      </c>
      <c r="M45" s="250">
        <v>1</v>
      </c>
      <c r="N45" s="87">
        <f>IFERROR(L45/M45,"-")</f>
        <v>0</v>
      </c>
      <c r="O45" s="251"/>
    </row>
    <row r="46" spans="1:15" x14ac:dyDescent="0.2">
      <c r="A46" s="75"/>
      <c r="B46" s="76"/>
      <c r="C46" s="77"/>
      <c r="D46" s="68"/>
      <c r="E46" s="23"/>
      <c r="F46" s="23"/>
      <c r="G46" s="74"/>
      <c r="H46" s="74"/>
      <c r="I46" s="208"/>
      <c r="J46" s="74"/>
      <c r="K46" s="74"/>
    </row>
    <row r="47" spans="1:15" x14ac:dyDescent="0.2">
      <c r="A47" s="239"/>
      <c r="B47" s="293">
        <v>0</v>
      </c>
      <c r="C47" s="294">
        <v>0</v>
      </c>
      <c r="D47" s="68">
        <f>B47*C47/1000</f>
        <v>0</v>
      </c>
      <c r="E47" s="64"/>
      <c r="F47" s="82"/>
      <c r="G47" s="23"/>
      <c r="H47" s="63"/>
      <c r="I47" s="63"/>
      <c r="J47" s="209"/>
      <c r="K47" s="209"/>
    </row>
    <row r="48" spans="1:15" outlineLevel="1" x14ac:dyDescent="0.2">
      <c r="A48" s="236" t="s">
        <v>318</v>
      </c>
      <c r="B48" s="69"/>
      <c r="C48" s="70"/>
      <c r="D48" s="252">
        <v>0</v>
      </c>
      <c r="E48" s="64"/>
      <c r="F48" s="212"/>
      <c r="G48" s="23"/>
      <c r="H48" s="63"/>
      <c r="I48" s="63"/>
      <c r="J48" s="209"/>
      <c r="K48" s="209"/>
    </row>
    <row r="49" spans="1:18" outlineLevel="1" x14ac:dyDescent="0.2">
      <c r="A49" s="236" t="s">
        <v>317</v>
      </c>
      <c r="B49" s="69"/>
      <c r="C49" s="70"/>
      <c r="D49" s="252">
        <v>0</v>
      </c>
      <c r="E49" s="64"/>
      <c r="F49" s="212"/>
      <c r="G49" s="23"/>
      <c r="H49" s="63"/>
      <c r="I49" s="63"/>
      <c r="J49" s="209"/>
      <c r="K49" s="209"/>
    </row>
    <row r="50" spans="1:18" outlineLevel="1" x14ac:dyDescent="0.2">
      <c r="A50" s="236" t="s">
        <v>316</v>
      </c>
      <c r="B50" s="211">
        <f>B47</f>
        <v>0</v>
      </c>
      <c r="C50" s="70">
        <v>15</v>
      </c>
      <c r="D50" s="68">
        <f>B50*C50/1000</f>
        <v>0</v>
      </c>
      <c r="E50" s="64"/>
      <c r="F50" s="82"/>
      <c r="G50" s="23"/>
      <c r="H50" s="218"/>
      <c r="I50" s="63"/>
      <c r="J50" s="209"/>
      <c r="K50" s="209"/>
    </row>
    <row r="51" spans="1:18" outlineLevel="1" x14ac:dyDescent="0.2">
      <c r="A51" s="236" t="s">
        <v>315</v>
      </c>
      <c r="B51" s="295">
        <v>0</v>
      </c>
      <c r="C51" s="70">
        <v>120</v>
      </c>
      <c r="D51" s="68">
        <f>B51*C51/1000</f>
        <v>0</v>
      </c>
      <c r="E51" s="64"/>
      <c r="F51" s="82"/>
      <c r="G51" s="23"/>
      <c r="H51" s="219"/>
      <c r="I51" s="63"/>
      <c r="J51" s="209"/>
      <c r="K51" s="209"/>
    </row>
    <row r="52" spans="1:18" outlineLevel="1" x14ac:dyDescent="0.2">
      <c r="A52" s="236" t="s">
        <v>314</v>
      </c>
      <c r="B52" s="73">
        <f>B51*7.5</f>
        <v>0</v>
      </c>
      <c r="C52" s="70">
        <v>3.0499999999999999E-2</v>
      </c>
      <c r="D52" s="68">
        <f>B52*C52</f>
        <v>0</v>
      </c>
      <c r="E52" s="64"/>
      <c r="F52" s="82"/>
      <c r="G52" s="23"/>
      <c r="H52" s="218"/>
      <c r="I52" s="63"/>
      <c r="J52" s="209"/>
      <c r="K52" s="209"/>
    </row>
    <row r="53" spans="1:18" x14ac:dyDescent="0.2">
      <c r="A53" s="236" t="str">
        <f>A47 &amp;" Summary"</f>
        <v xml:space="preserve"> Summary</v>
      </c>
      <c r="B53" s="237">
        <f>B47</f>
        <v>0</v>
      </c>
      <c r="C53" s="229" t="str">
        <f>IFERROR(E53/B53*1000,"-")</f>
        <v>-</v>
      </c>
      <c r="D53" s="228"/>
      <c r="E53" s="227">
        <f>SUM(D47:D52)</f>
        <v>0</v>
      </c>
      <c r="F53" s="226">
        <f>B52</f>
        <v>0</v>
      </c>
      <c r="G53" s="74"/>
      <c r="H53" s="248" t="s">
        <v>320</v>
      </c>
      <c r="I53" s="87">
        <f>IFERROR(VLOOKUP(H53,Table_AC_Daikin,2,FALSE),"-")</f>
        <v>0</v>
      </c>
      <c r="J53" s="87">
        <f>IFERROR(VLOOKUP(H53,Table_AC_Daikin,4,FALSE),"-")</f>
        <v>0</v>
      </c>
      <c r="K53" s="208"/>
      <c r="L53" s="88">
        <f>J53</f>
        <v>0</v>
      </c>
      <c r="M53" s="250">
        <v>1</v>
      </c>
      <c r="N53" s="87">
        <f>IFERROR(L53/M53,"-")</f>
        <v>0</v>
      </c>
      <c r="O53" s="251"/>
    </row>
    <row r="54" spans="1:18" x14ac:dyDescent="0.2">
      <c r="A54" s="75"/>
      <c r="B54" s="76"/>
      <c r="C54" s="77"/>
      <c r="D54" s="68"/>
      <c r="E54" s="23"/>
      <c r="F54" s="23"/>
      <c r="G54" s="74"/>
      <c r="H54" s="74"/>
      <c r="I54" s="208"/>
      <c r="J54" s="74"/>
      <c r="K54" s="74"/>
    </row>
    <row r="55" spans="1:18" ht="13.5" thickBot="1" x14ac:dyDescent="0.25">
      <c r="A55" s="207"/>
      <c r="B55" s="206"/>
      <c r="C55" s="205"/>
      <c r="D55" s="204"/>
      <c r="E55" s="203"/>
      <c r="F55" s="203"/>
      <c r="G55" s="74"/>
      <c r="H55" s="202"/>
      <c r="I55" s="202"/>
      <c r="J55" s="202"/>
      <c r="K55" s="74"/>
      <c r="L55" s="201"/>
      <c r="M55" s="247"/>
      <c r="N55" s="200"/>
      <c r="O55" s="200"/>
    </row>
    <row r="56" spans="1:18" ht="13.5" thickTop="1" x14ac:dyDescent="0.2">
      <c r="A56" s="240" t="s">
        <v>261</v>
      </c>
      <c r="B56" s="241">
        <f>SUM(B7,B15,B23,B31,B39,B47)</f>
        <v>175</v>
      </c>
      <c r="C56" s="242">
        <f>IFERROR(E56/B56*1000,"-")</f>
        <v>148.59375</v>
      </c>
      <c r="D56" s="243"/>
      <c r="E56" s="244">
        <f>SUM(E13:E53)</f>
        <v>26.00390625</v>
      </c>
      <c r="F56" s="253">
        <f>SUM(F13:F53)</f>
        <v>164.0625</v>
      </c>
      <c r="G56" s="74"/>
      <c r="H56" s="23" t="s">
        <v>262</v>
      </c>
      <c r="I56" s="223">
        <f>SUM(I7:I55)</f>
        <v>10</v>
      </c>
      <c r="J56" s="224">
        <f>SUM(J7:J55)</f>
        <v>800</v>
      </c>
      <c r="K56" s="224"/>
      <c r="M56" s="225">
        <f>SUM(M7:M55)</f>
        <v>7</v>
      </c>
      <c r="N56" s="224">
        <f>SUM(N7:N55)</f>
        <v>400</v>
      </c>
      <c r="O56" s="224">
        <f>SUM(O7:O55)</f>
        <v>0</v>
      </c>
    </row>
    <row r="57" spans="1:18" x14ac:dyDescent="0.2">
      <c r="A57" s="81"/>
      <c r="B57" s="23"/>
      <c r="C57" s="161"/>
      <c r="D57" s="64"/>
      <c r="E57" s="64"/>
      <c r="F57" s="254">
        <f>SUM(B11,B19,B27,B35,B43,B51)</f>
        <v>21.875</v>
      </c>
      <c r="G57" s="23"/>
      <c r="H57" s="23" t="s">
        <v>273</v>
      </c>
      <c r="I57" s="23"/>
      <c r="J57" s="23"/>
      <c r="K57" s="23"/>
    </row>
    <row r="58" spans="1:18" x14ac:dyDescent="0.2">
      <c r="A58" s="81"/>
      <c r="B58" s="23"/>
      <c r="C58" s="161"/>
      <c r="D58" s="64"/>
      <c r="E58" s="64"/>
      <c r="F58" s="64"/>
      <c r="G58" s="23"/>
      <c r="H58" s="248" t="s">
        <v>320</v>
      </c>
      <c r="I58" s="223">
        <f>IFERROR(VLOOKUP($H58,Table_AC_Daikin,2,FALSE)*1,"-")</f>
        <v>0</v>
      </c>
      <c r="J58" s="222" t="str">
        <f>IFERROR(I56/I58,"-")</f>
        <v>-</v>
      </c>
      <c r="K58" s="222"/>
    </row>
    <row r="59" spans="1:18" x14ac:dyDescent="0.2">
      <c r="A59" s="81"/>
      <c r="B59" s="23"/>
      <c r="C59" s="161"/>
      <c r="D59" s="64"/>
      <c r="E59" s="64"/>
      <c r="F59" s="64"/>
      <c r="G59" s="23"/>
      <c r="H59" s="74"/>
      <c r="I59" s="208"/>
      <c r="J59" s="82"/>
      <c r="K59" s="82"/>
    </row>
    <row r="60" spans="1:18" x14ac:dyDescent="0.2">
      <c r="A60" s="81"/>
      <c r="B60" s="23"/>
      <c r="C60" s="161"/>
      <c r="D60" s="64"/>
      <c r="E60" s="64"/>
      <c r="F60" s="64"/>
      <c r="G60" s="23"/>
      <c r="K60" s="222"/>
    </row>
    <row r="61" spans="1:18" x14ac:dyDescent="0.2">
      <c r="A61" s="435" t="s">
        <v>321</v>
      </c>
      <c r="B61" s="436"/>
      <c r="C61" s="436"/>
      <c r="D61" s="436"/>
      <c r="E61" s="436"/>
      <c r="F61" s="436"/>
      <c r="G61" s="23"/>
      <c r="H61" s="23"/>
      <c r="I61" s="63"/>
      <c r="J61" s="23"/>
      <c r="K61" s="23"/>
      <c r="R61" s="23"/>
    </row>
    <row r="62" spans="1:18" x14ac:dyDescent="0.2">
      <c r="A62" s="188"/>
      <c r="B62" s="215">
        <v>0</v>
      </c>
      <c r="C62" s="214">
        <v>0</v>
      </c>
      <c r="D62" s="68">
        <f>B62*C62/1000</f>
        <v>0</v>
      </c>
      <c r="E62" s="64"/>
      <c r="F62" s="82"/>
      <c r="G62" s="23"/>
      <c r="H62" s="63"/>
      <c r="I62" s="63"/>
      <c r="J62" s="209"/>
      <c r="K62" s="209"/>
    </row>
    <row r="63" spans="1:18" outlineLevel="1" x14ac:dyDescent="0.2">
      <c r="A63" s="231" t="s">
        <v>77</v>
      </c>
      <c r="B63" s="69"/>
      <c r="C63" s="70"/>
      <c r="D63" s="252">
        <v>0</v>
      </c>
      <c r="E63" s="64"/>
      <c r="F63" s="212"/>
      <c r="G63" s="23"/>
      <c r="H63" s="63"/>
      <c r="I63" s="63"/>
      <c r="J63" s="209"/>
      <c r="K63" s="209"/>
    </row>
    <row r="64" spans="1:18" outlineLevel="1" x14ac:dyDescent="0.2">
      <c r="A64" s="231" t="s">
        <v>78</v>
      </c>
      <c r="B64" s="69"/>
      <c r="C64" s="70"/>
      <c r="D64" s="213">
        <v>0</v>
      </c>
      <c r="E64" s="64"/>
      <c r="F64" s="212"/>
      <c r="G64" s="23"/>
      <c r="H64" s="63"/>
      <c r="I64" s="63"/>
      <c r="J64" s="209"/>
      <c r="K64" s="209"/>
    </row>
    <row r="65" spans="1:15" outlineLevel="1" x14ac:dyDescent="0.2">
      <c r="A65" s="231" t="s">
        <v>79</v>
      </c>
      <c r="B65" s="211">
        <f>B62</f>
        <v>0</v>
      </c>
      <c r="C65" s="70">
        <v>15</v>
      </c>
      <c r="D65" s="68">
        <f>B65*C65/1000</f>
        <v>0</v>
      </c>
      <c r="E65" s="64"/>
      <c r="F65" s="82"/>
      <c r="G65" s="23"/>
      <c r="H65" s="218"/>
      <c r="I65" s="63"/>
      <c r="J65" s="209"/>
      <c r="K65" s="209"/>
    </row>
    <row r="66" spans="1:15" outlineLevel="1" x14ac:dyDescent="0.2">
      <c r="A66" s="231" t="s">
        <v>80</v>
      </c>
      <c r="B66" s="210">
        <v>0</v>
      </c>
      <c r="C66" s="70">
        <v>120</v>
      </c>
      <c r="D66" s="68">
        <f>B66*C66/1000</f>
        <v>0</v>
      </c>
      <c r="E66" s="64"/>
      <c r="F66" s="82"/>
      <c r="G66" s="23"/>
      <c r="H66" s="63"/>
      <c r="I66" s="63"/>
      <c r="J66" s="209"/>
      <c r="K66" s="209"/>
    </row>
    <row r="67" spans="1:15" outlineLevel="1" x14ac:dyDescent="0.2">
      <c r="A67" s="235" t="s">
        <v>81</v>
      </c>
      <c r="B67" s="234">
        <f>B66*7.5</f>
        <v>0</v>
      </c>
      <c r="C67" s="233">
        <v>3.0499999999999999E-2</v>
      </c>
      <c r="D67" s="232">
        <f>B67*C67</f>
        <v>0</v>
      </c>
      <c r="E67" s="64"/>
      <c r="F67" s="82"/>
      <c r="G67" s="23"/>
      <c r="H67" s="218"/>
      <c r="I67" s="63"/>
      <c r="J67" s="209"/>
      <c r="K67" s="209"/>
    </row>
    <row r="68" spans="1:15" x14ac:dyDescent="0.2">
      <c r="A68" s="231" t="str">
        <f>A62 &amp;" Summary"</f>
        <v xml:space="preserve"> Summary</v>
      </c>
      <c r="B68" s="230">
        <f>B62</f>
        <v>0</v>
      </c>
      <c r="C68" s="229" t="str">
        <f>IFERROR(E68/B68*1000,"-")</f>
        <v>-</v>
      </c>
      <c r="D68" s="228"/>
      <c r="E68" s="227">
        <f>SUM(D62:D67)</f>
        <v>0</v>
      </c>
      <c r="F68" s="226">
        <f>B67</f>
        <v>0</v>
      </c>
      <c r="G68" s="74"/>
      <c r="H68" s="248" t="s">
        <v>320</v>
      </c>
      <c r="I68" s="87">
        <f>IFERROR(VLOOKUP(H68,Table_AC_Daikin,2,FALSE),"-")</f>
        <v>0</v>
      </c>
      <c r="J68" s="87">
        <f>IFERROR(VLOOKUP(H68,Table_AC_Daikin,4,FALSE),"-")</f>
        <v>0</v>
      </c>
      <c r="K68" s="208"/>
      <c r="L68" s="88">
        <f>J68</f>
        <v>0</v>
      </c>
      <c r="M68" s="250">
        <v>2</v>
      </c>
      <c r="N68" s="87">
        <f>IFERROR(L68/M68,"-")</f>
        <v>0</v>
      </c>
      <c r="O68" s="251"/>
    </row>
    <row r="69" spans="1:15" x14ac:dyDescent="0.2">
      <c r="A69" s="83"/>
      <c r="B69" s="84"/>
      <c r="C69" s="85"/>
      <c r="D69" s="86"/>
      <c r="E69" s="23"/>
      <c r="F69" s="23"/>
      <c r="G69" s="74"/>
      <c r="H69" s="63"/>
      <c r="I69" s="23"/>
      <c r="J69" s="23"/>
      <c r="K69" s="23"/>
    </row>
    <row r="70" spans="1:15" x14ac:dyDescent="0.2">
      <c r="A70" s="239"/>
      <c r="B70" s="215">
        <v>0</v>
      </c>
      <c r="C70" s="214">
        <v>0</v>
      </c>
      <c r="D70" s="68">
        <f>B70*C70/1000</f>
        <v>0</v>
      </c>
      <c r="E70" s="64"/>
      <c r="F70" s="82"/>
      <c r="G70" s="23"/>
      <c r="H70" s="63"/>
      <c r="I70" s="63"/>
      <c r="J70" s="209"/>
      <c r="K70" s="209"/>
    </row>
    <row r="71" spans="1:15" outlineLevel="1" x14ac:dyDescent="0.2">
      <c r="A71" s="236" t="s">
        <v>77</v>
      </c>
      <c r="B71" s="69"/>
      <c r="C71" s="70"/>
      <c r="D71" s="213">
        <v>0</v>
      </c>
      <c r="E71" s="64"/>
      <c r="F71" s="212"/>
      <c r="G71" s="23"/>
      <c r="H71" s="63"/>
      <c r="I71" s="63"/>
      <c r="J71" s="209"/>
      <c r="K71" s="209"/>
    </row>
    <row r="72" spans="1:15" outlineLevel="1" x14ac:dyDescent="0.2">
      <c r="A72" s="236" t="s">
        <v>78</v>
      </c>
      <c r="B72" s="69"/>
      <c r="C72" s="70"/>
      <c r="D72" s="213">
        <v>0</v>
      </c>
      <c r="E72" s="64"/>
      <c r="F72" s="212"/>
      <c r="G72" s="23"/>
      <c r="H72" s="63"/>
      <c r="I72" s="63"/>
      <c r="J72" s="209"/>
      <c r="K72" s="209"/>
    </row>
    <row r="73" spans="1:15" outlineLevel="1" x14ac:dyDescent="0.2">
      <c r="A73" s="236" t="s">
        <v>79</v>
      </c>
      <c r="B73" s="211">
        <f>B70</f>
        <v>0</v>
      </c>
      <c r="C73" s="70">
        <v>15</v>
      </c>
      <c r="D73" s="68">
        <f>B73*C73/1000</f>
        <v>0</v>
      </c>
      <c r="E73" s="64"/>
      <c r="F73" s="82"/>
      <c r="G73" s="23"/>
      <c r="H73" s="218"/>
      <c r="I73" s="63"/>
      <c r="J73" s="209"/>
      <c r="K73" s="209"/>
    </row>
    <row r="74" spans="1:15" outlineLevel="1" x14ac:dyDescent="0.2">
      <c r="A74" s="236" t="s">
        <v>80</v>
      </c>
      <c r="B74" s="210">
        <v>0</v>
      </c>
      <c r="C74" s="70">
        <v>120</v>
      </c>
      <c r="D74" s="68">
        <f>B74*C74/1000</f>
        <v>0</v>
      </c>
      <c r="E74" s="64"/>
      <c r="F74" s="82"/>
      <c r="G74" s="23"/>
      <c r="H74" s="219"/>
      <c r="I74" s="63"/>
      <c r="J74" s="209"/>
      <c r="K74" s="209"/>
    </row>
    <row r="75" spans="1:15" outlineLevel="1" x14ac:dyDescent="0.2">
      <c r="A75" s="236" t="s">
        <v>81</v>
      </c>
      <c r="B75" s="73">
        <f>B74*7.5</f>
        <v>0</v>
      </c>
      <c r="C75" s="70">
        <v>3.0499999999999999E-2</v>
      </c>
      <c r="D75" s="68">
        <f>B75*C75</f>
        <v>0</v>
      </c>
      <c r="E75" s="64"/>
      <c r="F75" s="82"/>
      <c r="G75" s="23"/>
      <c r="H75" s="218"/>
      <c r="I75" s="63"/>
      <c r="J75" s="209"/>
      <c r="K75" s="209"/>
    </row>
    <row r="76" spans="1:15" x14ac:dyDescent="0.2">
      <c r="A76" s="236" t="str">
        <f>A70 &amp;" Summary"</f>
        <v xml:space="preserve"> Summary</v>
      </c>
      <c r="B76" s="237">
        <f>B70</f>
        <v>0</v>
      </c>
      <c r="C76" s="229" t="str">
        <f>IFERROR(E76/B76*1000,"-")</f>
        <v>-</v>
      </c>
      <c r="D76" s="228"/>
      <c r="E76" s="238">
        <f>SUM(D70:D75)</f>
        <v>0</v>
      </c>
      <c r="F76" s="226">
        <f>B75</f>
        <v>0</v>
      </c>
      <c r="G76" s="74"/>
      <c r="H76" s="248" t="s">
        <v>320</v>
      </c>
      <c r="I76" s="87">
        <f>IFERROR(VLOOKUP(H76,Table_AC_Daikin,2,FALSE),"-")</f>
        <v>0</v>
      </c>
      <c r="J76" s="87">
        <f>IFERROR(VLOOKUP(H76,Table_AC_Daikin,4,FALSE),"-")</f>
        <v>0</v>
      </c>
      <c r="K76" s="208"/>
      <c r="L76" s="88">
        <f>J76</f>
        <v>0</v>
      </c>
      <c r="M76" s="250">
        <v>1</v>
      </c>
      <c r="N76" s="87">
        <f>IFERROR(L76/M76,"-")</f>
        <v>0</v>
      </c>
      <c r="O76" s="251"/>
    </row>
    <row r="77" spans="1:15" x14ac:dyDescent="0.2">
      <c r="A77" s="75"/>
      <c r="B77" s="76"/>
      <c r="C77" s="77"/>
      <c r="D77" s="68"/>
      <c r="E77" s="220"/>
      <c r="F77" s="23"/>
      <c r="G77" s="74"/>
      <c r="H77" s="23"/>
      <c r="I77" s="208"/>
      <c r="J77" s="74"/>
      <c r="K77" s="74"/>
    </row>
    <row r="78" spans="1:15" x14ac:dyDescent="0.2">
      <c r="A78" s="239"/>
      <c r="B78" s="293">
        <v>0</v>
      </c>
      <c r="C78" s="294">
        <v>0</v>
      </c>
      <c r="D78" s="68">
        <f>B78*C78/1000</f>
        <v>0</v>
      </c>
      <c r="E78" s="64"/>
      <c r="F78" s="82"/>
      <c r="G78" s="23"/>
      <c r="H78" s="63"/>
      <c r="I78" s="63"/>
      <c r="J78" s="209"/>
      <c r="K78" s="209"/>
    </row>
    <row r="79" spans="1:15" outlineLevel="1" x14ac:dyDescent="0.2">
      <c r="A79" s="236" t="s">
        <v>318</v>
      </c>
      <c r="B79" s="69"/>
      <c r="C79" s="70"/>
      <c r="D79" s="252">
        <v>0</v>
      </c>
      <c r="E79" s="64"/>
      <c r="F79" s="212"/>
      <c r="G79" s="23"/>
      <c r="H79" s="63"/>
      <c r="I79" s="63"/>
      <c r="J79" s="209"/>
      <c r="K79" s="209"/>
    </row>
    <row r="80" spans="1:15" outlineLevel="1" x14ac:dyDescent="0.2">
      <c r="A80" s="236" t="s">
        <v>317</v>
      </c>
      <c r="B80" s="69"/>
      <c r="C80" s="70"/>
      <c r="D80" s="252">
        <v>0</v>
      </c>
      <c r="E80" s="64"/>
      <c r="F80" s="212"/>
      <c r="G80" s="23"/>
      <c r="H80" s="63"/>
      <c r="I80" s="63"/>
      <c r="J80" s="209"/>
      <c r="K80" s="209"/>
    </row>
    <row r="81" spans="1:15" outlineLevel="1" x14ac:dyDescent="0.2">
      <c r="A81" s="236" t="s">
        <v>316</v>
      </c>
      <c r="B81" s="211">
        <f>B78</f>
        <v>0</v>
      </c>
      <c r="C81" s="70">
        <v>15</v>
      </c>
      <c r="D81" s="68">
        <f>B81*C81/1000</f>
        <v>0</v>
      </c>
      <c r="E81" s="64"/>
      <c r="F81" s="82"/>
      <c r="G81" s="23"/>
      <c r="H81" s="218"/>
      <c r="I81" s="63"/>
      <c r="J81" s="209"/>
      <c r="K81" s="209"/>
    </row>
    <row r="82" spans="1:15" outlineLevel="1" x14ac:dyDescent="0.2">
      <c r="A82" s="236" t="s">
        <v>315</v>
      </c>
      <c r="B82" s="295">
        <v>0</v>
      </c>
      <c r="C82" s="70">
        <v>120</v>
      </c>
      <c r="D82" s="68">
        <f>B82*C82/1000</f>
        <v>0</v>
      </c>
      <c r="E82" s="64"/>
      <c r="F82" s="82"/>
      <c r="G82" s="23"/>
      <c r="H82" s="219"/>
      <c r="I82" s="63"/>
      <c r="J82" s="209"/>
      <c r="K82" s="209"/>
    </row>
    <row r="83" spans="1:15" outlineLevel="1" x14ac:dyDescent="0.2">
      <c r="A83" s="236" t="s">
        <v>314</v>
      </c>
      <c r="B83" s="73">
        <f>B82*7.5</f>
        <v>0</v>
      </c>
      <c r="C83" s="70">
        <v>3.0499999999999999E-2</v>
      </c>
      <c r="D83" s="68">
        <f>B83*C83</f>
        <v>0</v>
      </c>
      <c r="E83" s="64"/>
      <c r="F83" s="82"/>
      <c r="G83" s="23"/>
      <c r="H83" s="218"/>
      <c r="I83" s="63"/>
      <c r="J83" s="209"/>
      <c r="K83" s="209"/>
    </row>
    <row r="84" spans="1:15" x14ac:dyDescent="0.2">
      <c r="A84" s="236" t="str">
        <f>A78 &amp;" Summary"</f>
        <v xml:space="preserve"> Summary</v>
      </c>
      <c r="B84" s="237">
        <f>B78</f>
        <v>0</v>
      </c>
      <c r="C84" s="229" t="str">
        <f>IFERROR(E84/B84*1000,"-")</f>
        <v>-</v>
      </c>
      <c r="D84" s="228"/>
      <c r="E84" s="227">
        <f>SUM(D78:D83)</f>
        <v>0</v>
      </c>
      <c r="F84" s="226">
        <f>B83</f>
        <v>0</v>
      </c>
      <c r="G84" s="74"/>
      <c r="H84" s="248" t="s">
        <v>320</v>
      </c>
      <c r="I84" s="87">
        <f>IFERROR(VLOOKUP(H84,Table_AC_Daikin,2,FALSE),"-")</f>
        <v>0</v>
      </c>
      <c r="J84" s="87">
        <f>IFERROR(VLOOKUP(H84,Table_AC_Daikin,4,FALSE),"-")</f>
        <v>0</v>
      </c>
      <c r="K84" s="208"/>
      <c r="L84" s="88">
        <f>J84</f>
        <v>0</v>
      </c>
      <c r="M84" s="250">
        <v>1</v>
      </c>
      <c r="N84" s="87">
        <f>IFERROR(L84/M84,"-")</f>
        <v>0</v>
      </c>
      <c r="O84" s="251"/>
    </row>
    <row r="85" spans="1:15" x14ac:dyDescent="0.2">
      <c r="A85" s="75"/>
      <c r="B85" s="76"/>
      <c r="C85" s="77"/>
      <c r="D85" s="68"/>
      <c r="E85" s="220"/>
      <c r="F85" s="23"/>
      <c r="G85" s="74"/>
      <c r="H85" s="74"/>
      <c r="I85" s="208"/>
      <c r="J85" s="74"/>
      <c r="K85" s="74"/>
    </row>
    <row r="86" spans="1:15" x14ac:dyDescent="0.2">
      <c r="A86" s="239"/>
      <c r="B86" s="215">
        <v>0</v>
      </c>
      <c r="C86" s="294">
        <v>0</v>
      </c>
      <c r="D86" s="68">
        <f>B86*C86/1000</f>
        <v>0</v>
      </c>
      <c r="E86" s="64"/>
      <c r="F86" s="82"/>
      <c r="G86" s="23"/>
      <c r="H86" s="63"/>
      <c r="I86" s="63"/>
      <c r="J86" s="209"/>
      <c r="K86" s="209"/>
    </row>
    <row r="87" spans="1:15" outlineLevel="1" x14ac:dyDescent="0.2">
      <c r="A87" s="236" t="s">
        <v>318</v>
      </c>
      <c r="B87" s="69"/>
      <c r="C87" s="70"/>
      <c r="D87" s="252">
        <v>0</v>
      </c>
      <c r="E87" s="64"/>
      <c r="F87" s="212"/>
      <c r="G87" s="23"/>
      <c r="H87" s="63"/>
      <c r="I87" s="63"/>
      <c r="J87" s="209"/>
      <c r="K87" s="209"/>
    </row>
    <row r="88" spans="1:15" outlineLevel="1" x14ac:dyDescent="0.2">
      <c r="A88" s="236" t="s">
        <v>317</v>
      </c>
      <c r="B88" s="69"/>
      <c r="C88" s="70"/>
      <c r="D88" s="252">
        <v>0</v>
      </c>
      <c r="E88" s="64"/>
      <c r="F88" s="212"/>
      <c r="G88" s="23"/>
      <c r="H88" s="63"/>
      <c r="I88" s="63"/>
      <c r="J88" s="209"/>
      <c r="K88" s="209"/>
    </row>
    <row r="89" spans="1:15" outlineLevel="1" x14ac:dyDescent="0.2">
      <c r="A89" s="236" t="s">
        <v>316</v>
      </c>
      <c r="B89" s="211">
        <f>B86</f>
        <v>0</v>
      </c>
      <c r="C89" s="70">
        <v>15</v>
      </c>
      <c r="D89" s="68">
        <f>B89*C89/1000</f>
        <v>0</v>
      </c>
      <c r="E89" s="64"/>
      <c r="F89" s="82"/>
      <c r="G89" s="23"/>
      <c r="H89" s="218"/>
      <c r="I89" s="63"/>
      <c r="J89" s="209"/>
      <c r="K89" s="209"/>
    </row>
    <row r="90" spans="1:15" outlineLevel="1" x14ac:dyDescent="0.2">
      <c r="A90" s="236" t="s">
        <v>315</v>
      </c>
      <c r="B90" s="295">
        <v>0</v>
      </c>
      <c r="C90" s="70">
        <v>120</v>
      </c>
      <c r="D90" s="68">
        <f>B90*C90/1000</f>
        <v>0</v>
      </c>
      <c r="E90" s="64"/>
      <c r="F90" s="82"/>
      <c r="G90" s="23"/>
      <c r="H90" s="219"/>
      <c r="I90" s="63"/>
      <c r="J90" s="209"/>
      <c r="K90" s="209"/>
    </row>
    <row r="91" spans="1:15" outlineLevel="1" x14ac:dyDescent="0.2">
      <c r="A91" s="236" t="s">
        <v>314</v>
      </c>
      <c r="B91" s="73">
        <f>B90*7.5</f>
        <v>0</v>
      </c>
      <c r="C91" s="70">
        <v>3.0499999999999999E-2</v>
      </c>
      <c r="D91" s="68">
        <f>B91*C91</f>
        <v>0</v>
      </c>
      <c r="E91" s="64"/>
      <c r="F91" s="82"/>
      <c r="G91" s="23"/>
      <c r="H91" s="218"/>
      <c r="I91" s="63"/>
      <c r="J91" s="209"/>
      <c r="K91" s="209"/>
    </row>
    <row r="92" spans="1:15" x14ac:dyDescent="0.2">
      <c r="A92" s="236" t="str">
        <f>A86 &amp;" Summary"</f>
        <v xml:space="preserve"> Summary</v>
      </c>
      <c r="B92" s="237">
        <f>B86</f>
        <v>0</v>
      </c>
      <c r="C92" s="229" t="str">
        <f>IFERROR(E92/B92*1000,"-")</f>
        <v>-</v>
      </c>
      <c r="D92" s="228"/>
      <c r="E92" s="227">
        <f>SUM(D86:D91)</f>
        <v>0</v>
      </c>
      <c r="F92" s="226">
        <f>B91</f>
        <v>0</v>
      </c>
      <c r="G92" s="74"/>
      <c r="H92" s="248" t="s">
        <v>320</v>
      </c>
      <c r="I92" s="87">
        <f>IFERROR(VLOOKUP(H92,Table_AC_Daikin,2,FALSE),"-")</f>
        <v>0</v>
      </c>
      <c r="J92" s="87">
        <f>IFERROR(VLOOKUP(H92,Table_AC_Daikin,4,FALSE),"-")</f>
        <v>0</v>
      </c>
      <c r="K92" s="208"/>
      <c r="L92" s="88">
        <f>J92</f>
        <v>0</v>
      </c>
      <c r="M92" s="250">
        <v>1</v>
      </c>
      <c r="N92" s="87">
        <f>IFERROR(L92/M92,"-")</f>
        <v>0</v>
      </c>
      <c r="O92" s="251"/>
    </row>
    <row r="93" spans="1:15" x14ac:dyDescent="0.2">
      <c r="A93" s="75"/>
      <c r="B93" s="76"/>
      <c r="C93" s="77"/>
      <c r="D93" s="68"/>
      <c r="E93" s="23"/>
      <c r="F93" s="23"/>
      <c r="G93" s="74"/>
      <c r="H93" s="74"/>
      <c r="I93" s="208"/>
      <c r="J93" s="74"/>
      <c r="K93" s="74"/>
    </row>
    <row r="94" spans="1:15" x14ac:dyDescent="0.2">
      <c r="A94" s="239"/>
      <c r="B94" s="293">
        <v>0</v>
      </c>
      <c r="C94" s="294">
        <v>0</v>
      </c>
      <c r="D94" s="68">
        <f>B94*C94/1000</f>
        <v>0</v>
      </c>
      <c r="E94" s="64"/>
      <c r="F94" s="82"/>
      <c r="G94" s="23"/>
      <c r="H94" s="63"/>
      <c r="I94" s="63"/>
      <c r="J94" s="209"/>
      <c r="K94" s="209"/>
    </row>
    <row r="95" spans="1:15" outlineLevel="1" x14ac:dyDescent="0.2">
      <c r="A95" s="236" t="s">
        <v>318</v>
      </c>
      <c r="B95" s="69"/>
      <c r="C95" s="70"/>
      <c r="D95" s="252">
        <v>0</v>
      </c>
      <c r="E95" s="64"/>
      <c r="F95" s="212"/>
      <c r="G95" s="23"/>
      <c r="H95" s="63"/>
      <c r="I95" s="63"/>
      <c r="J95" s="209"/>
      <c r="K95" s="209"/>
    </row>
    <row r="96" spans="1:15" outlineLevel="1" x14ac:dyDescent="0.2">
      <c r="A96" s="236" t="s">
        <v>317</v>
      </c>
      <c r="B96" s="69"/>
      <c r="C96" s="70"/>
      <c r="D96" s="252">
        <v>0</v>
      </c>
      <c r="E96" s="64"/>
      <c r="F96" s="212"/>
      <c r="G96" s="23"/>
      <c r="H96" s="63"/>
      <c r="I96" s="63"/>
      <c r="J96" s="209"/>
      <c r="K96" s="209"/>
    </row>
    <row r="97" spans="1:15" outlineLevel="1" x14ac:dyDescent="0.2">
      <c r="A97" s="236" t="s">
        <v>316</v>
      </c>
      <c r="B97" s="211">
        <f>B94</f>
        <v>0</v>
      </c>
      <c r="C97" s="70">
        <v>15</v>
      </c>
      <c r="D97" s="68">
        <f>B97*C97/1000</f>
        <v>0</v>
      </c>
      <c r="E97" s="64"/>
      <c r="F97" s="82"/>
      <c r="G97" s="23"/>
      <c r="H97" s="218"/>
      <c r="I97" s="63"/>
      <c r="J97" s="209"/>
      <c r="K97" s="209"/>
    </row>
    <row r="98" spans="1:15" outlineLevel="1" x14ac:dyDescent="0.2">
      <c r="A98" s="236" t="s">
        <v>315</v>
      </c>
      <c r="B98" s="295">
        <v>0</v>
      </c>
      <c r="C98" s="70">
        <v>120</v>
      </c>
      <c r="D98" s="68">
        <f>B98*C98/1000</f>
        <v>0</v>
      </c>
      <c r="E98" s="64"/>
      <c r="F98" s="82"/>
      <c r="G98" s="23"/>
      <c r="H98" s="219"/>
      <c r="I98" s="63"/>
      <c r="J98" s="209"/>
      <c r="K98" s="209"/>
    </row>
    <row r="99" spans="1:15" outlineLevel="1" x14ac:dyDescent="0.2">
      <c r="A99" s="236" t="s">
        <v>314</v>
      </c>
      <c r="B99" s="73">
        <f>B98*7.5</f>
        <v>0</v>
      </c>
      <c r="C99" s="70">
        <v>3.0499999999999999E-2</v>
      </c>
      <c r="D99" s="68">
        <f>B99*C99</f>
        <v>0</v>
      </c>
      <c r="E99" s="64"/>
      <c r="F99" s="82"/>
      <c r="G99" s="23"/>
      <c r="H99" s="218"/>
      <c r="I99" s="63"/>
      <c r="J99" s="209"/>
      <c r="K99" s="209"/>
    </row>
    <row r="100" spans="1:15" x14ac:dyDescent="0.2">
      <c r="A100" s="236" t="str">
        <f>A94 &amp;" Summary"</f>
        <v xml:space="preserve"> Summary</v>
      </c>
      <c r="B100" s="237">
        <f>B94</f>
        <v>0</v>
      </c>
      <c r="C100" s="229" t="str">
        <f>IFERROR(E100/B100*1000,"-")</f>
        <v>-</v>
      </c>
      <c r="D100" s="228"/>
      <c r="E100" s="227">
        <f>SUM(D94:D99)</f>
        <v>0</v>
      </c>
      <c r="F100" s="226">
        <f>B99</f>
        <v>0</v>
      </c>
      <c r="G100" s="74"/>
      <c r="H100" s="248" t="s">
        <v>320</v>
      </c>
      <c r="I100" s="87">
        <f>IFERROR(VLOOKUP(H100,Table_AC_Daikin,2,FALSE),"-")</f>
        <v>0</v>
      </c>
      <c r="J100" s="87">
        <f>IFERROR(VLOOKUP(H100,Table_AC_Daikin,4,FALSE),"-")</f>
        <v>0</v>
      </c>
      <c r="K100" s="208"/>
      <c r="L100" s="88">
        <f>J100</f>
        <v>0</v>
      </c>
      <c r="M100" s="250">
        <v>1</v>
      </c>
      <c r="N100" s="87">
        <f>IFERROR(L100/M100,"-")</f>
        <v>0</v>
      </c>
      <c r="O100" s="251"/>
    </row>
    <row r="101" spans="1:15" x14ac:dyDescent="0.2">
      <c r="A101" s="75"/>
      <c r="B101" s="76"/>
      <c r="C101" s="77"/>
      <c r="D101" s="68"/>
      <c r="E101" s="23"/>
      <c r="F101" s="23"/>
      <c r="G101" s="74"/>
      <c r="H101" s="74"/>
      <c r="I101" s="208"/>
      <c r="J101" s="74"/>
      <c r="K101" s="74"/>
    </row>
    <row r="102" spans="1:15" x14ac:dyDescent="0.2">
      <c r="A102" s="239"/>
      <c r="B102" s="293">
        <v>0</v>
      </c>
      <c r="C102" s="294">
        <v>0</v>
      </c>
      <c r="D102" s="68">
        <f>B102*C102/1000</f>
        <v>0</v>
      </c>
      <c r="E102" s="64"/>
      <c r="F102" s="82"/>
      <c r="G102" s="23"/>
      <c r="H102" s="63"/>
      <c r="I102" s="63"/>
      <c r="J102" s="209"/>
      <c r="K102" s="209"/>
    </row>
    <row r="103" spans="1:15" outlineLevel="1" x14ac:dyDescent="0.2">
      <c r="A103" s="236" t="s">
        <v>318</v>
      </c>
      <c r="B103" s="69"/>
      <c r="C103" s="70"/>
      <c r="D103" s="252">
        <v>0</v>
      </c>
      <c r="E103" s="64"/>
      <c r="F103" s="212"/>
      <c r="G103" s="23"/>
      <c r="H103" s="63"/>
      <c r="I103" s="63"/>
      <c r="J103" s="209"/>
      <c r="K103" s="209"/>
    </row>
    <row r="104" spans="1:15" outlineLevel="1" x14ac:dyDescent="0.2">
      <c r="A104" s="236" t="s">
        <v>317</v>
      </c>
      <c r="B104" s="69"/>
      <c r="C104" s="70"/>
      <c r="D104" s="252">
        <v>0</v>
      </c>
      <c r="E104" s="64"/>
      <c r="F104" s="212"/>
      <c r="G104" s="23"/>
      <c r="H104" s="63"/>
      <c r="I104" s="63"/>
      <c r="J104" s="209"/>
      <c r="K104" s="209"/>
    </row>
    <row r="105" spans="1:15" outlineLevel="1" x14ac:dyDescent="0.2">
      <c r="A105" s="236" t="s">
        <v>316</v>
      </c>
      <c r="B105" s="211">
        <f>B102</f>
        <v>0</v>
      </c>
      <c r="C105" s="70">
        <v>15</v>
      </c>
      <c r="D105" s="68">
        <f>B105*C105/1000</f>
        <v>0</v>
      </c>
      <c r="E105" s="64"/>
      <c r="F105" s="82"/>
      <c r="G105" s="23"/>
      <c r="H105" s="218"/>
      <c r="I105" s="63"/>
      <c r="J105" s="209"/>
      <c r="K105" s="209"/>
    </row>
    <row r="106" spans="1:15" outlineLevel="1" x14ac:dyDescent="0.2">
      <c r="A106" s="236" t="s">
        <v>315</v>
      </c>
      <c r="B106" s="295">
        <v>0</v>
      </c>
      <c r="C106" s="70">
        <v>120</v>
      </c>
      <c r="D106" s="68">
        <f>B106*C106/1000</f>
        <v>0</v>
      </c>
      <c r="E106" s="64"/>
      <c r="F106" s="82"/>
      <c r="G106" s="23"/>
      <c r="H106" s="219"/>
      <c r="I106" s="63"/>
      <c r="J106" s="209"/>
      <c r="K106" s="209"/>
    </row>
    <row r="107" spans="1:15" outlineLevel="1" x14ac:dyDescent="0.2">
      <c r="A107" s="236" t="s">
        <v>314</v>
      </c>
      <c r="B107" s="73">
        <f>B106*7.5</f>
        <v>0</v>
      </c>
      <c r="C107" s="70">
        <v>3.0499999999999999E-2</v>
      </c>
      <c r="D107" s="68">
        <f>B107*C107</f>
        <v>0</v>
      </c>
      <c r="E107" s="64"/>
      <c r="F107" s="82"/>
      <c r="G107" s="23"/>
      <c r="H107" s="218"/>
      <c r="I107" s="63"/>
      <c r="J107" s="209"/>
      <c r="K107" s="209"/>
    </row>
    <row r="108" spans="1:15" x14ac:dyDescent="0.2">
      <c r="A108" s="236" t="str">
        <f>A102 &amp;" Summary"</f>
        <v xml:space="preserve"> Summary</v>
      </c>
      <c r="B108" s="237">
        <f>B102</f>
        <v>0</v>
      </c>
      <c r="C108" s="229" t="str">
        <f>IFERROR(E108/B108*1000,"-")</f>
        <v>-</v>
      </c>
      <c r="D108" s="228"/>
      <c r="E108" s="227">
        <f>SUM(D102:D107)</f>
        <v>0</v>
      </c>
      <c r="F108" s="226">
        <f>B107</f>
        <v>0</v>
      </c>
      <c r="G108" s="74"/>
      <c r="H108" s="248" t="s">
        <v>320</v>
      </c>
      <c r="I108" s="87">
        <f>IFERROR(VLOOKUP(H108,Table_AC_Daikin,2,FALSE),"-")</f>
        <v>0</v>
      </c>
      <c r="J108" s="87">
        <f>IFERROR(VLOOKUP(H108,Table_AC_Daikin,4,FALSE),"-")</f>
        <v>0</v>
      </c>
      <c r="K108" s="208"/>
      <c r="L108" s="88">
        <f>J108</f>
        <v>0</v>
      </c>
      <c r="M108" s="250">
        <v>1</v>
      </c>
      <c r="N108" s="87">
        <f>IFERROR(L108/M108,"-")</f>
        <v>0</v>
      </c>
      <c r="O108" s="251"/>
    </row>
    <row r="109" spans="1:15" x14ac:dyDescent="0.2">
      <c r="A109" s="75"/>
      <c r="B109" s="76"/>
      <c r="C109" s="77"/>
      <c r="D109" s="68"/>
      <c r="E109" s="23"/>
      <c r="F109" s="23"/>
      <c r="G109" s="74"/>
      <c r="H109" s="74"/>
      <c r="I109" s="208"/>
      <c r="J109" s="74"/>
      <c r="K109" s="74"/>
    </row>
    <row r="110" spans="1:15" ht="13.5" thickBot="1" x14ac:dyDescent="0.25">
      <c r="A110" s="207"/>
      <c r="B110" s="206"/>
      <c r="C110" s="205"/>
      <c r="D110" s="204"/>
      <c r="E110" s="203"/>
      <c r="F110" s="203"/>
      <c r="G110" s="74"/>
      <c r="H110" s="202"/>
      <c r="I110" s="202"/>
      <c r="J110" s="202"/>
      <c r="K110" s="74"/>
      <c r="L110" s="201"/>
      <c r="M110" s="247"/>
      <c r="N110" s="200"/>
      <c r="O110" s="200"/>
    </row>
    <row r="111" spans="1:15" ht="13.5" thickTop="1" x14ac:dyDescent="0.2">
      <c r="A111" s="240" t="s">
        <v>261</v>
      </c>
      <c r="B111" s="241">
        <f>SUM(B62,B70,B78,B86,B94,B102)</f>
        <v>0</v>
      </c>
      <c r="C111" s="242" t="str">
        <f>IFERROR(E111/B111*1000,"-")</f>
        <v>-</v>
      </c>
      <c r="D111" s="243"/>
      <c r="E111" s="244">
        <f>SUM(E68:E108)</f>
        <v>0</v>
      </c>
      <c r="F111" s="253">
        <f>SUM(F68:F108)</f>
        <v>0</v>
      </c>
      <c r="G111" s="74"/>
      <c r="H111" s="23" t="s">
        <v>262</v>
      </c>
      <c r="I111" s="223">
        <f>SUM(I62:I110)</f>
        <v>0</v>
      </c>
      <c r="J111" s="224">
        <f>SUM(J62:J110)</f>
        <v>0</v>
      </c>
      <c r="K111" s="224"/>
      <c r="M111" s="225">
        <f>SUM(M62:M110)</f>
        <v>7</v>
      </c>
      <c r="N111" s="224">
        <f>SUM(N62:N110)</f>
        <v>0</v>
      </c>
      <c r="O111" s="224">
        <f>SUM(O62:O110)</f>
        <v>0</v>
      </c>
    </row>
    <row r="112" spans="1:15" x14ac:dyDescent="0.2">
      <c r="A112" s="81"/>
      <c r="B112" s="23"/>
      <c r="C112" s="161"/>
      <c r="D112" s="64"/>
      <c r="E112" s="64"/>
      <c r="F112" s="254">
        <f>SUM(B66,B74,B82,B90,B98,B106)</f>
        <v>0</v>
      </c>
      <c r="G112" s="23"/>
      <c r="H112" s="23" t="s">
        <v>273</v>
      </c>
      <c r="I112" s="23"/>
      <c r="J112" s="23"/>
      <c r="K112" s="23"/>
    </row>
    <row r="113" spans="1:11" x14ac:dyDescent="0.2">
      <c r="A113" s="81"/>
      <c r="B113" s="23"/>
      <c r="C113" s="161"/>
      <c r="D113" s="64"/>
      <c r="E113" s="64"/>
      <c r="F113" s="64"/>
      <c r="G113" s="23"/>
      <c r="H113" s="248" t="s">
        <v>320</v>
      </c>
      <c r="I113" s="223">
        <f>IFERROR(VLOOKUP($H113,Table_AC_Daikin,2,FALSE)*1,"-")</f>
        <v>0</v>
      </c>
      <c r="J113" s="222" t="str">
        <f>IFERROR(I111/I113,"-")</f>
        <v>-</v>
      </c>
      <c r="K113" s="222"/>
    </row>
    <row r="115" spans="1:11" x14ac:dyDescent="0.2">
      <c r="A115" s="81"/>
      <c r="B115" s="23"/>
      <c r="C115" s="161"/>
      <c r="D115" s="64"/>
      <c r="E115" s="64"/>
      <c r="F115" s="64"/>
      <c r="G115" s="23"/>
      <c r="H115" s="74"/>
      <c r="I115" s="217"/>
      <c r="J115" s="216"/>
      <c r="K115" s="216"/>
    </row>
    <row r="116" spans="1:11" x14ac:dyDescent="0.2">
      <c r="A116" s="81"/>
      <c r="B116" s="23"/>
      <c r="C116" s="161"/>
      <c r="D116" s="64"/>
      <c r="E116" s="64"/>
      <c r="F116" s="64"/>
      <c r="G116" s="23"/>
      <c r="H116" s="221"/>
      <c r="I116" s="199"/>
      <c r="J116" s="198"/>
      <c r="K116" s="198"/>
    </row>
  </sheetData>
  <mergeCells count="5">
    <mergeCell ref="A61:F61"/>
    <mergeCell ref="H3:J3"/>
    <mergeCell ref="L3:O3"/>
    <mergeCell ref="A3:F3"/>
    <mergeCell ref="A6:F6"/>
  </mergeCells>
  <dataValidations count="1">
    <dataValidation type="list" allowBlank="1" showInputMessage="1" showErrorMessage="1" sqref="H116" xr:uid="{BE0C38BC-9BC1-4950-BFE5-FB95BA11B217}">
      <formula1>#REF!</formula1>
    </dataValidation>
  </dataValidations>
  <pageMargins left="0.7" right="0.7" top="0.75" bottom="0.75" header="0.3" footer="0.3"/>
  <pageSetup paperSize="9" scale="24" orientation="portrait" r:id="rId1"/>
  <extLst>
    <ext xmlns:x14="http://schemas.microsoft.com/office/spreadsheetml/2009/9/main" uri="{CCE6A557-97BC-4b89-ADB6-D9C93CAAB3DF}">
      <x14:dataValidations xmlns:xm="http://schemas.microsoft.com/office/excel/2006/main" count="3">
        <x14:dataValidation type="list" errorStyle="information" allowBlank="1" showInputMessage="1" showErrorMessage="1" errorTitle="UNLISTED MODEL" error="Please input customised model and fill in its data manually" xr:uid="{992F50AF-C3DE-477C-A54C-2D28C0A7E0F3}">
          <x14:formula1>
            <xm:f>'REF-AC Data'!$E$41:$E$47</xm:f>
          </x14:formula1>
          <xm:sqref>H58 H113</xm:sqref>
        </x14:dataValidation>
        <x14:dataValidation type="list" errorStyle="information" allowBlank="1" showInputMessage="1" showErrorMessage="1" errorTitle="UNLISTED MODEL" error="Please input customised model and fill in equipment data manually" xr:uid="{354EE3B5-CEE1-48CB-AF74-B50A7A5089B5}">
          <x14:formula1>
            <xm:f>'REF-AC Data'!$E$2:$E$40</xm:f>
          </x14:formula1>
          <xm:sqref>H13 H45 H37 H29 H21 H68 H100 H92 H84 H76</xm:sqref>
        </x14:dataValidation>
        <x14:dataValidation type="list" errorStyle="information" allowBlank="1" showInputMessage="1" showErrorMessage="1" errorTitle="UNLISTED MODEL" error="Please input customised model and fill in its data manually" xr:uid="{EFF51FEB-5310-400B-8D71-41EFD2A0792C}">
          <x14:formula1>
            <xm:f>'REF-AC Data'!$E$2:$E$40</xm:f>
          </x14:formula1>
          <xm:sqref>H53 H108</xm:sqref>
        </x14:dataValidation>
      </x14:dataValidations>
    </ext>
  </extLst>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4F38F05-5A84-41A5-B8CB-DF4EFF0E0048}">
  <sheetPr>
    <pageSetUpPr fitToPage="1"/>
  </sheetPr>
  <dimension ref="A1:CA61"/>
  <sheetViews>
    <sheetView zoomScale="85" zoomScaleNormal="85" workbookViewId="0">
      <selection activeCell="H51" sqref="H51"/>
    </sheetView>
  </sheetViews>
  <sheetFormatPr defaultColWidth="9.140625" defaultRowHeight="12.75" outlineLevelCol="1" x14ac:dyDescent="0.2"/>
  <cols>
    <col min="1" max="1" width="9.140625" style="99"/>
    <col min="2" max="2" width="4.42578125" style="99" customWidth="1"/>
    <col min="3" max="3" width="15.7109375" style="99" customWidth="1"/>
    <col min="4" max="4" width="5" style="99" customWidth="1"/>
    <col min="5" max="5" width="6.28515625" style="99" bestFit="1" customWidth="1"/>
    <col min="6" max="6" width="4.42578125" style="99" customWidth="1"/>
    <col min="7" max="7" width="15.7109375" style="99" customWidth="1"/>
    <col min="8" max="8" width="5" style="99" customWidth="1"/>
    <col min="9" max="9" width="5.28515625" style="99" customWidth="1"/>
    <col min="10" max="10" width="4.42578125" style="99" customWidth="1"/>
    <col min="11" max="11" width="15.7109375" style="99" customWidth="1"/>
    <col min="12" max="12" width="5" style="99" customWidth="1"/>
    <col min="13" max="13" width="5.28515625" style="99" customWidth="1"/>
    <col min="14" max="14" width="4.42578125" style="99" customWidth="1"/>
    <col min="15" max="15" width="15.7109375" style="99" customWidth="1"/>
    <col min="16" max="16" width="5" style="99" customWidth="1"/>
    <col min="17" max="17" width="5.28515625" style="99" customWidth="1"/>
    <col min="18" max="18" width="4.7109375" style="99" customWidth="1"/>
    <col min="19" max="19" width="10.140625" style="99" customWidth="1"/>
    <col min="20" max="21" width="8.7109375" style="101" customWidth="1"/>
    <col min="22" max="22" width="12.7109375" style="99" customWidth="1"/>
    <col min="23" max="25" width="8.7109375" style="99" hidden="1" customWidth="1" outlineLevel="1"/>
    <col min="26" max="26" width="10.28515625" style="99" hidden="1" customWidth="1" outlineLevel="1"/>
    <col min="27" max="27" width="9" style="99" customWidth="1" collapsed="1"/>
    <col min="28" max="28" width="4.7109375" style="99" customWidth="1"/>
    <col min="29" max="29" width="9.28515625" style="99" customWidth="1"/>
    <col min="30" max="31" width="8.7109375" style="99" customWidth="1"/>
    <col min="32" max="32" width="12.7109375" style="99" customWidth="1"/>
    <col min="33" max="36" width="8.7109375" style="99" hidden="1" customWidth="1" outlineLevel="1"/>
    <col min="37" max="37" width="12.42578125" style="99" customWidth="1" collapsed="1"/>
    <col min="38" max="38" width="4.7109375" style="99" customWidth="1"/>
    <col min="39" max="39" width="9.140625" style="101"/>
    <col min="40" max="43" width="9.140625" style="99"/>
    <col min="44" max="44" width="11.42578125" style="99" customWidth="1"/>
    <col min="45" max="45" width="11.28515625" style="99" customWidth="1"/>
    <col min="46" max="53" width="9.140625" style="99"/>
    <col min="54" max="63" width="15.5703125" style="99" customWidth="1"/>
    <col min="64" max="16384" width="9.140625" style="99"/>
  </cols>
  <sheetData>
    <row r="1" spans="1:79" x14ac:dyDescent="0.2">
      <c r="T1" s="100"/>
      <c r="U1" s="100"/>
      <c r="V1" s="100"/>
      <c r="W1" s="100" t="s">
        <v>141</v>
      </c>
      <c r="X1" s="100"/>
      <c r="Y1" s="100"/>
      <c r="Z1" s="100"/>
    </row>
    <row r="2" spans="1:79" x14ac:dyDescent="0.2">
      <c r="S2" s="102" t="s">
        <v>144</v>
      </c>
      <c r="T2" s="102"/>
      <c r="U2" s="89">
        <v>1.204</v>
      </c>
      <c r="V2" s="104"/>
      <c r="W2" s="102" t="s">
        <v>137</v>
      </c>
      <c r="X2" s="105"/>
      <c r="Y2" s="102">
        <v>0.15</v>
      </c>
      <c r="Z2" s="102" t="s">
        <v>103</v>
      </c>
    </row>
    <row r="3" spans="1:79" x14ac:dyDescent="0.2">
      <c r="S3" s="102" t="s">
        <v>136</v>
      </c>
      <c r="T3" s="102"/>
      <c r="U3" s="258" t="s">
        <v>137</v>
      </c>
      <c r="V3" s="104"/>
      <c r="W3" s="102" t="s">
        <v>138</v>
      </c>
      <c r="X3" s="105"/>
      <c r="Y3" s="256">
        <v>1</v>
      </c>
      <c r="Z3" s="102" t="s">
        <v>103</v>
      </c>
    </row>
    <row r="4" spans="1:79" x14ac:dyDescent="0.2">
      <c r="S4" s="102" t="s">
        <v>145</v>
      </c>
      <c r="T4" s="102"/>
      <c r="U4" s="108">
        <f>VLOOKUP(U3,W2:Y4,3, FALSE)</f>
        <v>0.15</v>
      </c>
      <c r="V4" s="104"/>
      <c r="W4" s="102" t="s">
        <v>142</v>
      </c>
      <c r="X4" s="105"/>
      <c r="Y4" s="102">
        <v>0.375</v>
      </c>
      <c r="Z4" s="102" t="s">
        <v>103</v>
      </c>
    </row>
    <row r="5" spans="1:79" x14ac:dyDescent="0.2">
      <c r="A5" s="99" t="s">
        <v>15</v>
      </c>
      <c r="B5" s="443" t="s">
        <v>397</v>
      </c>
      <c r="C5" s="443"/>
      <c r="F5" s="443"/>
      <c r="G5" s="443"/>
      <c r="J5" s="443"/>
      <c r="K5" s="443"/>
      <c r="N5" s="443"/>
      <c r="O5" s="443"/>
    </row>
    <row r="6" spans="1:79" ht="15" customHeight="1" x14ac:dyDescent="0.2">
      <c r="A6" s="442" t="s">
        <v>16</v>
      </c>
      <c r="B6" s="442" t="s">
        <v>84</v>
      </c>
      <c r="C6" s="442"/>
      <c r="D6" s="442"/>
      <c r="E6" s="442"/>
      <c r="F6" s="442" t="s">
        <v>85</v>
      </c>
      <c r="G6" s="442"/>
      <c r="H6" s="442"/>
      <c r="I6" s="442"/>
      <c r="J6" s="442" t="s">
        <v>83</v>
      </c>
      <c r="K6" s="442"/>
      <c r="L6" s="442"/>
      <c r="M6" s="442"/>
      <c r="N6" s="442" t="s">
        <v>86</v>
      </c>
      <c r="O6" s="442"/>
      <c r="P6" s="442"/>
      <c r="Q6" s="442"/>
      <c r="R6" s="101"/>
      <c r="S6" s="439" t="s">
        <v>25</v>
      </c>
      <c r="T6" s="440" t="s">
        <v>87</v>
      </c>
      <c r="U6" s="440"/>
      <c r="V6" s="440"/>
      <c r="W6" s="440"/>
      <c r="X6" s="440"/>
      <c r="Y6" s="440"/>
      <c r="Z6" s="440"/>
      <c r="AA6" s="440"/>
      <c r="AB6" s="101"/>
      <c r="AC6" s="439" t="s">
        <v>25</v>
      </c>
      <c r="AD6" s="444" t="s">
        <v>181</v>
      </c>
      <c r="AE6" s="444"/>
      <c r="AF6" s="444"/>
      <c r="AG6" s="444"/>
      <c r="AH6" s="444"/>
      <c r="AI6" s="444"/>
      <c r="AJ6" s="444"/>
      <c r="AK6" s="444"/>
      <c r="AM6" s="445" t="s">
        <v>263</v>
      </c>
      <c r="AN6" s="445" t="s">
        <v>58</v>
      </c>
      <c r="AO6" s="446" t="s">
        <v>59</v>
      </c>
      <c r="AP6" s="446"/>
      <c r="AQ6" s="446"/>
      <c r="AR6" s="446"/>
      <c r="AS6" s="446"/>
    </row>
    <row r="7" spans="1:79" ht="15" customHeight="1" x14ac:dyDescent="0.3">
      <c r="A7" s="442"/>
      <c r="B7" s="109" t="s">
        <v>13</v>
      </c>
      <c r="C7" s="110" t="s">
        <v>27</v>
      </c>
      <c r="D7" s="109" t="s">
        <v>28</v>
      </c>
      <c r="E7" s="109" t="s">
        <v>29</v>
      </c>
      <c r="F7" s="109" t="s">
        <v>13</v>
      </c>
      <c r="G7" s="109" t="s">
        <v>27</v>
      </c>
      <c r="H7" s="109" t="s">
        <v>28</v>
      </c>
      <c r="I7" s="109" t="s">
        <v>29</v>
      </c>
      <c r="J7" s="109" t="s">
        <v>13</v>
      </c>
      <c r="K7" s="109" t="s">
        <v>27</v>
      </c>
      <c r="L7" s="109" t="s">
        <v>28</v>
      </c>
      <c r="M7" s="109" t="s">
        <v>29</v>
      </c>
      <c r="N7" s="109" t="s">
        <v>13</v>
      </c>
      <c r="O7" s="109" t="s">
        <v>27</v>
      </c>
      <c r="P7" s="109" t="s">
        <v>28</v>
      </c>
      <c r="Q7" s="109" t="s">
        <v>29</v>
      </c>
      <c r="S7" s="439"/>
      <c r="T7" s="111" t="s">
        <v>182</v>
      </c>
      <c r="U7" s="111" t="s">
        <v>183</v>
      </c>
      <c r="V7" s="109" t="s">
        <v>82</v>
      </c>
      <c r="W7" s="105" t="s">
        <v>150</v>
      </c>
      <c r="X7" s="105" t="s">
        <v>293</v>
      </c>
      <c r="Y7" s="105" t="s">
        <v>130</v>
      </c>
      <c r="Z7" s="105" t="s">
        <v>131</v>
      </c>
      <c r="AA7" s="105" t="s">
        <v>151</v>
      </c>
      <c r="AC7" s="439"/>
      <c r="AD7" s="111" t="s">
        <v>182</v>
      </c>
      <c r="AE7" s="111" t="s">
        <v>183</v>
      </c>
      <c r="AF7" s="109" t="s">
        <v>82</v>
      </c>
      <c r="AG7" s="105" t="s">
        <v>150</v>
      </c>
      <c r="AH7" s="105" t="s">
        <v>293</v>
      </c>
      <c r="AI7" s="105" t="s">
        <v>130</v>
      </c>
      <c r="AJ7" s="105" t="s">
        <v>131</v>
      </c>
      <c r="AK7" s="105" t="s">
        <v>151</v>
      </c>
      <c r="AM7" s="445"/>
      <c r="AN7" s="445"/>
      <c r="AO7" s="111" t="s">
        <v>182</v>
      </c>
      <c r="AP7" s="111" t="s">
        <v>183</v>
      </c>
      <c r="AQ7" s="102" t="s">
        <v>147</v>
      </c>
      <c r="AR7" s="102" t="s">
        <v>149</v>
      </c>
      <c r="AS7" s="102" t="s">
        <v>148</v>
      </c>
      <c r="BA7"/>
      <c r="BB7"/>
      <c r="BC7"/>
      <c r="BD7"/>
      <c r="BE7"/>
      <c r="BF7"/>
      <c r="BG7"/>
      <c r="BH7"/>
      <c r="BI7"/>
      <c r="BJ7"/>
      <c r="BK7"/>
      <c r="BL7"/>
      <c r="BM7"/>
      <c r="BN7"/>
      <c r="BO7"/>
      <c r="BP7"/>
      <c r="BQ7"/>
      <c r="BR7"/>
      <c r="BS7"/>
      <c r="BT7"/>
      <c r="BU7"/>
      <c r="BV7"/>
    </row>
    <row r="8" spans="1:79" x14ac:dyDescent="0.2">
      <c r="A8" s="442"/>
      <c r="B8" s="109"/>
      <c r="C8" s="109"/>
      <c r="D8" s="109" t="s">
        <v>33</v>
      </c>
      <c r="E8" s="109" t="s">
        <v>33</v>
      </c>
      <c r="F8" s="109"/>
      <c r="G8" s="109"/>
      <c r="H8" s="109" t="s">
        <v>33</v>
      </c>
      <c r="I8" s="109" t="s">
        <v>33</v>
      </c>
      <c r="J8" s="109"/>
      <c r="K8" s="109"/>
      <c r="L8" s="109" t="s">
        <v>33</v>
      </c>
      <c r="M8" s="109" t="s">
        <v>33</v>
      </c>
      <c r="N8" s="109"/>
      <c r="O8" s="109"/>
      <c r="P8" s="109" t="s">
        <v>33</v>
      </c>
      <c r="Q8" s="109" t="s">
        <v>33</v>
      </c>
      <c r="S8" s="109" t="s">
        <v>33</v>
      </c>
      <c r="T8" s="110" t="s">
        <v>34</v>
      </c>
      <c r="U8" s="110" t="s">
        <v>34</v>
      </c>
      <c r="V8" s="109" t="s">
        <v>35</v>
      </c>
      <c r="W8" s="110" t="s">
        <v>103</v>
      </c>
      <c r="X8" s="110" t="s">
        <v>103</v>
      </c>
      <c r="Y8" s="109"/>
      <c r="Z8" s="109"/>
      <c r="AA8" s="105" t="s">
        <v>108</v>
      </c>
      <c r="AC8" s="109" t="s">
        <v>33</v>
      </c>
      <c r="AD8" s="109" t="s">
        <v>34</v>
      </c>
      <c r="AE8" s="109" t="s">
        <v>34</v>
      </c>
      <c r="AF8" s="109" t="s">
        <v>35</v>
      </c>
      <c r="AG8" s="110" t="s">
        <v>103</v>
      </c>
      <c r="AH8" s="110" t="s">
        <v>103</v>
      </c>
      <c r="AI8" s="109"/>
      <c r="AJ8" s="109"/>
      <c r="AK8" s="105" t="s">
        <v>108</v>
      </c>
      <c r="AM8" s="105"/>
      <c r="AN8" s="105" t="s">
        <v>33</v>
      </c>
      <c r="AO8" s="105" t="s">
        <v>34</v>
      </c>
      <c r="AP8" s="105" t="s">
        <v>34</v>
      </c>
      <c r="AQ8" s="105" t="s">
        <v>146</v>
      </c>
      <c r="AR8" s="105" t="s">
        <v>35</v>
      </c>
      <c r="AS8" s="105" t="s">
        <v>35</v>
      </c>
      <c r="BA8"/>
      <c r="BB8"/>
      <c r="BC8"/>
      <c r="BD8"/>
      <c r="BE8"/>
      <c r="BF8"/>
      <c r="BG8"/>
      <c r="BH8"/>
      <c r="BI8"/>
      <c r="BJ8"/>
      <c r="BK8"/>
      <c r="BL8"/>
      <c r="BM8"/>
      <c r="BN8"/>
      <c r="BO8"/>
      <c r="BP8"/>
      <c r="BQ8"/>
      <c r="BR8"/>
      <c r="BS8"/>
      <c r="BT8"/>
      <c r="BU8"/>
      <c r="BV8"/>
    </row>
    <row r="9" spans="1:79" x14ac:dyDescent="0.2">
      <c r="A9" s="441" t="s">
        <v>397</v>
      </c>
      <c r="B9" s="296">
        <v>1</v>
      </c>
      <c r="C9" s="297"/>
      <c r="D9" s="297">
        <v>2300</v>
      </c>
      <c r="E9" s="297"/>
      <c r="F9" s="296">
        <v>0</v>
      </c>
      <c r="G9" s="297"/>
      <c r="H9" s="297">
        <v>0</v>
      </c>
      <c r="I9" s="297"/>
      <c r="J9" s="296">
        <v>0</v>
      </c>
      <c r="K9" s="297"/>
      <c r="L9" s="297">
        <v>0</v>
      </c>
      <c r="M9" s="297"/>
      <c r="N9" s="296">
        <v>0</v>
      </c>
      <c r="O9" s="297"/>
      <c r="P9" s="297">
        <v>0</v>
      </c>
      <c r="Q9" s="109"/>
      <c r="S9" s="109"/>
      <c r="T9" s="110"/>
      <c r="U9" s="110"/>
      <c r="V9" s="109"/>
      <c r="W9" s="109"/>
      <c r="X9" s="109"/>
      <c r="Y9" s="109"/>
      <c r="Z9" s="109"/>
      <c r="AA9" s="109"/>
      <c r="AC9" s="109"/>
      <c r="AD9" s="109"/>
      <c r="AE9" s="109"/>
      <c r="AF9" s="109"/>
      <c r="AG9" s="109"/>
      <c r="AH9" s="109"/>
      <c r="AI9" s="109"/>
      <c r="AJ9" s="109"/>
      <c r="AK9" s="109"/>
      <c r="AM9" s="105"/>
      <c r="AN9" s="102"/>
      <c r="AO9" s="102"/>
      <c r="AP9" s="102"/>
      <c r="AQ9" s="102"/>
      <c r="AR9" s="102"/>
      <c r="AS9" s="102"/>
      <c r="BA9"/>
      <c r="BB9" s="335" t="s">
        <v>401</v>
      </c>
      <c r="BC9"/>
      <c r="BD9"/>
      <c r="BE9"/>
      <c r="BF9"/>
      <c r="BG9"/>
      <c r="BH9"/>
      <c r="BI9"/>
      <c r="BJ9"/>
      <c r="BK9"/>
      <c r="BL9"/>
      <c r="BM9"/>
      <c r="BN9"/>
      <c r="BO9"/>
      <c r="BP9"/>
      <c r="BQ9"/>
      <c r="BR9"/>
      <c r="BS9"/>
      <c r="BT9"/>
      <c r="BU9"/>
      <c r="BV9"/>
    </row>
    <row r="10" spans="1:79" x14ac:dyDescent="0.2">
      <c r="A10" s="441"/>
      <c r="B10" s="112"/>
      <c r="C10" s="112"/>
      <c r="D10" s="112"/>
      <c r="E10" s="112">
        <f>B9*D9</f>
        <v>2300</v>
      </c>
      <c r="F10" s="112"/>
      <c r="G10" s="112"/>
      <c r="H10" s="112"/>
      <c r="I10" s="112">
        <f>F9*H9</f>
        <v>0</v>
      </c>
      <c r="J10" s="112"/>
      <c r="K10" s="112"/>
      <c r="L10" s="112"/>
      <c r="M10" s="112">
        <f>J9*L9</f>
        <v>0</v>
      </c>
      <c r="N10" s="112"/>
      <c r="O10" s="112"/>
      <c r="P10" s="112"/>
      <c r="Q10" s="112">
        <f>N9*P9</f>
        <v>0</v>
      </c>
      <c r="S10" s="112">
        <f>SUM(E10:Q10)</f>
        <v>2300</v>
      </c>
      <c r="T10" s="298">
        <v>0.95</v>
      </c>
      <c r="U10" s="298">
        <v>0.35</v>
      </c>
      <c r="V10" s="113">
        <f>IFERROR(S10/T10/U10/1000,"-")</f>
        <v>6.9172932330827077</v>
      </c>
      <c r="W10" s="114">
        <f>$U$4</f>
        <v>0.15</v>
      </c>
      <c r="X10" s="115">
        <f t="shared" ref="X10" si="0">IFERROR(4*T10*U10/(2*(T10+U10))*1000,"-")</f>
        <v>511.53846153846149</v>
      </c>
      <c r="Y10" s="116">
        <f>IFERROR(66.4*X10*V10,"-")</f>
        <v>234953.84615384616</v>
      </c>
      <c r="Z10" s="117">
        <f>IFERROR(0.25/(LOG(W10/X10/3.7+5.74/Y10^0.9,10))^2,"-")</f>
        <v>1.7434335899414549E-2</v>
      </c>
      <c r="AA10" s="118">
        <f>IFERROR(Z10*$U$2/2*V10^2/(X10/1000),"-")</f>
        <v>0.98173885585068854</v>
      </c>
      <c r="AC10" s="112"/>
      <c r="AD10" s="298"/>
      <c r="AE10" s="298"/>
      <c r="AF10" s="119" t="str">
        <f>IFERROR(AC10/AD10/AE10/1000,"-")</f>
        <v>-</v>
      </c>
      <c r="AG10" s="113"/>
      <c r="AH10" s="113"/>
      <c r="AI10" s="113"/>
      <c r="AJ10" s="113"/>
      <c r="AK10" s="113"/>
      <c r="AM10" s="90">
        <v>1</v>
      </c>
      <c r="AN10" s="121">
        <v>181</v>
      </c>
      <c r="AO10" s="299">
        <v>1.2</v>
      </c>
      <c r="AP10" s="299">
        <v>0.15</v>
      </c>
      <c r="AQ10" s="91">
        <v>0.6</v>
      </c>
      <c r="AR10" s="122">
        <f>IFERROR(AN10/1000/AO10/AP10,"-")</f>
        <v>1.0055555555555558</v>
      </c>
      <c r="AS10" s="122">
        <f>IFERROR(AR10/AQ10,"-")</f>
        <v>1.6759259259259263</v>
      </c>
      <c r="BA10"/>
      <c r="BB10"/>
      <c r="BC10" t="s">
        <v>402</v>
      </c>
      <c r="BD10"/>
      <c r="BE10"/>
      <c r="BF10"/>
      <c r="BG10"/>
      <c r="BH10"/>
      <c r="BI10"/>
      <c r="BJ10"/>
      <c r="BK10"/>
      <c r="BL10"/>
      <c r="BM10"/>
      <c r="BN10"/>
      <c r="BO10"/>
      <c r="BP10"/>
      <c r="BQ10"/>
      <c r="BR10"/>
      <c r="BS10"/>
      <c r="BT10"/>
      <c r="BU10"/>
      <c r="BV10"/>
    </row>
    <row r="11" spans="1:79" x14ac:dyDescent="0.2">
      <c r="A11" s="441"/>
      <c r="B11" s="296">
        <v>0</v>
      </c>
      <c r="C11" s="297"/>
      <c r="D11" s="297">
        <v>0</v>
      </c>
      <c r="E11" s="297"/>
      <c r="F11" s="296">
        <v>0</v>
      </c>
      <c r="G11" s="297"/>
      <c r="H11" s="297">
        <v>0</v>
      </c>
      <c r="I11" s="297"/>
      <c r="J11" s="296">
        <v>0</v>
      </c>
      <c r="K11" s="297"/>
      <c r="L11" s="297">
        <v>0</v>
      </c>
      <c r="M11" s="297"/>
      <c r="N11" s="296">
        <v>0</v>
      </c>
      <c r="O11" s="297"/>
      <c r="P11" s="297">
        <v>0</v>
      </c>
      <c r="Q11" s="109"/>
      <c r="S11" s="109"/>
      <c r="T11" s="123"/>
      <c r="U11" s="123"/>
      <c r="V11" s="109"/>
      <c r="W11" s="109"/>
      <c r="X11" s="109"/>
      <c r="Y11" s="109"/>
      <c r="Z11" s="109"/>
      <c r="AA11" s="109"/>
      <c r="AC11" s="109"/>
      <c r="AD11" s="124"/>
      <c r="AE11" s="124"/>
      <c r="AF11" s="109"/>
      <c r="AG11" s="109"/>
      <c r="AH11" s="109"/>
      <c r="AI11" s="109"/>
      <c r="AJ11" s="109"/>
      <c r="AK11" s="109"/>
      <c r="AM11" s="54"/>
      <c r="AN11" s="125"/>
      <c r="AO11" s="105"/>
      <c r="AP11" s="105"/>
      <c r="AQ11" s="54"/>
      <c r="AR11" s="105"/>
      <c r="AS11" s="105"/>
      <c r="BA11"/>
      <c r="BB11" s="447" t="s">
        <v>403</v>
      </c>
      <c r="BC11" s="447"/>
      <c r="BD11" s="448" t="s">
        <v>404</v>
      </c>
      <c r="BE11" s="448"/>
      <c r="BF11" s="338">
        <v>2140</v>
      </c>
      <c r="BG11"/>
      <c r="BH11"/>
      <c r="BI11"/>
      <c r="BJ11"/>
      <c r="BK11"/>
      <c r="BL11"/>
      <c r="BM11"/>
      <c r="BN11"/>
      <c r="BO11"/>
      <c r="BP11"/>
      <c r="BQ11"/>
      <c r="BR11"/>
      <c r="BS11"/>
      <c r="BT11"/>
      <c r="BU11"/>
      <c r="BV11"/>
    </row>
    <row r="12" spans="1:79" s="120" customFormat="1" x14ac:dyDescent="0.2">
      <c r="A12" s="441"/>
      <c r="B12" s="112"/>
      <c r="C12" s="112"/>
      <c r="D12" s="112"/>
      <c r="E12" s="112">
        <f>B11*D11</f>
        <v>0</v>
      </c>
      <c r="F12" s="112"/>
      <c r="G12" s="112"/>
      <c r="H12" s="112"/>
      <c r="I12" s="112">
        <f>F11*H11</f>
        <v>0</v>
      </c>
      <c r="J12" s="112"/>
      <c r="K12" s="112"/>
      <c r="L12" s="112"/>
      <c r="M12" s="112">
        <f>J11*L11</f>
        <v>0</v>
      </c>
      <c r="N12" s="112"/>
      <c r="O12" s="112"/>
      <c r="P12" s="112"/>
      <c r="Q12" s="112">
        <f>N11*P11</f>
        <v>0</v>
      </c>
      <c r="R12" s="99"/>
      <c r="S12" s="112">
        <f>SUM(E12:Q12)</f>
        <v>0</v>
      </c>
      <c r="T12" s="298">
        <v>0</v>
      </c>
      <c r="U12" s="298">
        <v>0</v>
      </c>
      <c r="V12" s="113" t="str">
        <f>IFERROR(S12/T12/U12/1000,"-")</f>
        <v>-</v>
      </c>
      <c r="W12" s="114">
        <f>$U$4</f>
        <v>0.15</v>
      </c>
      <c r="X12" s="115" t="str">
        <f t="shared" ref="X12" si="1">IFERROR(4*T12*U12/(2*(T12+U12))*1000,"-")</f>
        <v>-</v>
      </c>
      <c r="Y12" s="116" t="str">
        <f t="shared" ref="Y12" si="2">IFERROR(66.4*X12*V12,"-")</f>
        <v>-</v>
      </c>
      <c r="Z12" s="117" t="str">
        <f>IFERROR(0.25/(LOG(W12/X12/3.7+5.74/Y12^0.9,10))^2,"-")</f>
        <v>-</v>
      </c>
      <c r="AA12" s="118" t="str">
        <f>IFERROR(Z12*$U$2/2*V12^2/(X12/1000),"-")</f>
        <v>-</v>
      </c>
      <c r="AB12" s="99"/>
      <c r="AC12" s="112">
        <f>S12+S10</f>
        <v>2300</v>
      </c>
      <c r="AD12" s="298"/>
      <c r="AE12" s="298"/>
      <c r="AF12" s="119" t="str">
        <f>IFERROR(AC12/AD12/AE12/1000,"-")</f>
        <v>-</v>
      </c>
      <c r="AG12" s="114">
        <f>$U$4</f>
        <v>0.15</v>
      </c>
      <c r="AH12" s="115" t="str">
        <f t="shared" ref="AH12" si="3">IFERROR(4*AD12*AE12/(2*(AD12+AE12))*1000,"-")</f>
        <v>-</v>
      </c>
      <c r="AI12" s="116" t="str">
        <f t="shared" ref="AI12" si="4">IFERROR(66.4*AH12*AF12,"-")</f>
        <v>-</v>
      </c>
      <c r="AJ12" s="117" t="str">
        <f>IFERROR(0.25/(LOG(AG12/AH12/3.7+5.74/AI12^0.9,10))^2,"-")</f>
        <v>-</v>
      </c>
      <c r="AK12" s="118" t="str">
        <f>IFERROR(AJ12*$U$2/2*AF12^2/(AH12/1000),"-")</f>
        <v>-</v>
      </c>
      <c r="AL12" s="99"/>
      <c r="AM12" s="90">
        <v>2</v>
      </c>
      <c r="AN12" s="121">
        <f>IFERROR(S12/AM12,"-")</f>
        <v>0</v>
      </c>
      <c r="AO12" s="299">
        <v>0</v>
      </c>
      <c r="AP12" s="299">
        <v>0</v>
      </c>
      <c r="AQ12" s="91">
        <v>0.5</v>
      </c>
      <c r="AR12" s="122" t="str">
        <f>IFERROR(AN12/1000/AO12/AP12,"-")</f>
        <v>-</v>
      </c>
      <c r="AS12" s="122" t="str">
        <f>IFERROR(AR12/AQ12,"-")</f>
        <v>-</v>
      </c>
      <c r="AT12" s="99"/>
      <c r="AU12" s="99"/>
      <c r="AV12" s="99"/>
      <c r="AW12" s="99"/>
      <c r="AX12" s="99"/>
      <c r="AY12" s="99"/>
      <c r="AZ12" s="99"/>
      <c r="BA12"/>
      <c r="BB12" s="339" t="s">
        <v>13</v>
      </c>
      <c r="BC12" s="336" t="s">
        <v>405</v>
      </c>
      <c r="BD12" s="336" t="s">
        <v>406</v>
      </c>
      <c r="BE12" s="336" t="s">
        <v>407</v>
      </c>
      <c r="BF12" s="336" t="s">
        <v>408</v>
      </c>
      <c r="BG12" s="336" t="s">
        <v>409</v>
      </c>
      <c r="BH12" s="336" t="s">
        <v>410</v>
      </c>
      <c r="BI12" s="336" t="s">
        <v>411</v>
      </c>
      <c r="BJ12" s="336" t="s">
        <v>412</v>
      </c>
      <c r="BK12" s="336" t="s">
        <v>413</v>
      </c>
      <c r="BL12"/>
      <c r="BM12"/>
      <c r="BN12"/>
      <c r="BO12"/>
      <c r="BP12"/>
      <c r="BQ12"/>
      <c r="BR12"/>
      <c r="BS12"/>
      <c r="BT12"/>
      <c r="BU12"/>
      <c r="BV12"/>
      <c r="BW12" s="99"/>
      <c r="BX12" s="99"/>
      <c r="BY12" s="99"/>
      <c r="BZ12" s="99"/>
      <c r="CA12" s="99"/>
    </row>
    <row r="13" spans="1:79" x14ac:dyDescent="0.2">
      <c r="A13" s="441"/>
      <c r="B13" s="296">
        <v>0</v>
      </c>
      <c r="C13" s="297"/>
      <c r="D13" s="297">
        <v>0</v>
      </c>
      <c r="E13" s="297"/>
      <c r="F13" s="296">
        <v>0</v>
      </c>
      <c r="G13" s="297"/>
      <c r="H13" s="297">
        <v>0</v>
      </c>
      <c r="I13" s="297"/>
      <c r="J13" s="296">
        <v>0</v>
      </c>
      <c r="K13" s="297"/>
      <c r="L13" s="297">
        <v>0</v>
      </c>
      <c r="M13" s="297"/>
      <c r="N13" s="296">
        <v>0</v>
      </c>
      <c r="O13" s="297"/>
      <c r="P13" s="297">
        <v>0</v>
      </c>
      <c r="Q13" s="109"/>
      <c r="S13" s="109"/>
      <c r="T13" s="257"/>
      <c r="U13" s="257"/>
      <c r="V13" s="109"/>
      <c r="W13" s="109"/>
      <c r="X13" s="109"/>
      <c r="Y13" s="109"/>
      <c r="Z13" s="109"/>
      <c r="AA13" s="109"/>
      <c r="AC13" s="109"/>
      <c r="AD13" s="124"/>
      <c r="AE13" s="124"/>
      <c r="AF13" s="109"/>
      <c r="AG13" s="109"/>
      <c r="AH13" s="109"/>
      <c r="AI13" s="109"/>
      <c r="AJ13" s="109"/>
      <c r="AK13" s="109"/>
      <c r="AM13" s="54"/>
      <c r="AN13" s="125"/>
      <c r="AO13" s="105"/>
      <c r="AP13" s="105"/>
      <c r="AQ13" s="54"/>
      <c r="AR13" s="105"/>
      <c r="AS13" s="105"/>
      <c r="BA13"/>
      <c r="BB13" s="340">
        <v>1</v>
      </c>
      <c r="BC13" s="340" t="s">
        <v>414</v>
      </c>
      <c r="BD13" s="340">
        <v>410</v>
      </c>
      <c r="BE13" s="340">
        <v>340</v>
      </c>
      <c r="BF13" s="341">
        <v>3.9</v>
      </c>
      <c r="BG13" s="341">
        <v>4</v>
      </c>
      <c r="BH13" s="341">
        <v>3.9</v>
      </c>
      <c r="BI13" s="341">
        <v>3.9</v>
      </c>
      <c r="BJ13" s="341">
        <v>3.9</v>
      </c>
      <c r="BK13" s="342">
        <f>BD13*BE13*SUM(BF13:BJ13)/1000/5</f>
        <v>546.44799999999998</v>
      </c>
      <c r="BL13"/>
      <c r="BM13"/>
      <c r="BN13"/>
      <c r="BO13"/>
      <c r="BP13"/>
      <c r="BQ13"/>
      <c r="BR13"/>
      <c r="BS13"/>
      <c r="BT13"/>
      <c r="BU13"/>
      <c r="BV13"/>
    </row>
    <row r="14" spans="1:79" s="120" customFormat="1" x14ac:dyDescent="0.2">
      <c r="A14" s="441"/>
      <c r="B14" s="112"/>
      <c r="C14" s="112"/>
      <c r="D14" s="112"/>
      <c r="E14" s="112">
        <f>B13*D13</f>
        <v>0</v>
      </c>
      <c r="F14" s="112"/>
      <c r="G14" s="112"/>
      <c r="H14" s="112"/>
      <c r="I14" s="112">
        <f>F13*H13</f>
        <v>0</v>
      </c>
      <c r="J14" s="112"/>
      <c r="K14" s="112"/>
      <c r="L14" s="112"/>
      <c r="M14" s="112">
        <f>J13*L13</f>
        <v>0</v>
      </c>
      <c r="N14" s="112"/>
      <c r="O14" s="112"/>
      <c r="P14" s="112"/>
      <c r="Q14" s="112">
        <f>N13*P13</f>
        <v>0</v>
      </c>
      <c r="R14" s="99"/>
      <c r="S14" s="112">
        <f>SUM(E14:Q14)</f>
        <v>0</v>
      </c>
      <c r="T14" s="298">
        <v>0</v>
      </c>
      <c r="U14" s="298">
        <v>0</v>
      </c>
      <c r="V14" s="113" t="str">
        <f>IFERROR(S14/T14/U14/1000,"-")</f>
        <v>-</v>
      </c>
      <c r="W14" s="114">
        <f>$U$4</f>
        <v>0.15</v>
      </c>
      <c r="X14" s="115" t="str">
        <f t="shared" ref="X14" si="5">IFERROR(4*T14*U14/(2*(T14+U14))*1000,"-")</f>
        <v>-</v>
      </c>
      <c r="Y14" s="116" t="str">
        <f t="shared" ref="Y14" si="6">IFERROR(66.4*X14*V14,"-")</f>
        <v>-</v>
      </c>
      <c r="Z14" s="117" t="str">
        <f>IFERROR(0.25/(LOG(W14/X14/3.7+5.74/Y14^0.9,10))^2,"-")</f>
        <v>-</v>
      </c>
      <c r="AA14" s="118" t="str">
        <f>IFERROR(Z14*$U$2/2*V14^2/(X14/1000),"-")</f>
        <v>-</v>
      </c>
      <c r="AB14" s="99"/>
      <c r="AC14" s="112">
        <f>AC12+S14</f>
        <v>2300</v>
      </c>
      <c r="AD14" s="298"/>
      <c r="AE14" s="298"/>
      <c r="AF14" s="119" t="str">
        <f>IFERROR(AC14/AD14/AE14/1000,"-")</f>
        <v>-</v>
      </c>
      <c r="AG14" s="114">
        <f>$U$4</f>
        <v>0.15</v>
      </c>
      <c r="AH14" s="115" t="str">
        <f t="shared" ref="AH14" si="7">IFERROR(4*AD14*AE14/(2*(AD14+AE14))*1000,"-")</f>
        <v>-</v>
      </c>
      <c r="AI14" s="116" t="str">
        <f t="shared" ref="AI14" si="8">IFERROR(66.4*AH14*AF14,"-")</f>
        <v>-</v>
      </c>
      <c r="AJ14" s="117" t="str">
        <f>IFERROR(0.25/(LOG(AG14/AH14/3.7+5.74/AI14^0.9,10))^2,"-")</f>
        <v>-</v>
      </c>
      <c r="AK14" s="118" t="str">
        <f>IFERROR(AJ14*$U$2/2*AF14^2/(AH14/1000),"-")</f>
        <v>-</v>
      </c>
      <c r="AL14" s="99"/>
      <c r="AM14" s="90">
        <v>0</v>
      </c>
      <c r="AN14" s="121" t="str">
        <f>IFERROR(S14/AM14,"-")</f>
        <v>-</v>
      </c>
      <c r="AO14" s="299">
        <v>0</v>
      </c>
      <c r="AP14" s="299">
        <v>0</v>
      </c>
      <c r="AQ14" s="91">
        <v>0.5</v>
      </c>
      <c r="AR14" s="122" t="str">
        <f>IFERROR(AN14/1000/AO14/AP14,"-")</f>
        <v>-</v>
      </c>
      <c r="AS14" s="122" t="str">
        <f>IFERROR(AR14/AQ14,"-")</f>
        <v>-</v>
      </c>
      <c r="AT14" s="99"/>
      <c r="AU14" s="99"/>
      <c r="AV14" s="99"/>
      <c r="AW14" s="99"/>
      <c r="AX14" s="99"/>
      <c r="AY14" s="99"/>
      <c r="AZ14" s="99"/>
      <c r="BA14"/>
      <c r="BB14" s="337">
        <v>2</v>
      </c>
      <c r="BC14" s="337" t="s">
        <v>414</v>
      </c>
      <c r="BD14" s="337">
        <v>410</v>
      </c>
      <c r="BE14" s="337">
        <v>340</v>
      </c>
      <c r="BF14" s="339">
        <v>4.2</v>
      </c>
      <c r="BG14" s="339">
        <v>4.5</v>
      </c>
      <c r="BH14" s="339">
        <v>4</v>
      </c>
      <c r="BI14" s="339">
        <v>3.9</v>
      </c>
      <c r="BJ14" s="339">
        <v>3.9</v>
      </c>
      <c r="BK14" s="343">
        <f>BD14*BE14*SUM(BF14:BJ14)/1000/5</f>
        <v>571.53999999999985</v>
      </c>
      <c r="BL14"/>
      <c r="BM14"/>
      <c r="BN14"/>
      <c r="BO14"/>
      <c r="BP14"/>
      <c r="BQ14"/>
      <c r="BR14"/>
      <c r="BS14"/>
      <c r="BT14"/>
      <c r="BU14"/>
      <c r="BV14"/>
      <c r="BW14" s="99"/>
      <c r="BX14" s="99"/>
      <c r="BY14" s="99"/>
      <c r="BZ14" s="99"/>
      <c r="CA14" s="99"/>
    </row>
    <row r="15" spans="1:79" x14ac:dyDescent="0.2">
      <c r="A15" s="441"/>
      <c r="B15" s="296">
        <v>0</v>
      </c>
      <c r="C15" s="297"/>
      <c r="D15" s="297">
        <v>0</v>
      </c>
      <c r="E15" s="297"/>
      <c r="F15" s="296">
        <v>0</v>
      </c>
      <c r="G15" s="297"/>
      <c r="H15" s="297">
        <v>0</v>
      </c>
      <c r="I15" s="297"/>
      <c r="J15" s="296">
        <v>0</v>
      </c>
      <c r="K15" s="297"/>
      <c r="L15" s="297">
        <v>0</v>
      </c>
      <c r="M15" s="297"/>
      <c r="N15" s="296">
        <v>0</v>
      </c>
      <c r="O15" s="297"/>
      <c r="P15" s="297">
        <v>0</v>
      </c>
      <c r="Q15" s="109"/>
      <c r="S15" s="109"/>
      <c r="T15" s="257"/>
      <c r="U15" s="257"/>
      <c r="V15" s="109"/>
      <c r="W15" s="109"/>
      <c r="X15" s="109"/>
      <c r="Y15" s="109"/>
      <c r="Z15" s="109"/>
      <c r="AA15" s="109"/>
      <c r="AC15" s="109"/>
      <c r="AD15" s="124"/>
      <c r="AE15" s="124"/>
      <c r="AF15" s="109"/>
      <c r="AG15" s="109"/>
      <c r="AH15" s="109"/>
      <c r="AI15" s="109"/>
      <c r="AJ15" s="109"/>
      <c r="AK15" s="109"/>
      <c r="AM15" s="54"/>
      <c r="AN15" s="125"/>
      <c r="AO15" s="105"/>
      <c r="AP15" s="105"/>
      <c r="AQ15" s="54"/>
      <c r="AR15" s="105"/>
      <c r="AS15" s="105"/>
      <c r="BA15"/>
      <c r="BB15" s="340">
        <v>3</v>
      </c>
      <c r="BC15" s="340" t="s">
        <v>414</v>
      </c>
      <c r="BD15" s="340">
        <v>410</v>
      </c>
      <c r="BE15" s="340">
        <v>340</v>
      </c>
      <c r="BF15" s="341">
        <v>5.0999999999999996</v>
      </c>
      <c r="BG15" s="341">
        <v>4.0999999999999996</v>
      </c>
      <c r="BH15" s="341">
        <v>4.2</v>
      </c>
      <c r="BI15" s="341">
        <v>4</v>
      </c>
      <c r="BJ15" s="341">
        <v>3.5</v>
      </c>
      <c r="BK15" s="342">
        <f t="shared" ref="BK15" si="9">BD15*BE15*SUM(BF15:BJ15)/1000/5</f>
        <v>582.69200000000001</v>
      </c>
      <c r="BL15"/>
      <c r="BM15"/>
      <c r="BN15"/>
      <c r="BO15"/>
      <c r="BP15"/>
      <c r="BQ15"/>
      <c r="BR15"/>
      <c r="BS15"/>
      <c r="BT15"/>
      <c r="BU15"/>
      <c r="BV15"/>
    </row>
    <row r="16" spans="1:79" s="120" customFormat="1" x14ac:dyDescent="0.2">
      <c r="A16" s="441"/>
      <c r="B16" s="112"/>
      <c r="C16" s="112"/>
      <c r="D16" s="112"/>
      <c r="E16" s="112">
        <f>B15*D15</f>
        <v>0</v>
      </c>
      <c r="F16" s="112"/>
      <c r="G16" s="112"/>
      <c r="H16" s="112"/>
      <c r="I16" s="112">
        <f>F15*H15</f>
        <v>0</v>
      </c>
      <c r="J16" s="112"/>
      <c r="K16" s="112"/>
      <c r="L16" s="112"/>
      <c r="M16" s="112">
        <f>J15*L15</f>
        <v>0</v>
      </c>
      <c r="N16" s="112"/>
      <c r="O16" s="112"/>
      <c r="P16" s="112"/>
      <c r="Q16" s="112">
        <f>N15*P15</f>
        <v>0</v>
      </c>
      <c r="R16" s="99"/>
      <c r="S16" s="112">
        <f>SUM(E16:Q16)</f>
        <v>0</v>
      </c>
      <c r="T16" s="298">
        <v>0</v>
      </c>
      <c r="U16" s="298">
        <v>0</v>
      </c>
      <c r="V16" s="113" t="str">
        <f>IFERROR(S16/T16/U16/1000,"-")</f>
        <v>-</v>
      </c>
      <c r="W16" s="114">
        <f>$U$4</f>
        <v>0.15</v>
      </c>
      <c r="X16" s="115" t="str">
        <f t="shared" ref="X16" si="10">IFERROR(4*T16*U16/(2*(T16+U16))*1000,"-")</f>
        <v>-</v>
      </c>
      <c r="Y16" s="116" t="str">
        <f t="shared" ref="Y16" si="11">IFERROR(66.4*X16*V16,"-")</f>
        <v>-</v>
      </c>
      <c r="Z16" s="117" t="str">
        <f>IFERROR(0.25/(LOG(W16/X16/3.7+5.74/Y16^0.9,10))^2,"-")</f>
        <v>-</v>
      </c>
      <c r="AA16" s="118" t="str">
        <f>IFERROR(Z16*$U$2/2*V16^2/(X16/1000),"-")</f>
        <v>-</v>
      </c>
      <c r="AB16" s="99"/>
      <c r="AC16" s="112">
        <f>AC14+S16</f>
        <v>2300</v>
      </c>
      <c r="AD16" s="298"/>
      <c r="AE16" s="298"/>
      <c r="AF16" s="119" t="str">
        <f>IFERROR(AC16/AD16/AE16/1000,"-")</f>
        <v>-</v>
      </c>
      <c r="AG16" s="114">
        <f>$U$4</f>
        <v>0.15</v>
      </c>
      <c r="AH16" s="115" t="str">
        <f t="shared" ref="AH16" si="12">IFERROR(4*AD16*AE16/(2*(AD16+AE16))*1000,"-")</f>
        <v>-</v>
      </c>
      <c r="AI16" s="116" t="str">
        <f t="shared" ref="AI16" si="13">IFERROR(66.4*AH16*AF16,"-")</f>
        <v>-</v>
      </c>
      <c r="AJ16" s="117" t="str">
        <f>IFERROR(0.25/(LOG(AG16/AH16/3.7+5.74/AI16^0.9,10))^2,"-")</f>
        <v>-</v>
      </c>
      <c r="AK16" s="118" t="str">
        <f>IFERROR(AJ16*$U$2/2*AF16^2/(AH16/1000),"-")</f>
        <v>-</v>
      </c>
      <c r="AL16" s="99"/>
      <c r="AM16" s="90">
        <v>0</v>
      </c>
      <c r="AN16" s="121" t="str">
        <f>IFERROR(S16/AM16,"-")</f>
        <v>-</v>
      </c>
      <c r="AO16" s="299">
        <v>0</v>
      </c>
      <c r="AP16" s="299">
        <v>0</v>
      </c>
      <c r="AQ16" s="91">
        <v>0.5</v>
      </c>
      <c r="AR16" s="122" t="str">
        <f>IFERROR(AN16/1000/AO16/AP16,"-")</f>
        <v>-</v>
      </c>
      <c r="AS16" s="122" t="str">
        <f>IFERROR(AR16/AQ16,"-")</f>
        <v>-</v>
      </c>
      <c r="AT16" s="99"/>
      <c r="AU16" s="99"/>
      <c r="AV16" s="99"/>
      <c r="AW16" s="99"/>
      <c r="AX16" s="99"/>
      <c r="AY16" s="99"/>
      <c r="AZ16" s="99"/>
      <c r="BA16"/>
      <c r="BB16" s="337">
        <v>4</v>
      </c>
      <c r="BC16" s="337" t="s">
        <v>414</v>
      </c>
      <c r="BD16" s="337">
        <v>410</v>
      </c>
      <c r="BE16" s="337">
        <v>340</v>
      </c>
      <c r="BF16" s="339">
        <v>4.2</v>
      </c>
      <c r="BG16" s="339">
        <v>4.5</v>
      </c>
      <c r="BH16" s="339">
        <v>4.2</v>
      </c>
      <c r="BI16" s="339">
        <v>3.7</v>
      </c>
      <c r="BJ16" s="339">
        <v>4.7</v>
      </c>
      <c r="BK16" s="343">
        <f>BD16*BE16*SUM(BF16:BJ16)/1000/5</f>
        <v>593.84399999999982</v>
      </c>
      <c r="BL16"/>
      <c r="BM16"/>
      <c r="BN16"/>
      <c r="BO16"/>
      <c r="BP16"/>
      <c r="BQ16"/>
      <c r="BR16"/>
      <c r="BS16"/>
      <c r="BT16"/>
      <c r="BU16"/>
      <c r="BV16"/>
      <c r="BW16" s="99"/>
      <c r="BX16" s="99"/>
      <c r="BY16" s="99"/>
      <c r="BZ16" s="99"/>
      <c r="CA16" s="99"/>
    </row>
    <row r="17" spans="1:79" x14ac:dyDescent="0.2">
      <c r="A17" s="438"/>
      <c r="B17" s="296">
        <v>0</v>
      </c>
      <c r="C17" s="297"/>
      <c r="D17" s="297">
        <v>0</v>
      </c>
      <c r="E17" s="297"/>
      <c r="F17" s="296">
        <v>0</v>
      </c>
      <c r="G17" s="297"/>
      <c r="H17" s="297">
        <v>0</v>
      </c>
      <c r="I17" s="297"/>
      <c r="J17" s="296">
        <v>0</v>
      </c>
      <c r="K17" s="297"/>
      <c r="L17" s="297">
        <v>0</v>
      </c>
      <c r="M17" s="297"/>
      <c r="N17" s="296">
        <v>0</v>
      </c>
      <c r="O17" s="297"/>
      <c r="P17" s="297">
        <v>0</v>
      </c>
      <c r="Q17" s="109"/>
      <c r="S17" s="109"/>
      <c r="T17" s="257"/>
      <c r="U17" s="257"/>
      <c r="V17" s="109"/>
      <c r="W17" s="109"/>
      <c r="X17" s="109"/>
      <c r="Y17" s="109"/>
      <c r="Z17" s="109"/>
      <c r="AA17" s="109"/>
      <c r="AC17" s="109"/>
      <c r="AD17" s="124"/>
      <c r="AE17" s="124"/>
      <c r="AF17" s="109"/>
      <c r="AG17" s="109"/>
      <c r="AH17" s="109"/>
      <c r="AI17" s="109"/>
      <c r="AJ17" s="109"/>
      <c r="AK17" s="109"/>
      <c r="AM17" s="54"/>
      <c r="AN17" s="125"/>
      <c r="AO17" s="105"/>
      <c r="AP17" s="105"/>
      <c r="AQ17" s="54"/>
      <c r="AR17" s="105"/>
      <c r="AS17" s="105"/>
      <c r="BA17"/>
      <c r="BB17" s="340">
        <v>5</v>
      </c>
      <c r="BC17" s="340" t="s">
        <v>414</v>
      </c>
      <c r="BD17" s="340">
        <v>410</v>
      </c>
      <c r="BE17" s="340">
        <v>340</v>
      </c>
      <c r="BF17" s="341">
        <v>3.2</v>
      </c>
      <c r="BG17" s="341">
        <v>3.2</v>
      </c>
      <c r="BH17" s="341">
        <v>3.5</v>
      </c>
      <c r="BI17" s="341">
        <v>2.8</v>
      </c>
      <c r="BJ17" s="341">
        <v>2.9</v>
      </c>
      <c r="BK17" s="342">
        <f t="shared" ref="BK17" si="14">BD17*BE17*SUM(BF17:BJ17)/1000/5</f>
        <v>434.928</v>
      </c>
      <c r="BL17"/>
      <c r="BM17"/>
      <c r="BN17"/>
      <c r="BO17"/>
      <c r="BP17"/>
      <c r="BQ17"/>
      <c r="BR17"/>
      <c r="BS17"/>
      <c r="BT17"/>
      <c r="BU17"/>
      <c r="BV17"/>
    </row>
    <row r="18" spans="1:79" s="120" customFormat="1" x14ac:dyDescent="0.2">
      <c r="A18" s="438"/>
      <c r="B18" s="112"/>
      <c r="C18" s="112"/>
      <c r="D18" s="112"/>
      <c r="E18" s="112">
        <f>B17*D17</f>
        <v>0</v>
      </c>
      <c r="F18" s="112"/>
      <c r="G18" s="112"/>
      <c r="H18" s="112"/>
      <c r="I18" s="112">
        <f>F17*H17</f>
        <v>0</v>
      </c>
      <c r="J18" s="112"/>
      <c r="K18" s="112"/>
      <c r="L18" s="112"/>
      <c r="M18" s="112">
        <f>J17*L17</f>
        <v>0</v>
      </c>
      <c r="N18" s="112"/>
      <c r="O18" s="112"/>
      <c r="P18" s="112"/>
      <c r="Q18" s="112">
        <f>N17*P17</f>
        <v>0</v>
      </c>
      <c r="R18" s="99"/>
      <c r="S18" s="112">
        <f>SUM(E18:Q18)</f>
        <v>0</v>
      </c>
      <c r="T18" s="298">
        <v>0</v>
      </c>
      <c r="U18" s="298">
        <v>0</v>
      </c>
      <c r="V18" s="113" t="str">
        <f>IFERROR(S18/T18/U18/1000,"-")</f>
        <v>-</v>
      </c>
      <c r="W18" s="114">
        <f>$U$4</f>
        <v>0.15</v>
      </c>
      <c r="X18" s="115" t="str">
        <f t="shared" ref="X18" si="15">IFERROR(4*T18*U18/(2*(T18+U18))*1000,"-")</f>
        <v>-</v>
      </c>
      <c r="Y18" s="116" t="str">
        <f t="shared" ref="Y18" si="16">IFERROR(66.4*X18*V18,"-")</f>
        <v>-</v>
      </c>
      <c r="Z18" s="117" t="str">
        <f>IFERROR(0.25/(LOG(W18/X18/3.7+5.74/Y18^0.9,10))^2,"-")</f>
        <v>-</v>
      </c>
      <c r="AA18" s="118" t="str">
        <f>IFERROR(Z18*$U$2/2*V18^2/(X18/1000),"-")</f>
        <v>-</v>
      </c>
      <c r="AB18" s="99"/>
      <c r="AC18" s="112">
        <f>AC16+S18</f>
        <v>2300</v>
      </c>
      <c r="AD18" s="298"/>
      <c r="AE18" s="298"/>
      <c r="AF18" s="119" t="str">
        <f>IFERROR(AC18/AD18/AE18/1000,"-")</f>
        <v>-</v>
      </c>
      <c r="AG18" s="114">
        <f>$U$4</f>
        <v>0.15</v>
      </c>
      <c r="AH18" s="115" t="str">
        <f t="shared" ref="AH18" si="17">IFERROR(4*AD18*AE18/(2*(AD18+AE18))*1000,"-")</f>
        <v>-</v>
      </c>
      <c r="AI18" s="116" t="str">
        <f t="shared" ref="AI18" si="18">IFERROR(66.4*AH18*AF18,"-")</f>
        <v>-</v>
      </c>
      <c r="AJ18" s="117" t="str">
        <f>IFERROR(0.25/(LOG(AG18/AH18/3.7+5.74/AI18^0.9,10))^2,"-")</f>
        <v>-</v>
      </c>
      <c r="AK18" s="118" t="str">
        <f>IFERROR(AJ18*$U$2/2*AF18^2/(AH18/1000),"-")</f>
        <v>-</v>
      </c>
      <c r="AL18" s="99"/>
      <c r="AM18" s="90">
        <v>0</v>
      </c>
      <c r="AN18" s="121" t="str">
        <f>IFERROR(S18/AM18,"-")</f>
        <v>-</v>
      </c>
      <c r="AO18" s="299">
        <v>0</v>
      </c>
      <c r="AP18" s="299">
        <v>0</v>
      </c>
      <c r="AQ18" s="91">
        <v>0.5</v>
      </c>
      <c r="AR18" s="122" t="str">
        <f>IFERROR(AN18/1000/AO18/AP18,"-")</f>
        <v>-</v>
      </c>
      <c r="AS18" s="122" t="str">
        <f>IFERROR(AR18/AQ18,"-")</f>
        <v>-</v>
      </c>
      <c r="AT18" s="99"/>
      <c r="AU18" s="99"/>
      <c r="AV18" s="99"/>
      <c r="AW18" s="99"/>
      <c r="AX18" s="99"/>
      <c r="AY18" s="99"/>
      <c r="AZ18" s="99"/>
      <c r="BA18"/>
      <c r="BB18" s="337">
        <v>6</v>
      </c>
      <c r="BC18" s="337" t="s">
        <v>414</v>
      </c>
      <c r="BD18" s="337">
        <v>410</v>
      </c>
      <c r="BE18" s="337">
        <v>340</v>
      </c>
      <c r="BF18" s="339">
        <v>5</v>
      </c>
      <c r="BG18" s="339">
        <v>4.5</v>
      </c>
      <c r="BH18" s="339">
        <v>4.5999999999999996</v>
      </c>
      <c r="BI18" s="339">
        <v>4.7</v>
      </c>
      <c r="BJ18" s="339">
        <v>4.3</v>
      </c>
      <c r="BK18" s="343">
        <f>BD18*BE18*SUM(BF18:BJ18)/1000/5</f>
        <v>644.02800000000002</v>
      </c>
      <c r="BL18"/>
      <c r="BM18"/>
      <c r="BN18"/>
      <c r="BO18"/>
      <c r="BP18"/>
      <c r="BQ18"/>
      <c r="BR18"/>
      <c r="BS18"/>
      <c r="BT18"/>
      <c r="BU18"/>
      <c r="BV18"/>
      <c r="BW18" s="99"/>
      <c r="BX18" s="99"/>
      <c r="BY18" s="99"/>
      <c r="BZ18" s="99"/>
      <c r="CA18" s="99"/>
    </row>
    <row r="19" spans="1:79" x14ac:dyDescent="0.2">
      <c r="A19" s="438"/>
      <c r="B19" s="296">
        <v>0</v>
      </c>
      <c r="C19" s="297"/>
      <c r="D19" s="297">
        <v>0</v>
      </c>
      <c r="E19" s="297"/>
      <c r="F19" s="296">
        <v>0</v>
      </c>
      <c r="G19" s="297"/>
      <c r="H19" s="297">
        <v>0</v>
      </c>
      <c r="I19" s="297"/>
      <c r="J19" s="296">
        <v>0</v>
      </c>
      <c r="K19" s="297"/>
      <c r="L19" s="297">
        <v>0</v>
      </c>
      <c r="M19" s="297"/>
      <c r="N19" s="296">
        <v>0</v>
      </c>
      <c r="O19" s="297"/>
      <c r="P19" s="297">
        <v>0</v>
      </c>
      <c r="Q19" s="109"/>
      <c r="S19" s="109"/>
      <c r="T19" s="257"/>
      <c r="U19" s="257"/>
      <c r="V19" s="109"/>
      <c r="W19" s="109"/>
      <c r="X19" s="109"/>
      <c r="Y19" s="109"/>
      <c r="Z19" s="109"/>
      <c r="AA19" s="109"/>
      <c r="AC19" s="109"/>
      <c r="AD19" s="124"/>
      <c r="AE19" s="124"/>
      <c r="AF19" s="109"/>
      <c r="AG19" s="109"/>
      <c r="AH19" s="109"/>
      <c r="AI19" s="109"/>
      <c r="AJ19" s="109"/>
      <c r="AK19" s="109"/>
      <c r="AM19" s="54"/>
      <c r="AN19" s="125"/>
      <c r="AO19" s="105"/>
      <c r="AP19" s="105"/>
      <c r="AQ19" s="54"/>
      <c r="AR19" s="105"/>
      <c r="AS19" s="105"/>
      <c r="BA19"/>
      <c r="BB19" s="337"/>
      <c r="BC19" s="337"/>
      <c r="BD19" s="337"/>
      <c r="BE19" s="337"/>
      <c r="BF19" s="339"/>
      <c r="BG19" s="339"/>
      <c r="BH19" s="339"/>
      <c r="BI19" s="339"/>
      <c r="BJ19" s="339"/>
      <c r="BK19" s="339"/>
      <c r="BL19"/>
      <c r="BM19"/>
      <c r="BN19"/>
      <c r="BO19"/>
      <c r="BP19"/>
      <c r="BQ19"/>
      <c r="BR19"/>
      <c r="BS19"/>
      <c r="BT19"/>
      <c r="BU19"/>
      <c r="BV19"/>
    </row>
    <row r="20" spans="1:79" s="120" customFormat="1" x14ac:dyDescent="0.2">
      <c r="A20" s="438"/>
      <c r="B20" s="112"/>
      <c r="C20" s="112"/>
      <c r="D20" s="112"/>
      <c r="E20" s="112">
        <f>B19*D19</f>
        <v>0</v>
      </c>
      <c r="F20" s="112"/>
      <c r="G20" s="112"/>
      <c r="H20" s="112"/>
      <c r="I20" s="112">
        <f>F19*H19</f>
        <v>0</v>
      </c>
      <c r="J20" s="112"/>
      <c r="K20" s="112"/>
      <c r="L20" s="112"/>
      <c r="M20" s="112">
        <f>J19*L19</f>
        <v>0</v>
      </c>
      <c r="N20" s="112"/>
      <c r="O20" s="112"/>
      <c r="P20" s="112"/>
      <c r="Q20" s="112">
        <f>N19*P19</f>
        <v>0</v>
      </c>
      <c r="R20" s="99"/>
      <c r="S20" s="112">
        <f>SUM(E20:Q20)</f>
        <v>0</v>
      </c>
      <c r="T20" s="298">
        <v>0</v>
      </c>
      <c r="U20" s="298">
        <v>0</v>
      </c>
      <c r="V20" s="113" t="str">
        <f>IFERROR(S20/T20/U20/1000,"-")</f>
        <v>-</v>
      </c>
      <c r="W20" s="114">
        <f>$U$4</f>
        <v>0.15</v>
      </c>
      <c r="X20" s="115" t="str">
        <f t="shared" ref="X20" si="19">IFERROR(4*T20*U20/(2*(T20+U20))*1000,"-")</f>
        <v>-</v>
      </c>
      <c r="Y20" s="116" t="str">
        <f t="shared" ref="Y20" si="20">IFERROR(66.4*X20*V20,"-")</f>
        <v>-</v>
      </c>
      <c r="Z20" s="117" t="str">
        <f>IFERROR(0.25/(LOG(W20/X20/3.7+5.74/Y20^0.9,10))^2,"-")</f>
        <v>-</v>
      </c>
      <c r="AA20" s="118" t="str">
        <f>IFERROR(Z20*$U$2/2*V20^2/(X20/1000),"-")</f>
        <v>-</v>
      </c>
      <c r="AB20" s="99"/>
      <c r="AC20" s="112">
        <f>AC18+S20</f>
        <v>2300</v>
      </c>
      <c r="AD20" s="298">
        <v>0</v>
      </c>
      <c r="AE20" s="298">
        <v>0</v>
      </c>
      <c r="AF20" s="119" t="str">
        <f>IFERROR(AC20/AD20/AE20/1000,"-")</f>
        <v>-</v>
      </c>
      <c r="AG20" s="114">
        <f>$U$4</f>
        <v>0.15</v>
      </c>
      <c r="AH20" s="115" t="str">
        <f t="shared" ref="AH20" si="21">IFERROR(4*AD20*AE20/(2*(AD20+AE20))*1000,"-")</f>
        <v>-</v>
      </c>
      <c r="AI20" s="116" t="str">
        <f t="shared" ref="AI20" si="22">IFERROR(66.4*AH20*AF20,"-")</f>
        <v>-</v>
      </c>
      <c r="AJ20" s="117" t="str">
        <f>IFERROR(0.25/(LOG(AG20/AH20/3.7+5.74/AI20^0.9,10))^2,"-")</f>
        <v>-</v>
      </c>
      <c r="AK20" s="118" t="str">
        <f>IFERROR(AJ20*$U$2/2*AF20^2/(AH20/1000),"-")</f>
        <v>-</v>
      </c>
      <c r="AL20" s="99"/>
      <c r="AM20" s="90">
        <v>0</v>
      </c>
      <c r="AN20" s="121" t="str">
        <f>IFERROR(S20/AM20,"-")</f>
        <v>-</v>
      </c>
      <c r="AO20" s="299">
        <v>0</v>
      </c>
      <c r="AP20" s="299">
        <v>0</v>
      </c>
      <c r="AQ20" s="91">
        <v>0.5</v>
      </c>
      <c r="AR20" s="122" t="str">
        <f>IFERROR(AN20/1000/AO20/AP20,"-")</f>
        <v>-</v>
      </c>
      <c r="AS20" s="122" t="str">
        <f>IFERROR(AR20/AQ20,"-")</f>
        <v>-</v>
      </c>
      <c r="AT20" s="99"/>
      <c r="AU20" s="99"/>
      <c r="AV20" s="99"/>
      <c r="AW20" s="99"/>
      <c r="AX20" s="99"/>
      <c r="AY20" s="99"/>
      <c r="AZ20" s="99"/>
      <c r="BA20"/>
      <c r="BB20" s="340"/>
      <c r="BC20" s="340"/>
      <c r="BD20" s="340"/>
      <c r="BE20" s="340"/>
      <c r="BF20" s="341"/>
      <c r="BG20" s="341"/>
      <c r="BH20" s="341" t="s">
        <v>404</v>
      </c>
      <c r="BI20" s="341">
        <v>1220</v>
      </c>
      <c r="BJ20" s="341" t="s">
        <v>415</v>
      </c>
      <c r="BK20" s="342">
        <f>SUM(BK13:BK19)</f>
        <v>3373.4799999999996</v>
      </c>
      <c r="BL20"/>
      <c r="BM20"/>
      <c r="BN20"/>
      <c r="BO20"/>
      <c r="BP20"/>
      <c r="BQ20"/>
      <c r="BR20"/>
      <c r="BS20"/>
      <c r="BT20"/>
      <c r="BU20"/>
      <c r="BV20"/>
      <c r="BW20" s="99"/>
      <c r="BX20" s="99"/>
      <c r="BY20" s="99"/>
      <c r="BZ20" s="99"/>
      <c r="CA20" s="99"/>
    </row>
    <row r="21" spans="1:79" x14ac:dyDescent="0.2">
      <c r="A21" s="438"/>
      <c r="B21" s="296">
        <v>0</v>
      </c>
      <c r="C21" s="297"/>
      <c r="D21" s="297">
        <v>0</v>
      </c>
      <c r="E21" s="297"/>
      <c r="F21" s="296">
        <v>0</v>
      </c>
      <c r="G21" s="297"/>
      <c r="H21" s="297">
        <v>0</v>
      </c>
      <c r="I21" s="297"/>
      <c r="J21" s="296">
        <v>0</v>
      </c>
      <c r="K21" s="297"/>
      <c r="L21" s="297">
        <v>0</v>
      </c>
      <c r="M21" s="297"/>
      <c r="N21" s="296">
        <v>0</v>
      </c>
      <c r="O21" s="297"/>
      <c r="P21" s="297">
        <v>0</v>
      </c>
      <c r="Q21" s="109"/>
      <c r="S21" s="109"/>
      <c r="T21" s="257"/>
      <c r="U21" s="257"/>
      <c r="V21" s="109"/>
      <c r="W21" s="109"/>
      <c r="X21" s="109"/>
      <c r="Y21" s="109"/>
      <c r="Z21" s="109"/>
      <c r="AA21" s="109"/>
      <c r="AC21" s="109"/>
      <c r="AD21" s="124"/>
      <c r="AE21" s="124"/>
      <c r="AF21" s="109"/>
      <c r="AG21" s="109"/>
      <c r="AH21" s="109"/>
      <c r="AI21" s="109"/>
      <c r="AJ21" s="109"/>
      <c r="AK21" s="109"/>
      <c r="AM21" s="54"/>
      <c r="AN21" s="125"/>
      <c r="AO21" s="105"/>
      <c r="AP21" s="105"/>
      <c r="AQ21" s="54"/>
      <c r="AR21" s="105"/>
      <c r="AS21" s="105"/>
      <c r="BA21"/>
      <c r="BB21"/>
      <c r="BC21"/>
      <c r="BD21"/>
      <c r="BE21"/>
      <c r="BF21"/>
      <c r="BG21"/>
      <c r="BH21"/>
      <c r="BI21"/>
      <c r="BJ21" t="s">
        <v>416</v>
      </c>
      <c r="BK21" s="344">
        <f>BK20/BI20</f>
        <v>2.7651475409836062</v>
      </c>
      <c r="BL21"/>
      <c r="BM21"/>
      <c r="BN21"/>
      <c r="BO21"/>
      <c r="BP21"/>
      <c r="BQ21"/>
      <c r="BR21"/>
      <c r="BS21"/>
      <c r="BT21"/>
      <c r="BU21"/>
      <c r="BV21"/>
    </row>
    <row r="22" spans="1:79" s="120" customFormat="1" x14ac:dyDescent="0.2">
      <c r="A22" s="438"/>
      <c r="B22" s="112"/>
      <c r="C22" s="112"/>
      <c r="D22" s="112"/>
      <c r="E22" s="112">
        <f>B21*D21</f>
        <v>0</v>
      </c>
      <c r="F22" s="112"/>
      <c r="G22" s="112"/>
      <c r="H22" s="112"/>
      <c r="I22" s="112">
        <f>F21*H21</f>
        <v>0</v>
      </c>
      <c r="J22" s="112"/>
      <c r="K22" s="112"/>
      <c r="L22" s="112"/>
      <c r="M22" s="112">
        <f>J21*L21</f>
        <v>0</v>
      </c>
      <c r="N22" s="112"/>
      <c r="O22" s="112"/>
      <c r="P22" s="112"/>
      <c r="Q22" s="112">
        <f>N21*P21</f>
        <v>0</v>
      </c>
      <c r="R22" s="99"/>
      <c r="S22" s="112">
        <f>SUM(E22:Q22)</f>
        <v>0</v>
      </c>
      <c r="T22" s="298">
        <v>0</v>
      </c>
      <c r="U22" s="298">
        <v>0</v>
      </c>
      <c r="V22" s="113" t="str">
        <f>IFERROR(S22/T22/U22/1000,"-")</f>
        <v>-</v>
      </c>
      <c r="W22" s="114">
        <f>$U$4</f>
        <v>0.15</v>
      </c>
      <c r="X22" s="115" t="str">
        <f t="shared" ref="X22" si="23">IFERROR(4*T22*U22/(2*(T22+U22))*1000,"-")</f>
        <v>-</v>
      </c>
      <c r="Y22" s="116" t="str">
        <f t="shared" ref="Y22" si="24">IFERROR(66.4*X22*V22,"-")</f>
        <v>-</v>
      </c>
      <c r="Z22" s="117" t="str">
        <f>IFERROR(0.25/(LOG(W22/X22/3.7+5.74/Y22^0.9,10))^2,"-")</f>
        <v>-</v>
      </c>
      <c r="AA22" s="118" t="str">
        <f>IFERROR(Z22*$U$2/2*V22^2/(X22/1000),"-")</f>
        <v>-</v>
      </c>
      <c r="AB22" s="99"/>
      <c r="AC22" s="112">
        <f>AC20+S22</f>
        <v>2300</v>
      </c>
      <c r="AD22" s="298">
        <v>0</v>
      </c>
      <c r="AE22" s="298">
        <v>0</v>
      </c>
      <c r="AF22" s="119" t="str">
        <f>IFERROR(AC22/AD22/AE22/1000,"-")</f>
        <v>-</v>
      </c>
      <c r="AG22" s="114">
        <f>$U$4</f>
        <v>0.15</v>
      </c>
      <c r="AH22" s="115" t="str">
        <f t="shared" ref="AH22" si="25">IFERROR(4*AD22*AE22/(2*(AD22+AE22))*1000,"-")</f>
        <v>-</v>
      </c>
      <c r="AI22" s="116" t="str">
        <f t="shared" ref="AI22" si="26">IFERROR(66.4*AH22*AF22,"-")</f>
        <v>-</v>
      </c>
      <c r="AJ22" s="117" t="str">
        <f>IFERROR(0.25/(LOG(AG22/AH22/3.7+5.74/AI22^0.9,10))^2,"-")</f>
        <v>-</v>
      </c>
      <c r="AK22" s="118" t="str">
        <f>IFERROR(AJ22*$U$2/2*AF22^2/(AH22/1000),"-")</f>
        <v>-</v>
      </c>
      <c r="AL22" s="99"/>
      <c r="AM22" s="90">
        <v>0</v>
      </c>
      <c r="AN22" s="121" t="str">
        <f>IFERROR(S22/AM22,"-")</f>
        <v>-</v>
      </c>
      <c r="AO22" s="299">
        <v>0</v>
      </c>
      <c r="AP22" s="299">
        <v>0</v>
      </c>
      <c r="AQ22" s="91">
        <v>0.5</v>
      </c>
      <c r="AR22" s="122" t="str">
        <f>IFERROR(AN22/1000/AO22/AP22,"-")</f>
        <v>-</v>
      </c>
      <c r="AS22" s="122" t="str">
        <f>IFERROR(AR22/AQ22,"-")</f>
        <v>-</v>
      </c>
      <c r="AT22" s="99"/>
      <c r="AU22" s="99"/>
      <c r="AV22" s="99"/>
      <c r="AW22" s="99"/>
      <c r="AX22" s="99"/>
      <c r="AY22" s="99"/>
      <c r="AZ22" s="99"/>
      <c r="BA22"/>
      <c r="BB22"/>
      <c r="BC22"/>
      <c r="BD22"/>
      <c r="BE22"/>
      <c r="BF22"/>
      <c r="BG22"/>
      <c r="BH22"/>
      <c r="BI22"/>
      <c r="BJ22"/>
      <c r="BK22" s="344"/>
      <c r="BL22"/>
      <c r="BM22"/>
      <c r="BN22"/>
      <c r="BO22"/>
      <c r="BP22"/>
      <c r="BQ22"/>
      <c r="BR22"/>
      <c r="BS22"/>
      <c r="BT22"/>
      <c r="BU22"/>
      <c r="BV22"/>
      <c r="BW22" s="99"/>
      <c r="BX22" s="99"/>
      <c r="BY22" s="99"/>
      <c r="BZ22" s="99"/>
      <c r="CA22" s="99"/>
    </row>
    <row r="23" spans="1:79" x14ac:dyDescent="0.2">
      <c r="A23" s="438"/>
      <c r="B23" s="296">
        <v>0</v>
      </c>
      <c r="C23" s="297"/>
      <c r="D23" s="297">
        <v>0</v>
      </c>
      <c r="E23" s="297"/>
      <c r="F23" s="296">
        <v>0</v>
      </c>
      <c r="G23" s="297"/>
      <c r="H23" s="297">
        <v>0</v>
      </c>
      <c r="I23" s="297"/>
      <c r="J23" s="296">
        <v>0</v>
      </c>
      <c r="K23" s="297"/>
      <c r="L23" s="297">
        <v>0</v>
      </c>
      <c r="M23" s="297"/>
      <c r="N23" s="296">
        <v>0</v>
      </c>
      <c r="O23" s="297"/>
      <c r="P23" s="297">
        <v>0</v>
      </c>
      <c r="Q23" s="109"/>
      <c r="S23" s="109"/>
      <c r="T23" s="257"/>
      <c r="U23" s="257"/>
      <c r="V23" s="109"/>
      <c r="W23" s="109"/>
      <c r="X23" s="109"/>
      <c r="Y23" s="109"/>
      <c r="Z23" s="109"/>
      <c r="AA23" s="109"/>
      <c r="AC23" s="109"/>
      <c r="AD23" s="124"/>
      <c r="AE23" s="124"/>
      <c r="AF23" s="109"/>
      <c r="AG23" s="109"/>
      <c r="AH23" s="109"/>
      <c r="AI23" s="109"/>
      <c r="AJ23" s="109"/>
      <c r="AK23" s="109"/>
      <c r="AM23" s="54"/>
      <c r="AN23" s="125"/>
      <c r="AO23" s="105"/>
      <c r="AP23" s="105"/>
      <c r="AQ23" s="54"/>
      <c r="AR23" s="105"/>
      <c r="AS23" s="105"/>
      <c r="BA23" s="345"/>
      <c r="BB23" s="345"/>
      <c r="BC23" s="345"/>
      <c r="BD23" s="345"/>
      <c r="BE23" s="345"/>
      <c r="BF23" s="345"/>
      <c r="BG23" s="345"/>
      <c r="BH23" s="345"/>
      <c r="BI23" s="345"/>
      <c r="BJ23" s="345"/>
      <c r="BK23" s="346"/>
      <c r="BL23" s="345"/>
      <c r="BM23" s="345"/>
      <c r="BN23" s="345"/>
      <c r="BO23" s="345"/>
      <c r="BP23" s="345"/>
      <c r="BQ23" s="345"/>
      <c r="BR23" s="345"/>
      <c r="BS23" s="345"/>
      <c r="BT23" s="345"/>
      <c r="BU23" s="345"/>
      <c r="BV23" s="345"/>
    </row>
    <row r="24" spans="1:79" s="120" customFormat="1" x14ac:dyDescent="0.2">
      <c r="A24" s="438"/>
      <c r="B24" s="112"/>
      <c r="C24" s="112"/>
      <c r="D24" s="112"/>
      <c r="E24" s="112">
        <f>B23*D23</f>
        <v>0</v>
      </c>
      <c r="F24" s="112"/>
      <c r="G24" s="112"/>
      <c r="H24" s="112"/>
      <c r="I24" s="112">
        <f>F23*H23</f>
        <v>0</v>
      </c>
      <c r="J24" s="112"/>
      <c r="K24" s="112"/>
      <c r="L24" s="112"/>
      <c r="M24" s="112">
        <f>J23*L23</f>
        <v>0</v>
      </c>
      <c r="N24" s="112"/>
      <c r="O24" s="112"/>
      <c r="P24" s="112"/>
      <c r="Q24" s="112">
        <f>N23*P23</f>
        <v>0</v>
      </c>
      <c r="R24" s="99"/>
      <c r="S24" s="112">
        <f>SUM(E24:Q24)</f>
        <v>0</v>
      </c>
      <c r="T24" s="298">
        <v>0</v>
      </c>
      <c r="U24" s="298">
        <v>0</v>
      </c>
      <c r="V24" s="113" t="str">
        <f>IFERROR(S24/T24/U24/1000,"-")</f>
        <v>-</v>
      </c>
      <c r="W24" s="114">
        <f>$U$4</f>
        <v>0.15</v>
      </c>
      <c r="X24" s="115" t="str">
        <f t="shared" ref="X24" si="27">IFERROR(4*T24*U24/(2*(T24+U24))*1000,"-")</f>
        <v>-</v>
      </c>
      <c r="Y24" s="116" t="str">
        <f t="shared" ref="Y24" si="28">IFERROR(66.4*X24*V24,"-")</f>
        <v>-</v>
      </c>
      <c r="Z24" s="117" t="str">
        <f>IFERROR(0.25/(LOG(W24/X24/3.7+5.74/Y24^0.9,10))^2,"-")</f>
        <v>-</v>
      </c>
      <c r="AA24" s="118" t="str">
        <f>IFERROR(Z24*$U$2/2*V24^2/(X24/1000),"-")</f>
        <v>-</v>
      </c>
      <c r="AB24" s="99"/>
      <c r="AC24" s="112">
        <f>AC22+S24</f>
        <v>2300</v>
      </c>
      <c r="AD24" s="298">
        <v>0</v>
      </c>
      <c r="AE24" s="298">
        <v>0</v>
      </c>
      <c r="AF24" s="119" t="str">
        <f>IFERROR(AC24/AD24/AE24/1000,"-")</f>
        <v>-</v>
      </c>
      <c r="AG24" s="114">
        <f>$U$4</f>
        <v>0.15</v>
      </c>
      <c r="AH24" s="115" t="str">
        <f t="shared" ref="AH24" si="29">IFERROR(4*AD24*AE24/(2*(AD24+AE24))*1000,"-")</f>
        <v>-</v>
      </c>
      <c r="AI24" s="116" t="str">
        <f t="shared" ref="AI24" si="30">IFERROR(66.4*AH24*AF24,"-")</f>
        <v>-</v>
      </c>
      <c r="AJ24" s="117" t="str">
        <f>IFERROR(0.25/(LOG(AG24/AH24/3.7+5.74/AI24^0.9,10))^2,"-")</f>
        <v>-</v>
      </c>
      <c r="AK24" s="118" t="str">
        <f>IFERROR(AJ24*$U$2/2*AF24^2/(AH24/1000),"-")</f>
        <v>-</v>
      </c>
      <c r="AL24" s="99"/>
      <c r="AM24" s="90">
        <v>0</v>
      </c>
      <c r="AN24" s="121" t="str">
        <f>IFERROR(S24/AM24,"-")</f>
        <v>-</v>
      </c>
      <c r="AO24" s="299">
        <v>0</v>
      </c>
      <c r="AP24" s="299">
        <v>0</v>
      </c>
      <c r="AQ24" s="91">
        <v>0.5</v>
      </c>
      <c r="AR24" s="122" t="str">
        <f>IFERROR(AN24/1000/AO24/AP24,"-")</f>
        <v>-</v>
      </c>
      <c r="AS24" s="122" t="str">
        <f>IFERROR(AR24/AQ24,"-")</f>
        <v>-</v>
      </c>
      <c r="AT24" s="99"/>
      <c r="AU24" s="99"/>
      <c r="AV24" s="99"/>
      <c r="AW24" s="99"/>
      <c r="AX24" s="99"/>
      <c r="AY24" s="99"/>
      <c r="AZ24" s="99"/>
      <c r="BA24"/>
      <c r="BB24"/>
      <c r="BC24"/>
      <c r="BD24"/>
      <c r="BE24"/>
      <c r="BF24"/>
      <c r="BG24"/>
      <c r="BH24"/>
      <c r="BI24"/>
      <c r="BJ24"/>
      <c r="BK24" s="344"/>
      <c r="BL24"/>
      <c r="BM24"/>
      <c r="BN24"/>
      <c r="BO24"/>
      <c r="BP24"/>
      <c r="BQ24"/>
      <c r="BR24"/>
      <c r="BS24"/>
      <c r="BT24"/>
      <c r="BU24"/>
      <c r="BV24"/>
      <c r="BW24" s="99"/>
      <c r="BX24" s="99"/>
      <c r="BY24" s="99"/>
      <c r="BZ24" s="99"/>
      <c r="CA24" s="99"/>
    </row>
    <row r="25" spans="1:79" x14ac:dyDescent="0.2">
      <c r="A25" s="438"/>
      <c r="B25" s="296">
        <v>0</v>
      </c>
      <c r="C25" s="297"/>
      <c r="D25" s="297">
        <v>0</v>
      </c>
      <c r="E25" s="297"/>
      <c r="F25" s="296">
        <v>0</v>
      </c>
      <c r="G25" s="297"/>
      <c r="H25" s="297">
        <v>0</v>
      </c>
      <c r="I25" s="297"/>
      <c r="J25" s="296">
        <v>0</v>
      </c>
      <c r="K25" s="297"/>
      <c r="L25" s="297">
        <v>0</v>
      </c>
      <c r="M25" s="297"/>
      <c r="N25" s="296">
        <v>0</v>
      </c>
      <c r="O25" s="297"/>
      <c r="P25" s="297">
        <v>0</v>
      </c>
      <c r="Q25" s="109"/>
      <c r="S25" s="109"/>
      <c r="T25" s="257"/>
      <c r="U25" s="257"/>
      <c r="V25" s="109"/>
      <c r="W25" s="109"/>
      <c r="X25" s="109"/>
      <c r="Y25" s="109"/>
      <c r="Z25" s="109"/>
      <c r="AA25" s="109"/>
      <c r="AC25" s="109"/>
      <c r="AD25" s="124"/>
      <c r="AE25" s="124"/>
      <c r="AF25" s="109"/>
      <c r="AG25" s="109"/>
      <c r="AH25" s="109"/>
      <c r="AI25" s="109"/>
      <c r="AJ25" s="109"/>
      <c r="AK25" s="109"/>
      <c r="AM25" s="54"/>
      <c r="AN25" s="125"/>
      <c r="AO25" s="105"/>
      <c r="AP25" s="105"/>
      <c r="AQ25" s="54"/>
      <c r="AR25" s="105"/>
      <c r="AS25" s="105"/>
      <c r="BA25"/>
      <c r="BB25" s="335" t="s">
        <v>417</v>
      </c>
      <c r="BC25"/>
      <c r="BD25"/>
      <c r="BE25"/>
      <c r="BF25"/>
      <c r="BG25"/>
      <c r="BH25"/>
      <c r="BI25"/>
      <c r="BJ25"/>
      <c r="BK25"/>
      <c r="BL25"/>
      <c r="BM25"/>
      <c r="BN25"/>
      <c r="BO25"/>
      <c r="BP25"/>
      <c r="BQ25"/>
      <c r="BR25"/>
      <c r="BS25"/>
      <c r="BT25"/>
      <c r="BU25"/>
      <c r="BV25"/>
    </row>
    <row r="26" spans="1:79" s="120" customFormat="1" x14ac:dyDescent="0.2">
      <c r="A26" s="438"/>
      <c r="B26" s="112"/>
      <c r="C26" s="112"/>
      <c r="D26" s="112"/>
      <c r="E26" s="112">
        <f>B25*D25</f>
        <v>0</v>
      </c>
      <c r="F26" s="112"/>
      <c r="G26" s="112"/>
      <c r="H26" s="112"/>
      <c r="I26" s="112">
        <f>F25*H25</f>
        <v>0</v>
      </c>
      <c r="J26" s="112"/>
      <c r="K26" s="112"/>
      <c r="L26" s="112"/>
      <c r="M26" s="112">
        <f>J25*L25</f>
        <v>0</v>
      </c>
      <c r="N26" s="112"/>
      <c r="O26" s="112"/>
      <c r="P26" s="112"/>
      <c r="Q26" s="112">
        <f>N25*P25</f>
        <v>0</v>
      </c>
      <c r="R26" s="99"/>
      <c r="S26" s="112">
        <f>SUM(E26:Q26)</f>
        <v>0</v>
      </c>
      <c r="T26" s="298">
        <v>0</v>
      </c>
      <c r="U26" s="298">
        <v>0</v>
      </c>
      <c r="V26" s="113" t="str">
        <f>IFERROR(S26/T26/U26/1000,"-")</f>
        <v>-</v>
      </c>
      <c r="W26" s="114">
        <f>$U$4</f>
        <v>0.15</v>
      </c>
      <c r="X26" s="115" t="str">
        <f t="shared" ref="X26" si="31">IFERROR(4*T26*U26/(2*(T26+U26))*1000,"-")</f>
        <v>-</v>
      </c>
      <c r="Y26" s="116" t="str">
        <f t="shared" ref="Y26" si="32">IFERROR(66.4*X26*V26,"-")</f>
        <v>-</v>
      </c>
      <c r="Z26" s="117" t="str">
        <f>IFERROR(0.25/(LOG(W26/X26/3.7+5.74/Y26^0.9,10))^2,"-")</f>
        <v>-</v>
      </c>
      <c r="AA26" s="118" t="str">
        <f>IFERROR(Z26*$U$2/2*V26^2/(X26/1000),"-")</f>
        <v>-</v>
      </c>
      <c r="AB26" s="99"/>
      <c r="AC26" s="112">
        <f>AC24+S26</f>
        <v>2300</v>
      </c>
      <c r="AD26" s="298">
        <v>0</v>
      </c>
      <c r="AE26" s="298">
        <v>0</v>
      </c>
      <c r="AF26" s="119" t="str">
        <f>IFERROR(AC26/AD26/AE26/1000,"-")</f>
        <v>-</v>
      </c>
      <c r="AG26" s="114">
        <f>$U$4</f>
        <v>0.15</v>
      </c>
      <c r="AH26" s="115" t="str">
        <f t="shared" ref="AH26" si="33">IFERROR(4*AD26*AE26/(2*(AD26+AE26))*1000,"-")</f>
        <v>-</v>
      </c>
      <c r="AI26" s="116" t="str">
        <f t="shared" ref="AI26" si="34">IFERROR(66.4*AH26*AF26,"-")</f>
        <v>-</v>
      </c>
      <c r="AJ26" s="117" t="str">
        <f>IFERROR(0.25/(LOG(AG26/AH26/3.7+5.74/AI26^0.9,10))^2,"-")</f>
        <v>-</v>
      </c>
      <c r="AK26" s="118" t="str">
        <f>IFERROR(AJ26*$U$2/2*AF26^2/(AH26/1000),"-")</f>
        <v>-</v>
      </c>
      <c r="AL26" s="99"/>
      <c r="AM26" s="90">
        <v>0</v>
      </c>
      <c r="AN26" s="121" t="str">
        <f>IFERROR(S26/AM26,"-")</f>
        <v>-</v>
      </c>
      <c r="AO26" s="299">
        <v>0</v>
      </c>
      <c r="AP26" s="299">
        <v>0</v>
      </c>
      <c r="AQ26" s="91">
        <v>0.5</v>
      </c>
      <c r="AR26" s="122" t="str">
        <f>IFERROR(AN26/1000/AO26/AP26,"-")</f>
        <v>-</v>
      </c>
      <c r="AS26" s="122" t="str">
        <f>IFERROR(AR26/AQ26,"-")</f>
        <v>-</v>
      </c>
      <c r="AT26" s="99"/>
      <c r="AU26" s="99"/>
      <c r="AV26" s="99"/>
      <c r="AW26" s="99"/>
      <c r="AX26" s="99"/>
      <c r="AY26" s="99"/>
      <c r="AZ26" s="99"/>
      <c r="BA26"/>
      <c r="BB26"/>
      <c r="BC26" t="s">
        <v>418</v>
      </c>
      <c r="BD26"/>
      <c r="BE26"/>
      <c r="BF26"/>
      <c r="BG26"/>
      <c r="BH26"/>
      <c r="BI26"/>
      <c r="BJ26"/>
      <c r="BK26"/>
      <c r="BL26"/>
      <c r="BM26"/>
      <c r="BN26"/>
      <c r="BO26"/>
      <c r="BP26"/>
      <c r="BQ26"/>
      <c r="BR26"/>
      <c r="BS26"/>
      <c r="BT26"/>
      <c r="BU26"/>
      <c r="BV26"/>
      <c r="BW26" s="99"/>
      <c r="BX26" s="99"/>
      <c r="BY26" s="99"/>
      <c r="BZ26" s="99"/>
      <c r="CA26" s="99"/>
    </row>
    <row r="27" spans="1:79" x14ac:dyDescent="0.2">
      <c r="BA27"/>
      <c r="BB27" s="447" t="s">
        <v>403</v>
      </c>
      <c r="BC27" s="447"/>
      <c r="BD27" s="448" t="s">
        <v>404</v>
      </c>
      <c r="BE27" s="448"/>
      <c r="BF27" s="338">
        <v>1160</v>
      </c>
      <c r="BG27"/>
      <c r="BH27"/>
      <c r="BI27"/>
      <c r="BJ27"/>
      <c r="BK27"/>
      <c r="BL27"/>
      <c r="BM27"/>
      <c r="BN27"/>
      <c r="BO27"/>
      <c r="BP27"/>
      <c r="BQ27"/>
      <c r="BR27"/>
      <c r="BS27"/>
      <c r="BT27"/>
      <c r="BU27"/>
      <c r="BV27"/>
    </row>
    <row r="28" spans="1:79" x14ac:dyDescent="0.2">
      <c r="BA28"/>
      <c r="BB28" s="339" t="s">
        <v>13</v>
      </c>
      <c r="BC28" s="336" t="s">
        <v>405</v>
      </c>
      <c r="BD28" s="336" t="s">
        <v>406</v>
      </c>
      <c r="BE28" s="336" t="s">
        <v>407</v>
      </c>
      <c r="BF28" s="336" t="s">
        <v>408</v>
      </c>
      <c r="BG28" s="336" t="s">
        <v>409</v>
      </c>
      <c r="BH28" s="336" t="s">
        <v>410</v>
      </c>
      <c r="BI28" s="336" t="s">
        <v>411</v>
      </c>
      <c r="BJ28" s="336" t="s">
        <v>412</v>
      </c>
      <c r="BK28" s="336" t="s">
        <v>413</v>
      </c>
      <c r="BL28"/>
      <c r="BM28"/>
      <c r="BN28"/>
      <c r="BO28"/>
      <c r="BP28"/>
      <c r="BQ28"/>
      <c r="BR28"/>
      <c r="BS28"/>
      <c r="BT28"/>
      <c r="BU28"/>
      <c r="BV28"/>
    </row>
    <row r="29" spans="1:79" x14ac:dyDescent="0.2">
      <c r="BA29"/>
      <c r="BB29" s="340">
        <v>1</v>
      </c>
      <c r="BC29" s="340" t="s">
        <v>414</v>
      </c>
      <c r="BD29" s="340">
        <v>410</v>
      </c>
      <c r="BE29" s="340">
        <v>340</v>
      </c>
      <c r="BF29" s="341">
        <v>1.4</v>
      </c>
      <c r="BG29" s="341">
        <v>1.3</v>
      </c>
      <c r="BH29" s="341">
        <v>1.3</v>
      </c>
      <c r="BI29" s="341"/>
      <c r="BJ29" s="341"/>
      <c r="BK29" s="342">
        <f>BD29*BE29*SUM(BF29:BJ29)/1000/3</f>
        <v>185.86666666666667</v>
      </c>
      <c r="BL29"/>
      <c r="BM29"/>
      <c r="BN29"/>
      <c r="BO29"/>
      <c r="BP29"/>
      <c r="BQ29"/>
      <c r="BR29"/>
      <c r="BS29"/>
      <c r="BT29"/>
      <c r="BU29"/>
      <c r="BV29"/>
    </row>
    <row r="30" spans="1:79" x14ac:dyDescent="0.2">
      <c r="BA30"/>
      <c r="BB30" s="337">
        <v>2</v>
      </c>
      <c r="BC30" s="337" t="s">
        <v>414</v>
      </c>
      <c r="BD30" s="337">
        <v>410</v>
      </c>
      <c r="BE30" s="337">
        <v>340</v>
      </c>
      <c r="BF30" s="339">
        <v>2</v>
      </c>
      <c r="BG30" s="339">
        <v>1.7</v>
      </c>
      <c r="BH30" s="339">
        <v>1.3</v>
      </c>
      <c r="BI30" s="339"/>
      <c r="BJ30" s="339"/>
      <c r="BK30" s="343">
        <f t="shared" ref="BK30:BK32" si="35">BD30*BE30*SUM(BF30:BJ30)/1000/3</f>
        <v>232.33333333333334</v>
      </c>
      <c r="BL30"/>
      <c r="BM30"/>
      <c r="BN30"/>
      <c r="BO30"/>
      <c r="BP30"/>
      <c r="BQ30"/>
      <c r="BR30"/>
      <c r="BS30"/>
      <c r="BT30"/>
      <c r="BU30"/>
      <c r="BV30"/>
    </row>
    <row r="31" spans="1:79" x14ac:dyDescent="0.2">
      <c r="BA31"/>
      <c r="BB31" s="340">
        <v>3</v>
      </c>
      <c r="BC31" s="340" t="s">
        <v>414</v>
      </c>
      <c r="BD31" s="340">
        <v>410</v>
      </c>
      <c r="BE31" s="340">
        <v>340</v>
      </c>
      <c r="BF31" s="341">
        <v>1.5</v>
      </c>
      <c r="BG31" s="341">
        <v>1.6</v>
      </c>
      <c r="BH31" s="341">
        <v>1.4</v>
      </c>
      <c r="BI31" s="341"/>
      <c r="BJ31" s="341"/>
      <c r="BK31" s="342">
        <f t="shared" si="35"/>
        <v>209.1</v>
      </c>
      <c r="BL31"/>
      <c r="BM31"/>
      <c r="BN31"/>
      <c r="BO31"/>
      <c r="BP31"/>
      <c r="BQ31"/>
      <c r="BR31"/>
      <c r="BS31"/>
      <c r="BT31"/>
      <c r="BU31"/>
      <c r="BV31"/>
    </row>
    <row r="32" spans="1:79" x14ac:dyDescent="0.2">
      <c r="BA32"/>
      <c r="BB32" s="337">
        <v>4</v>
      </c>
      <c r="BC32" s="337" t="s">
        <v>414</v>
      </c>
      <c r="BD32" s="337">
        <v>410</v>
      </c>
      <c r="BE32" s="337">
        <v>340</v>
      </c>
      <c r="BF32" s="339">
        <v>1.2</v>
      </c>
      <c r="BG32" s="339">
        <v>1.4</v>
      </c>
      <c r="BH32" s="339">
        <v>1.3</v>
      </c>
      <c r="BI32" s="339"/>
      <c r="BJ32" s="339"/>
      <c r="BK32" s="343">
        <f t="shared" si="35"/>
        <v>181.21999999999994</v>
      </c>
      <c r="BL32"/>
      <c r="BM32"/>
      <c r="BN32"/>
      <c r="BO32"/>
      <c r="BP32"/>
      <c r="BQ32"/>
      <c r="BR32"/>
      <c r="BS32"/>
      <c r="BT32"/>
      <c r="BU32"/>
      <c r="BV32"/>
    </row>
    <row r="33" spans="53:74" x14ac:dyDescent="0.2">
      <c r="BA33"/>
      <c r="BB33" s="340"/>
      <c r="BC33" s="340"/>
      <c r="BD33" s="340"/>
      <c r="BE33" s="340"/>
      <c r="BF33" s="341"/>
      <c r="BG33" s="341"/>
      <c r="BH33" s="341"/>
      <c r="BI33" s="341"/>
      <c r="BJ33" s="341"/>
      <c r="BK33" s="342"/>
      <c r="BL33"/>
      <c r="BM33"/>
      <c r="BN33"/>
      <c r="BO33"/>
      <c r="BP33"/>
      <c r="BQ33"/>
      <c r="BR33"/>
      <c r="BS33"/>
      <c r="BT33"/>
      <c r="BU33"/>
      <c r="BV33"/>
    </row>
    <row r="34" spans="53:74" x14ac:dyDescent="0.2">
      <c r="BA34"/>
      <c r="BB34" s="337"/>
      <c r="BC34" s="337"/>
      <c r="BD34" s="337"/>
      <c r="BE34" s="337"/>
      <c r="BF34" s="339"/>
      <c r="BG34" s="339"/>
      <c r="BH34" s="339"/>
      <c r="BI34" s="339"/>
      <c r="BJ34" s="339"/>
      <c r="BK34" s="339"/>
      <c r="BL34"/>
      <c r="BM34"/>
      <c r="BN34"/>
      <c r="BO34"/>
      <c r="BP34"/>
      <c r="BQ34"/>
      <c r="BR34"/>
      <c r="BS34"/>
      <c r="BT34"/>
      <c r="BU34"/>
      <c r="BV34"/>
    </row>
    <row r="35" spans="53:74" x14ac:dyDescent="0.2">
      <c r="BA35"/>
      <c r="BB35" s="340"/>
      <c r="BC35" s="340"/>
      <c r="BD35" s="340"/>
      <c r="BE35" s="340"/>
      <c r="BF35" s="341"/>
      <c r="BG35" s="341"/>
      <c r="BH35" s="341" t="s">
        <v>404</v>
      </c>
      <c r="BI35" s="341">
        <v>1210</v>
      </c>
      <c r="BJ35" s="341" t="s">
        <v>415</v>
      </c>
      <c r="BK35" s="342">
        <f>SUM(BK29:BK34)</f>
        <v>808.52</v>
      </c>
      <c r="BL35"/>
      <c r="BM35"/>
      <c r="BN35"/>
      <c r="BO35"/>
      <c r="BP35"/>
      <c r="BQ35"/>
      <c r="BR35"/>
      <c r="BS35"/>
      <c r="BT35"/>
      <c r="BU35"/>
      <c r="BV35"/>
    </row>
    <row r="36" spans="53:74" x14ac:dyDescent="0.2">
      <c r="BA36"/>
      <c r="BB36"/>
      <c r="BC36"/>
      <c r="BD36"/>
      <c r="BE36"/>
      <c r="BF36"/>
      <c r="BG36"/>
      <c r="BH36"/>
      <c r="BI36"/>
      <c r="BJ36" t="s">
        <v>416</v>
      </c>
      <c r="BK36" s="344">
        <f>BK35/BI35</f>
        <v>0.66819834710743797</v>
      </c>
      <c r="BL36"/>
      <c r="BM36"/>
      <c r="BN36"/>
      <c r="BO36"/>
      <c r="BP36"/>
      <c r="BQ36"/>
      <c r="BR36"/>
      <c r="BS36"/>
      <c r="BT36"/>
      <c r="BU36"/>
      <c r="BV36"/>
    </row>
    <row r="37" spans="53:74" x14ac:dyDescent="0.2">
      <c r="BA37"/>
      <c r="BB37"/>
      <c r="BC37" t="s">
        <v>418</v>
      </c>
      <c r="BD37"/>
      <c r="BE37"/>
      <c r="BF37"/>
      <c r="BG37"/>
      <c r="BH37"/>
      <c r="BI37"/>
      <c r="BJ37"/>
      <c r="BK37"/>
      <c r="BL37"/>
      <c r="BM37"/>
      <c r="BN37"/>
      <c r="BO37"/>
      <c r="BP37"/>
      <c r="BQ37"/>
      <c r="BR37"/>
      <c r="BS37"/>
      <c r="BT37"/>
      <c r="BU37"/>
      <c r="BV37"/>
    </row>
    <row r="38" spans="53:74" x14ac:dyDescent="0.2">
      <c r="BA38"/>
      <c r="BB38" s="447" t="s">
        <v>419</v>
      </c>
      <c r="BC38" s="447"/>
      <c r="BD38" s="448" t="s">
        <v>404</v>
      </c>
      <c r="BE38" s="448"/>
      <c r="BF38" s="338">
        <v>1120</v>
      </c>
      <c r="BG38"/>
      <c r="BH38"/>
      <c r="BI38"/>
      <c r="BJ38"/>
      <c r="BK38"/>
      <c r="BL38"/>
      <c r="BM38"/>
      <c r="BN38"/>
      <c r="BO38"/>
      <c r="BP38"/>
      <c r="BQ38"/>
      <c r="BR38"/>
      <c r="BS38"/>
      <c r="BT38"/>
      <c r="BU38"/>
      <c r="BV38"/>
    </row>
    <row r="39" spans="53:74" x14ac:dyDescent="0.2">
      <c r="BA39"/>
      <c r="BB39" s="339" t="s">
        <v>13</v>
      </c>
      <c r="BC39" s="336" t="s">
        <v>405</v>
      </c>
      <c r="BD39" s="336" t="s">
        <v>406</v>
      </c>
      <c r="BE39" s="336" t="s">
        <v>407</v>
      </c>
      <c r="BF39" s="336" t="s">
        <v>408</v>
      </c>
      <c r="BG39" s="336" t="s">
        <v>409</v>
      </c>
      <c r="BH39" s="336" t="s">
        <v>410</v>
      </c>
      <c r="BI39" s="336" t="s">
        <v>411</v>
      </c>
      <c r="BJ39" s="336" t="s">
        <v>412</v>
      </c>
      <c r="BK39" s="336" t="s">
        <v>413</v>
      </c>
      <c r="BL39"/>
      <c r="BM39"/>
      <c r="BN39"/>
      <c r="BO39"/>
      <c r="BP39"/>
      <c r="BQ39"/>
      <c r="BR39"/>
      <c r="BS39"/>
      <c r="BT39"/>
      <c r="BU39"/>
      <c r="BV39"/>
    </row>
    <row r="40" spans="53:74" x14ac:dyDescent="0.2">
      <c r="BA40"/>
      <c r="BB40" s="340">
        <v>1</v>
      </c>
      <c r="BC40" s="340" t="s">
        <v>414</v>
      </c>
      <c r="BD40" s="340">
        <v>410</v>
      </c>
      <c r="BE40" s="340">
        <v>340</v>
      </c>
      <c r="BF40" s="341">
        <v>1.2</v>
      </c>
      <c r="BG40" s="341">
        <v>1.1000000000000001</v>
      </c>
      <c r="BH40" s="341">
        <v>1.1000000000000001</v>
      </c>
      <c r="BI40" s="341"/>
      <c r="BJ40" s="341"/>
      <c r="BK40" s="342">
        <f>BD40*BE40*SUM(BF40:BJ40)/1000/3</f>
        <v>157.98666666666665</v>
      </c>
      <c r="BL40"/>
      <c r="BM40"/>
      <c r="BN40"/>
      <c r="BO40"/>
      <c r="BP40"/>
      <c r="BQ40"/>
      <c r="BR40"/>
      <c r="BS40"/>
      <c r="BT40"/>
      <c r="BU40"/>
      <c r="BV40"/>
    </row>
    <row r="41" spans="53:74" x14ac:dyDescent="0.2">
      <c r="BA41"/>
      <c r="BB41" s="337">
        <v>2</v>
      </c>
      <c r="BC41" s="337" t="s">
        <v>414</v>
      </c>
      <c r="BD41" s="337">
        <v>410</v>
      </c>
      <c r="BE41" s="337">
        <v>340</v>
      </c>
      <c r="BF41" s="339">
        <v>1.2</v>
      </c>
      <c r="BG41" s="339">
        <v>1.2</v>
      </c>
      <c r="BH41" s="339">
        <v>1</v>
      </c>
      <c r="BI41" s="339"/>
      <c r="BJ41" s="339"/>
      <c r="BK41" s="343">
        <f t="shared" ref="BK41:BK43" si="36">BD41*BE41*SUM(BF41:BJ41)/1000/3</f>
        <v>157.98666666666665</v>
      </c>
      <c r="BL41"/>
      <c r="BM41"/>
      <c r="BN41"/>
      <c r="BO41"/>
      <c r="BP41"/>
      <c r="BQ41"/>
      <c r="BR41"/>
      <c r="BS41"/>
      <c r="BT41"/>
      <c r="BU41"/>
      <c r="BV41"/>
    </row>
    <row r="42" spans="53:74" x14ac:dyDescent="0.2">
      <c r="BA42"/>
      <c r="BB42" s="340">
        <v>3</v>
      </c>
      <c r="BC42" s="340" t="s">
        <v>414</v>
      </c>
      <c r="BD42" s="340">
        <v>410</v>
      </c>
      <c r="BE42" s="340">
        <v>340</v>
      </c>
      <c r="BF42" s="341">
        <v>1.8</v>
      </c>
      <c r="BG42" s="341">
        <v>1.6</v>
      </c>
      <c r="BH42" s="341">
        <v>1.2</v>
      </c>
      <c r="BI42" s="341"/>
      <c r="BJ42" s="341"/>
      <c r="BK42" s="342">
        <f t="shared" si="36"/>
        <v>213.7466666666667</v>
      </c>
      <c r="BL42"/>
      <c r="BM42"/>
      <c r="BN42"/>
      <c r="BO42"/>
      <c r="BP42"/>
      <c r="BQ42"/>
      <c r="BR42"/>
      <c r="BS42"/>
      <c r="BT42"/>
      <c r="BU42"/>
      <c r="BV42"/>
    </row>
    <row r="43" spans="53:74" x14ac:dyDescent="0.2">
      <c r="BA43"/>
      <c r="BB43" s="337">
        <v>4</v>
      </c>
      <c r="BC43" s="337" t="s">
        <v>414</v>
      </c>
      <c r="BD43" s="337">
        <v>410</v>
      </c>
      <c r="BE43" s="337">
        <v>340</v>
      </c>
      <c r="BF43" s="339">
        <v>2</v>
      </c>
      <c r="BG43" s="339">
        <v>1.8</v>
      </c>
      <c r="BH43" s="339">
        <v>1.4</v>
      </c>
      <c r="BI43" s="339"/>
      <c r="BJ43" s="339"/>
      <c r="BK43" s="343">
        <f t="shared" si="36"/>
        <v>241.62666666666664</v>
      </c>
      <c r="BL43"/>
      <c r="BM43"/>
      <c r="BN43"/>
      <c r="BO43"/>
      <c r="BP43"/>
      <c r="BQ43"/>
      <c r="BR43"/>
      <c r="BS43"/>
      <c r="BT43"/>
      <c r="BU43"/>
      <c r="BV43"/>
    </row>
    <row r="44" spans="53:74" x14ac:dyDescent="0.2">
      <c r="BA44"/>
      <c r="BB44" s="340"/>
      <c r="BC44" s="340"/>
      <c r="BD44" s="340"/>
      <c r="BE44" s="340"/>
      <c r="BF44" s="341"/>
      <c r="BG44" s="341"/>
      <c r="BH44" s="341"/>
      <c r="BI44" s="341"/>
      <c r="BJ44" s="341"/>
      <c r="BK44" s="342"/>
      <c r="BL44"/>
      <c r="BM44"/>
      <c r="BN44"/>
      <c r="BO44"/>
      <c r="BP44"/>
      <c r="BQ44"/>
      <c r="BR44"/>
      <c r="BS44"/>
      <c r="BT44"/>
      <c r="BU44"/>
      <c r="BV44"/>
    </row>
    <row r="45" spans="53:74" x14ac:dyDescent="0.2">
      <c r="BA45"/>
      <c r="BB45" s="337"/>
      <c r="BC45" s="337"/>
      <c r="BD45" s="337"/>
      <c r="BE45" s="337"/>
      <c r="BF45" s="339"/>
      <c r="BG45" s="339"/>
      <c r="BH45" s="339"/>
      <c r="BI45" s="339"/>
      <c r="BJ45" s="339"/>
      <c r="BK45" s="339"/>
      <c r="BL45"/>
      <c r="BM45"/>
      <c r="BN45"/>
      <c r="BO45"/>
      <c r="BP45"/>
      <c r="BQ45"/>
      <c r="BR45"/>
      <c r="BS45"/>
      <c r="BT45"/>
      <c r="BU45"/>
      <c r="BV45"/>
    </row>
    <row r="46" spans="53:74" x14ac:dyDescent="0.2">
      <c r="BA46"/>
      <c r="BB46" s="340"/>
      <c r="BC46" s="340"/>
      <c r="BD46" s="340"/>
      <c r="BE46" s="340"/>
      <c r="BF46" s="341"/>
      <c r="BG46" s="341"/>
      <c r="BH46" s="341" t="s">
        <v>404</v>
      </c>
      <c r="BI46" s="341">
        <v>720</v>
      </c>
      <c r="BJ46" s="341" t="s">
        <v>415</v>
      </c>
      <c r="BK46" s="342">
        <f>SUM(BK40:BK45)</f>
        <v>771.34666666666669</v>
      </c>
      <c r="BL46"/>
      <c r="BM46"/>
      <c r="BN46"/>
      <c r="BO46"/>
      <c r="BP46"/>
      <c r="BQ46"/>
      <c r="BR46"/>
      <c r="BS46"/>
      <c r="BT46"/>
      <c r="BU46"/>
      <c r="BV46"/>
    </row>
    <row r="47" spans="53:74" x14ac:dyDescent="0.2">
      <c r="BA47"/>
      <c r="BB47"/>
      <c r="BC47"/>
      <c r="BD47"/>
      <c r="BE47"/>
      <c r="BF47"/>
      <c r="BG47"/>
      <c r="BH47"/>
      <c r="BI47"/>
      <c r="BJ47" t="s">
        <v>416</v>
      </c>
      <c r="BK47" s="344">
        <f>BK46/BI46</f>
        <v>1.0713148148148148</v>
      </c>
      <c r="BL47"/>
      <c r="BM47"/>
      <c r="BN47"/>
      <c r="BO47"/>
      <c r="BP47"/>
      <c r="BQ47"/>
      <c r="BR47"/>
      <c r="BS47"/>
      <c r="BT47"/>
      <c r="BU47"/>
      <c r="BV47"/>
    </row>
    <row r="48" spans="53:74" x14ac:dyDescent="0.2">
      <c r="BA48"/>
      <c r="BB48"/>
      <c r="BC48"/>
      <c r="BD48"/>
      <c r="BE48"/>
      <c r="BF48"/>
      <c r="BG48"/>
      <c r="BH48"/>
      <c r="BI48"/>
      <c r="BJ48"/>
      <c r="BK48"/>
      <c r="BL48"/>
      <c r="BM48"/>
      <c r="BN48"/>
      <c r="BO48"/>
      <c r="BP48"/>
      <c r="BQ48"/>
      <c r="BR48"/>
      <c r="BS48"/>
      <c r="BT48"/>
      <c r="BU48"/>
      <c r="BV48"/>
    </row>
    <row r="49" spans="53:74" x14ac:dyDescent="0.2">
      <c r="BA49"/>
      <c r="BB49"/>
      <c r="BC49" t="s">
        <v>420</v>
      </c>
      <c r="BD49"/>
      <c r="BE49"/>
      <c r="BF49"/>
      <c r="BG49"/>
      <c r="BH49"/>
      <c r="BI49"/>
      <c r="BJ49"/>
      <c r="BK49"/>
      <c r="BL49"/>
      <c r="BM49"/>
      <c r="BN49"/>
      <c r="BO49"/>
      <c r="BP49"/>
      <c r="BQ49"/>
      <c r="BR49"/>
      <c r="BS49"/>
      <c r="BT49"/>
      <c r="BU49"/>
      <c r="BV49"/>
    </row>
    <row r="50" spans="53:74" x14ac:dyDescent="0.2">
      <c r="BA50"/>
      <c r="BB50" s="447" t="s">
        <v>421</v>
      </c>
      <c r="BC50" s="447"/>
      <c r="BD50" s="448" t="s">
        <v>404</v>
      </c>
      <c r="BE50" s="448"/>
      <c r="BF50" s="338">
        <v>300</v>
      </c>
      <c r="BG50"/>
      <c r="BH50"/>
      <c r="BI50"/>
      <c r="BJ50"/>
      <c r="BK50"/>
      <c r="BL50"/>
      <c r="BM50"/>
      <c r="BN50"/>
      <c r="BO50"/>
      <c r="BP50"/>
      <c r="BQ50"/>
      <c r="BR50"/>
      <c r="BS50"/>
      <c r="BT50"/>
      <c r="BU50"/>
      <c r="BV50"/>
    </row>
    <row r="51" spans="53:74" x14ac:dyDescent="0.2">
      <c r="BA51"/>
      <c r="BB51" s="339" t="s">
        <v>13</v>
      </c>
      <c r="BC51" s="336" t="s">
        <v>405</v>
      </c>
      <c r="BD51" s="336" t="s">
        <v>406</v>
      </c>
      <c r="BE51" s="336" t="s">
        <v>407</v>
      </c>
      <c r="BF51" s="336" t="s">
        <v>408</v>
      </c>
      <c r="BG51" s="336" t="s">
        <v>409</v>
      </c>
      <c r="BH51" s="336" t="s">
        <v>410</v>
      </c>
      <c r="BI51" s="336" t="s">
        <v>411</v>
      </c>
      <c r="BJ51" s="336" t="s">
        <v>412</v>
      </c>
      <c r="BK51" s="336" t="s">
        <v>413</v>
      </c>
      <c r="BL51"/>
      <c r="BM51"/>
      <c r="BN51"/>
      <c r="BO51"/>
      <c r="BP51"/>
      <c r="BQ51"/>
      <c r="BR51"/>
      <c r="BS51"/>
      <c r="BT51"/>
      <c r="BU51"/>
      <c r="BV51"/>
    </row>
    <row r="52" spans="53:74" x14ac:dyDescent="0.2">
      <c r="BA52"/>
      <c r="BB52" s="340">
        <v>1</v>
      </c>
      <c r="BC52" s="340" t="s">
        <v>422</v>
      </c>
      <c r="BD52" s="340">
        <v>240</v>
      </c>
      <c r="BE52" s="340">
        <v>240</v>
      </c>
      <c r="BF52" s="341">
        <v>5</v>
      </c>
      <c r="BG52" s="341"/>
      <c r="BH52" s="341"/>
      <c r="BI52" s="341"/>
      <c r="BJ52" s="341"/>
      <c r="BK52" s="342">
        <f>BD52*BE52*SUM(BF52:BJ52)/1000</f>
        <v>288</v>
      </c>
      <c r="BL52"/>
      <c r="BM52"/>
      <c r="BN52"/>
      <c r="BO52"/>
      <c r="BP52"/>
      <c r="BQ52"/>
      <c r="BR52"/>
      <c r="BS52"/>
      <c r="BT52"/>
      <c r="BU52"/>
      <c r="BV52"/>
    </row>
    <row r="53" spans="53:74" x14ac:dyDescent="0.2">
      <c r="BA53"/>
      <c r="BB53" s="340">
        <v>2</v>
      </c>
      <c r="BC53" s="337"/>
      <c r="BD53" s="337"/>
      <c r="BE53" s="337"/>
      <c r="BF53" s="339"/>
      <c r="BG53" s="339"/>
      <c r="BH53" s="339"/>
      <c r="BI53" s="339"/>
      <c r="BJ53" s="339"/>
      <c r="BK53" s="343">
        <f>BD53*BE53*SUM(BF53:BJ53)/1000/5</f>
        <v>0</v>
      </c>
      <c r="BL53"/>
      <c r="BM53"/>
      <c r="BN53"/>
      <c r="BO53"/>
      <c r="BP53"/>
      <c r="BQ53"/>
      <c r="BR53"/>
      <c r="BS53"/>
      <c r="BT53"/>
      <c r="BU53"/>
      <c r="BV53"/>
    </row>
    <row r="54" spans="53:74" x14ac:dyDescent="0.2">
      <c r="BA54"/>
      <c r="BB54" s="340">
        <v>3</v>
      </c>
      <c r="BC54" s="340"/>
      <c r="BD54" s="340"/>
      <c r="BE54" s="340"/>
      <c r="BF54" s="341"/>
      <c r="BG54" s="341"/>
      <c r="BH54" s="341"/>
      <c r="BI54" s="341"/>
      <c r="BJ54" s="341"/>
      <c r="BK54" s="342">
        <f t="shared" ref="BK54" si="37">BD54*BE54*SUM(BF54:BJ54)/1000/5</f>
        <v>0</v>
      </c>
      <c r="BL54"/>
      <c r="BM54"/>
      <c r="BN54"/>
      <c r="BO54"/>
      <c r="BP54"/>
      <c r="BQ54"/>
      <c r="BR54"/>
      <c r="BS54"/>
      <c r="BT54"/>
      <c r="BU54"/>
      <c r="BV54"/>
    </row>
    <row r="55" spans="53:74" x14ac:dyDescent="0.2">
      <c r="BA55"/>
      <c r="BB55" s="340"/>
      <c r="BC55" s="337"/>
      <c r="BD55" s="337"/>
      <c r="BE55" s="337"/>
      <c r="BF55" s="339"/>
      <c r="BG55" s="339"/>
      <c r="BH55" s="339"/>
      <c r="BI55" s="339"/>
      <c r="BJ55" s="339"/>
      <c r="BK55" s="343"/>
      <c r="BL55"/>
      <c r="BM55"/>
      <c r="BN55"/>
      <c r="BO55"/>
      <c r="BP55"/>
      <c r="BQ55"/>
      <c r="BR55"/>
      <c r="BS55"/>
      <c r="BT55"/>
      <c r="BU55"/>
      <c r="BV55"/>
    </row>
    <row r="56" spans="53:74" x14ac:dyDescent="0.2">
      <c r="BA56"/>
      <c r="BB56" s="340"/>
      <c r="BC56" s="340"/>
      <c r="BD56" s="340"/>
      <c r="BE56" s="340"/>
      <c r="BF56" s="341"/>
      <c r="BG56" s="341"/>
      <c r="BH56" s="341"/>
      <c r="BI56" s="341"/>
      <c r="BJ56" s="341"/>
      <c r="BK56" s="342"/>
      <c r="BL56"/>
      <c r="BM56"/>
      <c r="BN56"/>
      <c r="BO56"/>
      <c r="BP56"/>
      <c r="BQ56"/>
      <c r="BR56"/>
      <c r="BS56"/>
      <c r="BT56"/>
      <c r="BU56"/>
      <c r="BV56"/>
    </row>
    <row r="57" spans="53:74" x14ac:dyDescent="0.2">
      <c r="BA57"/>
      <c r="BB57" s="337"/>
      <c r="BC57" s="337"/>
      <c r="BD57" s="337"/>
      <c r="BE57" s="337"/>
      <c r="BF57" s="339"/>
      <c r="BG57" s="339"/>
      <c r="BH57" s="339"/>
      <c r="BI57" s="339"/>
      <c r="BJ57" s="339"/>
      <c r="BK57" s="339"/>
      <c r="BL57"/>
      <c r="BM57"/>
      <c r="BN57"/>
      <c r="BO57"/>
      <c r="BP57"/>
      <c r="BQ57"/>
      <c r="BR57"/>
      <c r="BS57"/>
      <c r="BT57"/>
      <c r="BU57"/>
      <c r="BV57"/>
    </row>
    <row r="58" spans="53:74" x14ac:dyDescent="0.2">
      <c r="BA58"/>
      <c r="BB58" s="340"/>
      <c r="BC58" s="340"/>
      <c r="BD58" s="340"/>
      <c r="BE58" s="340"/>
      <c r="BF58" s="341"/>
      <c r="BG58" s="341"/>
      <c r="BH58" s="341" t="s">
        <v>404</v>
      </c>
      <c r="BI58" s="341">
        <f>BF50</f>
        <v>300</v>
      </c>
      <c r="BJ58" s="341" t="s">
        <v>415</v>
      </c>
      <c r="BK58" s="342">
        <f>SUM(BK52:BK57)</f>
        <v>288</v>
      </c>
      <c r="BL58"/>
      <c r="BM58"/>
      <c r="BN58"/>
      <c r="BO58"/>
      <c r="BP58"/>
      <c r="BQ58"/>
      <c r="BR58"/>
      <c r="BS58"/>
      <c r="BT58"/>
      <c r="BU58"/>
      <c r="BV58"/>
    </row>
    <row r="59" spans="53:74" x14ac:dyDescent="0.2">
      <c r="BA59"/>
      <c r="BB59"/>
      <c r="BC59"/>
      <c r="BD59"/>
      <c r="BE59"/>
      <c r="BF59"/>
      <c r="BG59"/>
      <c r="BH59"/>
      <c r="BI59"/>
      <c r="BJ59" t="s">
        <v>416</v>
      </c>
      <c r="BK59" s="344">
        <f>BK58/BI58</f>
        <v>0.96</v>
      </c>
      <c r="BL59"/>
      <c r="BM59"/>
      <c r="BN59"/>
      <c r="BO59"/>
      <c r="BP59"/>
      <c r="BQ59"/>
      <c r="BR59"/>
      <c r="BS59"/>
      <c r="BT59"/>
      <c r="BU59"/>
      <c r="BV59"/>
    </row>
    <row r="60" spans="53:74" x14ac:dyDescent="0.2">
      <c r="BA60"/>
      <c r="BB60"/>
      <c r="BC60"/>
      <c r="BD60"/>
      <c r="BE60"/>
      <c r="BF60"/>
      <c r="BG60"/>
      <c r="BH60"/>
      <c r="BI60"/>
      <c r="BJ60"/>
      <c r="BK60"/>
      <c r="BL60"/>
      <c r="BM60"/>
      <c r="BN60"/>
      <c r="BO60"/>
      <c r="BP60"/>
      <c r="BQ60"/>
      <c r="BR60"/>
      <c r="BS60"/>
      <c r="BT60"/>
      <c r="BU60"/>
      <c r="BV60"/>
    </row>
    <row r="61" spans="53:74" x14ac:dyDescent="0.2">
      <c r="BA61"/>
      <c r="BB61"/>
      <c r="BC61"/>
      <c r="BD61"/>
      <c r="BE61"/>
      <c r="BF61"/>
      <c r="BG61"/>
      <c r="BH61"/>
      <c r="BI61"/>
      <c r="BJ61"/>
      <c r="BK61"/>
      <c r="BL61"/>
      <c r="BM61"/>
      <c r="BN61"/>
      <c r="BO61"/>
      <c r="BP61"/>
      <c r="BQ61"/>
      <c r="BR61"/>
      <c r="BS61"/>
      <c r="BT61"/>
      <c r="BU61"/>
      <c r="BV61"/>
    </row>
  </sheetData>
  <mergeCells count="33">
    <mergeCell ref="BB50:BC50"/>
    <mergeCell ref="BD50:BE50"/>
    <mergeCell ref="BB11:BC11"/>
    <mergeCell ref="BD11:BE11"/>
    <mergeCell ref="BB27:BC27"/>
    <mergeCell ref="BD27:BE27"/>
    <mergeCell ref="BB38:BC38"/>
    <mergeCell ref="BD38:BE38"/>
    <mergeCell ref="AM6:AM7"/>
    <mergeCell ref="AN6:AN7"/>
    <mergeCell ref="AO6:AS6"/>
    <mergeCell ref="J5:K5"/>
    <mergeCell ref="F5:G5"/>
    <mergeCell ref="B5:C5"/>
    <mergeCell ref="N5:O5"/>
    <mergeCell ref="AD6:AK6"/>
    <mergeCell ref="N6:Q6"/>
    <mergeCell ref="B6:E6"/>
    <mergeCell ref="F6:I6"/>
    <mergeCell ref="J6:M6"/>
    <mergeCell ref="AC6:AC7"/>
    <mergeCell ref="A25:A26"/>
    <mergeCell ref="A23:A24"/>
    <mergeCell ref="S6:S7"/>
    <mergeCell ref="T6:AA6"/>
    <mergeCell ref="A9:A10"/>
    <mergeCell ref="A11:A12"/>
    <mergeCell ref="A13:A14"/>
    <mergeCell ref="A15:A16"/>
    <mergeCell ref="A17:A18"/>
    <mergeCell ref="A19:A20"/>
    <mergeCell ref="A21:A22"/>
    <mergeCell ref="A6:A8"/>
  </mergeCells>
  <phoneticPr fontId="24" type="noConversion"/>
  <dataValidations count="1">
    <dataValidation type="list" allowBlank="1" showInputMessage="1" showErrorMessage="1" sqref="U3" xr:uid="{F7B9721B-E98E-4C02-AE38-584E099EA451}">
      <formula1>$W$2:$W$4</formula1>
    </dataValidation>
  </dataValidations>
  <hyperlinks>
    <hyperlink ref="T7" r:id="rId1" display="A@7 m/s, m2" xr:uid="{4D333B79-2A74-4443-A2F9-EF7982312260}"/>
    <hyperlink ref="T8" r:id="rId2" display="A@7 m/s, m2" xr:uid="{EFED225B-14A0-4E9F-8474-4DC55B86356E}"/>
    <hyperlink ref="AD8" r:id="rId3" display="A@7 m/s, m2" xr:uid="{A6EA540B-66E8-4DB0-9581-0332B822B8AD}"/>
    <hyperlink ref="AD7" r:id="rId4" display="A@7 m/s, m2" xr:uid="{0D5FBD14-3CD0-4F08-A04C-29E7F81B0097}"/>
    <hyperlink ref="AO7" r:id="rId5" display="A@7 m/s, m2" xr:uid="{5BCA2275-70FF-45D3-B173-6B70665E9FBC}"/>
  </hyperlinks>
  <pageMargins left="0.7" right="0.7" top="0.75" bottom="0.75" header="0.3" footer="0.3"/>
  <pageSetup paperSize="8" scale="54" fitToHeight="0" orientation="landscape" r:id="rId6"/>
  <drawing r:id="rId7"/>
  <legacyDrawing r:id="rId8"/>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E32"/>
  <sheetViews>
    <sheetView zoomScale="130" zoomScaleNormal="130" workbookViewId="0">
      <selection activeCell="H33" sqref="H33"/>
    </sheetView>
  </sheetViews>
  <sheetFormatPr defaultColWidth="9.140625" defaultRowHeight="12.75" x14ac:dyDescent="0.2"/>
  <cols>
    <col min="1" max="1" width="20.42578125" style="23" customWidth="1"/>
    <col min="2" max="2" width="14.42578125" style="23" customWidth="1"/>
    <col min="3" max="16384" width="9.140625" style="23"/>
  </cols>
  <sheetData>
    <row r="1" spans="1:5" x14ac:dyDescent="0.2">
      <c r="A1" s="449" t="s">
        <v>48</v>
      </c>
      <c r="B1" s="451" t="s">
        <v>171</v>
      </c>
      <c r="C1" s="69" t="s">
        <v>49</v>
      </c>
      <c r="D1" s="69" t="s">
        <v>50</v>
      </c>
      <c r="E1" s="69" t="s">
        <v>62</v>
      </c>
    </row>
    <row r="2" spans="1:5" x14ac:dyDescent="0.2">
      <c r="A2" s="450"/>
      <c r="B2" s="452"/>
      <c r="C2" s="69" t="s">
        <v>12</v>
      </c>
      <c r="D2" s="69" t="s">
        <v>51</v>
      </c>
      <c r="E2" s="69" t="s">
        <v>61</v>
      </c>
    </row>
    <row r="3" spans="1:5" x14ac:dyDescent="0.2">
      <c r="A3" s="245"/>
      <c r="B3" s="245"/>
      <c r="C3" s="245"/>
      <c r="D3" s="245"/>
      <c r="E3" s="231">
        <v>50</v>
      </c>
    </row>
    <row r="4" spans="1:5" x14ac:dyDescent="0.2">
      <c r="A4" s="158"/>
      <c r="B4" s="158"/>
      <c r="C4" s="158"/>
      <c r="D4" s="158"/>
      <c r="E4" s="69">
        <f t="shared" ref="E4" si="0">C4*D4</f>
        <v>0</v>
      </c>
    </row>
    <row r="5" spans="1:5" x14ac:dyDescent="0.2">
      <c r="A5" s="245"/>
      <c r="B5" s="245"/>
      <c r="C5" s="245"/>
      <c r="D5" s="245"/>
      <c r="E5" s="231">
        <f t="shared" ref="E5" si="1">C5*D5</f>
        <v>0</v>
      </c>
    </row>
    <row r="6" spans="1:5" x14ac:dyDescent="0.2">
      <c r="A6" s="158"/>
      <c r="B6" s="158"/>
      <c r="C6" s="158"/>
      <c r="D6" s="158"/>
      <c r="E6" s="69">
        <f t="shared" ref="E6:E21" si="2">C6*D6</f>
        <v>0</v>
      </c>
    </row>
    <row r="7" spans="1:5" x14ac:dyDescent="0.2">
      <c r="A7" s="245"/>
      <c r="B7" s="245"/>
      <c r="C7" s="245"/>
      <c r="D7" s="245"/>
      <c r="E7" s="231">
        <f t="shared" si="2"/>
        <v>0</v>
      </c>
    </row>
    <row r="8" spans="1:5" x14ac:dyDescent="0.2">
      <c r="A8" s="158"/>
      <c r="B8" s="158"/>
      <c r="C8" s="158"/>
      <c r="D8" s="158"/>
      <c r="E8" s="69">
        <f t="shared" si="2"/>
        <v>0</v>
      </c>
    </row>
    <row r="9" spans="1:5" x14ac:dyDescent="0.2">
      <c r="A9" s="245"/>
      <c r="B9" s="245"/>
      <c r="C9" s="245"/>
      <c r="D9" s="245"/>
      <c r="E9" s="231"/>
    </row>
    <row r="10" spans="1:5" x14ac:dyDescent="0.2">
      <c r="A10" s="158"/>
      <c r="B10" s="158"/>
      <c r="C10" s="158"/>
      <c r="D10" s="158"/>
      <c r="E10" s="69">
        <f t="shared" si="2"/>
        <v>0</v>
      </c>
    </row>
    <row r="11" spans="1:5" x14ac:dyDescent="0.2">
      <c r="A11" s="245"/>
      <c r="B11" s="245"/>
      <c r="C11" s="245"/>
      <c r="D11" s="245"/>
      <c r="E11" s="231">
        <f t="shared" si="2"/>
        <v>0</v>
      </c>
    </row>
    <row r="12" spans="1:5" x14ac:dyDescent="0.2">
      <c r="A12" s="158"/>
      <c r="B12" s="158"/>
      <c r="C12" s="158"/>
      <c r="D12" s="158"/>
      <c r="E12" s="69"/>
    </row>
    <row r="13" spans="1:5" x14ac:dyDescent="0.2">
      <c r="A13" s="245"/>
      <c r="B13" s="245"/>
      <c r="C13" s="245"/>
      <c r="D13" s="245"/>
      <c r="E13" s="231">
        <f t="shared" si="2"/>
        <v>0</v>
      </c>
    </row>
    <row r="14" spans="1:5" x14ac:dyDescent="0.2">
      <c r="A14" s="158"/>
      <c r="B14" s="158"/>
      <c r="C14" s="158"/>
      <c r="D14" s="158"/>
      <c r="E14" s="69">
        <f t="shared" si="2"/>
        <v>0</v>
      </c>
    </row>
    <row r="15" spans="1:5" x14ac:dyDescent="0.2">
      <c r="A15" s="245"/>
      <c r="B15" s="245"/>
      <c r="C15" s="245"/>
      <c r="D15" s="245"/>
      <c r="E15" s="231">
        <f t="shared" si="2"/>
        <v>0</v>
      </c>
    </row>
    <row r="16" spans="1:5" x14ac:dyDescent="0.2">
      <c r="A16" s="158"/>
      <c r="B16" s="158"/>
      <c r="C16" s="158"/>
      <c r="D16" s="158"/>
      <c r="E16" s="69">
        <f t="shared" si="2"/>
        <v>0</v>
      </c>
    </row>
    <row r="17" spans="1:5" x14ac:dyDescent="0.2">
      <c r="A17" s="245"/>
      <c r="B17" s="245"/>
      <c r="C17" s="245"/>
      <c r="D17" s="245"/>
      <c r="E17" s="231">
        <f t="shared" si="2"/>
        <v>0</v>
      </c>
    </row>
    <row r="18" spans="1:5" x14ac:dyDescent="0.2">
      <c r="A18" s="158"/>
      <c r="B18" s="158"/>
      <c r="C18" s="158"/>
      <c r="D18" s="158"/>
      <c r="E18" s="69">
        <f t="shared" si="2"/>
        <v>0</v>
      </c>
    </row>
    <row r="19" spans="1:5" x14ac:dyDescent="0.2">
      <c r="A19" s="245"/>
      <c r="B19" s="245"/>
      <c r="C19" s="245"/>
      <c r="D19" s="245"/>
      <c r="E19" s="231">
        <f t="shared" si="2"/>
        <v>0</v>
      </c>
    </row>
    <row r="20" spans="1:5" x14ac:dyDescent="0.2">
      <c r="A20" s="158"/>
      <c r="B20" s="158"/>
      <c r="C20" s="158"/>
      <c r="D20" s="158"/>
      <c r="E20" s="69">
        <f t="shared" si="2"/>
        <v>0</v>
      </c>
    </row>
    <row r="21" spans="1:5" x14ac:dyDescent="0.2">
      <c r="A21" s="245"/>
      <c r="B21" s="245"/>
      <c r="C21" s="245"/>
      <c r="D21" s="245"/>
      <c r="E21" s="231">
        <f t="shared" si="2"/>
        <v>0</v>
      </c>
    </row>
    <row r="22" spans="1:5" x14ac:dyDescent="0.2">
      <c r="A22" s="98" t="s">
        <v>168</v>
      </c>
      <c r="B22" s="69"/>
      <c r="C22" s="69"/>
      <c r="D22" s="69"/>
      <c r="E22" s="69"/>
    </row>
    <row r="23" spans="1:5" x14ac:dyDescent="0.2">
      <c r="A23" s="69" t="s">
        <v>169</v>
      </c>
      <c r="B23" s="69" t="s">
        <v>172</v>
      </c>
      <c r="C23" s="69">
        <v>8</v>
      </c>
      <c r="D23" s="69">
        <v>10</v>
      </c>
      <c r="E23" s="69">
        <f>C23*D23</f>
        <v>80</v>
      </c>
    </row>
    <row r="24" spans="1:5" x14ac:dyDescent="0.2">
      <c r="A24" s="69" t="s">
        <v>174</v>
      </c>
      <c r="B24" s="69" t="s">
        <v>172</v>
      </c>
      <c r="C24" s="69">
        <v>10</v>
      </c>
      <c r="D24" s="69">
        <v>5</v>
      </c>
      <c r="E24" s="69">
        <f>IF(C24*D24&lt;100, 100, C24*D24)</f>
        <v>100</v>
      </c>
    </row>
    <row r="25" spans="1:5" x14ac:dyDescent="0.2">
      <c r="A25" s="69" t="s">
        <v>175</v>
      </c>
      <c r="B25" s="69" t="s">
        <v>172</v>
      </c>
      <c r="C25" s="69">
        <v>15</v>
      </c>
      <c r="D25" s="69">
        <v>5</v>
      </c>
      <c r="E25" s="69">
        <f>IF(C25*D25&lt;100, 100, C25*D25)</f>
        <v>100</v>
      </c>
    </row>
    <row r="26" spans="1:5" x14ac:dyDescent="0.2">
      <c r="A26" s="69"/>
      <c r="B26" s="69"/>
      <c r="C26" s="69"/>
      <c r="D26" s="69"/>
      <c r="E26" s="69"/>
    </row>
    <row r="27" spans="1:5" x14ac:dyDescent="0.2">
      <c r="A27" s="69" t="s">
        <v>179</v>
      </c>
      <c r="B27" s="69" t="s">
        <v>180</v>
      </c>
      <c r="C27" s="69">
        <v>15</v>
      </c>
      <c r="D27" s="69">
        <v>5</v>
      </c>
      <c r="E27" s="69">
        <f>IF(C27*D27&lt;100, 100, C27*D27)</f>
        <v>100</v>
      </c>
    </row>
    <row r="28" spans="1:5" x14ac:dyDescent="0.2">
      <c r="A28" s="69"/>
      <c r="B28" s="69"/>
      <c r="C28" s="69"/>
      <c r="D28" s="69"/>
      <c r="E28" s="69"/>
    </row>
    <row r="29" spans="1:5" x14ac:dyDescent="0.2">
      <c r="A29" s="69" t="s">
        <v>176</v>
      </c>
      <c r="B29" s="69" t="s">
        <v>173</v>
      </c>
      <c r="C29" s="69">
        <v>15</v>
      </c>
      <c r="D29" s="69">
        <v>5</v>
      </c>
      <c r="E29" s="69">
        <f t="shared" ref="E29" si="3">C29*D29</f>
        <v>75</v>
      </c>
    </row>
    <row r="30" spans="1:5" x14ac:dyDescent="0.2">
      <c r="A30" s="69" t="s">
        <v>177</v>
      </c>
      <c r="B30" s="69" t="s">
        <v>173</v>
      </c>
      <c r="C30" s="69">
        <v>15</v>
      </c>
      <c r="D30" s="69">
        <v>5</v>
      </c>
      <c r="E30" s="69">
        <f t="shared" ref="E30" si="4">C30*D30</f>
        <v>75</v>
      </c>
    </row>
    <row r="31" spans="1:5" x14ac:dyDescent="0.2">
      <c r="A31" s="69" t="s">
        <v>170</v>
      </c>
      <c r="B31" s="69" t="s">
        <v>173</v>
      </c>
      <c r="C31" s="69">
        <v>10</v>
      </c>
      <c r="D31" s="69">
        <v>5</v>
      </c>
      <c r="E31" s="69">
        <f t="shared" ref="E31" si="5">C31*D31</f>
        <v>50</v>
      </c>
    </row>
    <row r="32" spans="1:5" x14ac:dyDescent="0.2">
      <c r="A32" s="69" t="s">
        <v>178</v>
      </c>
      <c r="B32" s="69" t="s">
        <v>173</v>
      </c>
      <c r="C32" s="69">
        <v>55</v>
      </c>
      <c r="D32" s="69">
        <v>1</v>
      </c>
      <c r="E32" s="69">
        <f t="shared" ref="E32" si="6">C32*D32</f>
        <v>55</v>
      </c>
    </row>
  </sheetData>
  <mergeCells count="2">
    <mergeCell ref="A1:A2"/>
    <mergeCell ref="B1:B2"/>
  </mergeCells>
  <phoneticPr fontId="21" type="noConversion"/>
  <pageMargins left="0.7" right="0.7" top="0.75" bottom="0.75" header="0.3" footer="0.3"/>
  <pageSetup paperSize="0" orientation="portrait" r:id="rId1"/>
  <drawing r:id="rId2"/>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4:BI88"/>
  <sheetViews>
    <sheetView topLeftCell="A13" zoomScale="106" zoomScaleNormal="106" workbookViewId="0">
      <selection activeCell="L35" sqref="L35"/>
    </sheetView>
  </sheetViews>
  <sheetFormatPr defaultColWidth="9.140625" defaultRowHeight="12.75" outlineLevelCol="1" x14ac:dyDescent="0.2"/>
  <cols>
    <col min="1" max="1" width="7.140625" style="23" customWidth="1"/>
    <col min="2" max="2" width="10.28515625" style="23" bestFit="1" customWidth="1"/>
    <col min="3" max="4" width="10.28515625" style="23" customWidth="1"/>
    <col min="5" max="6" width="9.140625" style="23"/>
    <col min="7" max="7" width="9.85546875" style="23" bestFit="1" customWidth="1"/>
    <col min="8" max="9" width="9.140625" style="23"/>
    <col min="10" max="10" width="6.7109375" style="23" customWidth="1"/>
    <col min="11" max="12" width="9.140625" style="23"/>
    <col min="13" max="13" width="11.5703125" style="23" customWidth="1"/>
    <col min="14" max="15" width="7.42578125" style="23" hidden="1" customWidth="1" outlineLevel="1"/>
    <col min="16" max="16" width="8.28515625" style="23" hidden="1" customWidth="1" outlineLevel="1"/>
    <col min="17" max="17" width="8.28515625" style="64" hidden="1" customWidth="1" outlineLevel="1"/>
    <col min="18" max="18" width="10.28515625" style="23" customWidth="1" collapsed="1"/>
    <col min="19" max="19" width="4.7109375" style="23" customWidth="1"/>
    <col min="20" max="20" width="8.7109375" style="23" customWidth="1"/>
    <col min="21" max="24" width="10.7109375" style="23" customWidth="1"/>
    <col min="25" max="28" width="10.7109375" style="23" hidden="1" customWidth="1" outlineLevel="1"/>
    <col min="29" max="29" width="10.7109375" style="23" customWidth="1" collapsed="1"/>
    <col min="30" max="30" width="3.85546875" style="23" customWidth="1"/>
    <col min="31" max="31" width="15.140625" style="23" customWidth="1"/>
    <col min="32" max="32" width="9.42578125" style="23" bestFit="1" customWidth="1"/>
    <col min="33" max="35" width="9.140625" style="23"/>
    <col min="36" max="36" width="8.85546875" style="23" customWidth="1"/>
    <col min="37" max="45" width="9.140625" style="23"/>
    <col min="46" max="49" width="0" style="23" hidden="1" customWidth="1"/>
    <col min="50" max="56" width="9.140625" style="23"/>
    <col min="57" max="60" width="0" style="23" hidden="1" customWidth="1"/>
    <col min="61" max="16384" width="9.140625" style="23"/>
  </cols>
  <sheetData>
    <row r="4" spans="7:24" ht="13.5" thickBot="1" x14ac:dyDescent="0.25"/>
    <row r="5" spans="7:24" x14ac:dyDescent="0.2">
      <c r="U5" s="126" t="s">
        <v>144</v>
      </c>
      <c r="V5" s="127"/>
      <c r="W5" s="128">
        <v>1.204</v>
      </c>
      <c r="X5" s="129"/>
    </row>
    <row r="6" spans="7:24" x14ac:dyDescent="0.2">
      <c r="U6" s="81" t="s">
        <v>136</v>
      </c>
      <c r="W6" s="130" t="s">
        <v>137</v>
      </c>
      <c r="X6" s="131"/>
    </row>
    <row r="7" spans="7:24" ht="13.5" thickBot="1" x14ac:dyDescent="0.25">
      <c r="U7" s="132" t="s">
        <v>145</v>
      </c>
      <c r="V7" s="133"/>
      <c r="W7" s="134">
        <f>VLOOKUP(W6,U10:W15,3, FALSE)</f>
        <v>0.15</v>
      </c>
      <c r="X7" s="135"/>
    </row>
    <row r="9" spans="7:24" ht="13.5" thickBot="1" x14ac:dyDescent="0.25">
      <c r="U9" s="23" t="s">
        <v>141</v>
      </c>
    </row>
    <row r="10" spans="7:24" x14ac:dyDescent="0.2">
      <c r="U10" s="126" t="s">
        <v>137</v>
      </c>
      <c r="V10" s="136"/>
      <c r="W10" s="127">
        <v>0.15</v>
      </c>
      <c r="X10" s="129" t="s">
        <v>103</v>
      </c>
    </row>
    <row r="11" spans="7:24" x14ac:dyDescent="0.2">
      <c r="U11" s="81" t="s">
        <v>138</v>
      </c>
      <c r="V11" s="64"/>
      <c r="W11" s="23">
        <v>0.3</v>
      </c>
      <c r="X11" s="137" t="s">
        <v>103</v>
      </c>
    </row>
    <row r="12" spans="7:24" x14ac:dyDescent="0.2">
      <c r="U12" s="81" t="s">
        <v>142</v>
      </c>
      <c r="V12" s="64"/>
      <c r="W12" s="23">
        <v>0.375</v>
      </c>
      <c r="X12" s="137" t="s">
        <v>103</v>
      </c>
    </row>
    <row r="13" spans="7:24" x14ac:dyDescent="0.2">
      <c r="U13" s="81" t="s">
        <v>139</v>
      </c>
      <c r="V13" s="64"/>
      <c r="W13" s="138">
        <v>1</v>
      </c>
      <c r="X13" s="137" t="s">
        <v>103</v>
      </c>
    </row>
    <row r="14" spans="7:24" x14ac:dyDescent="0.2">
      <c r="Q14" s="23"/>
      <c r="U14" s="81" t="s">
        <v>140</v>
      </c>
      <c r="V14" s="64"/>
      <c r="W14" s="138">
        <v>5</v>
      </c>
      <c r="X14" s="137" t="s">
        <v>103</v>
      </c>
    </row>
    <row r="15" spans="7:24" ht="13.5" thickBot="1" x14ac:dyDescent="0.25">
      <c r="Q15" s="23"/>
      <c r="U15" s="81" t="s">
        <v>143</v>
      </c>
      <c r="V15" s="64"/>
      <c r="W15" s="23">
        <v>6.0000000000000001E-3</v>
      </c>
      <c r="X15" s="137" t="s">
        <v>103</v>
      </c>
    </row>
    <row r="16" spans="7:24" x14ac:dyDescent="0.2">
      <c r="G16" s="139" t="s">
        <v>8</v>
      </c>
      <c r="H16" s="140" t="s">
        <v>7</v>
      </c>
      <c r="I16" s="141"/>
      <c r="Q16" s="23"/>
      <c r="U16" s="81"/>
      <c r="X16" s="137"/>
    </row>
    <row r="17" spans="1:61" ht="13.5" thickBot="1" x14ac:dyDescent="0.25">
      <c r="G17" s="75" t="s">
        <v>9</v>
      </c>
      <c r="H17" s="69" t="s">
        <v>11</v>
      </c>
      <c r="I17" s="142"/>
      <c r="Q17" s="23"/>
      <c r="U17" s="132"/>
      <c r="V17" s="133"/>
      <c r="W17" s="133"/>
      <c r="X17" s="135"/>
    </row>
    <row r="18" spans="1:61" x14ac:dyDescent="0.2">
      <c r="G18" s="75" t="s">
        <v>53</v>
      </c>
      <c r="H18" s="69" t="s">
        <v>54</v>
      </c>
      <c r="I18" s="142"/>
      <c r="Q18" s="23"/>
    </row>
    <row r="19" spans="1:61" ht="13.5" thickBot="1" x14ac:dyDescent="0.25">
      <c r="G19" s="143" t="s">
        <v>56</v>
      </c>
      <c r="H19" s="144" t="s">
        <v>55</v>
      </c>
      <c r="I19" s="145"/>
      <c r="Q19" s="23"/>
    </row>
    <row r="20" spans="1:61" x14ac:dyDescent="0.2">
      <c r="Q20" s="23"/>
    </row>
    <row r="21" spans="1:61" ht="13.5" thickBot="1" x14ac:dyDescent="0.25"/>
    <row r="22" spans="1:61" ht="12.75" customHeight="1" x14ac:dyDescent="0.2">
      <c r="K22" s="460" t="s">
        <v>26</v>
      </c>
      <c r="L22" s="461"/>
      <c r="M22" s="461"/>
      <c r="N22" s="461"/>
      <c r="O22" s="461"/>
      <c r="P22" s="461"/>
      <c r="Q22" s="461"/>
      <c r="R22" s="462"/>
      <c r="T22" s="463" t="s">
        <v>220</v>
      </c>
      <c r="U22" s="465" t="s">
        <v>58</v>
      </c>
      <c r="V22" s="466" t="s">
        <v>341</v>
      </c>
      <c r="W22" s="467"/>
      <c r="X22" s="467"/>
      <c r="Y22" s="467"/>
      <c r="Z22" s="467"/>
      <c r="AA22" s="467"/>
      <c r="AB22" s="467"/>
      <c r="AC22" s="468"/>
      <c r="AE22" s="469" t="s">
        <v>57</v>
      </c>
      <c r="AF22" s="451" t="s">
        <v>58</v>
      </c>
      <c r="AG22" s="453" t="s">
        <v>59</v>
      </c>
      <c r="AH22" s="454"/>
      <c r="AI22" s="454"/>
      <c r="AJ22" s="454"/>
      <c r="AK22" s="455"/>
    </row>
    <row r="23" spans="1:61" ht="14.25" customHeight="1" x14ac:dyDescent="0.3">
      <c r="K23" s="146" t="s">
        <v>30</v>
      </c>
      <c r="L23" s="146" t="s">
        <v>31</v>
      </c>
      <c r="M23" s="71" t="s">
        <v>32</v>
      </c>
      <c r="N23" s="71" t="s">
        <v>132</v>
      </c>
      <c r="O23" s="71" t="s">
        <v>296</v>
      </c>
      <c r="P23" s="71" t="s">
        <v>130</v>
      </c>
      <c r="Q23" s="71" t="s">
        <v>294</v>
      </c>
      <c r="R23" s="71" t="s">
        <v>151</v>
      </c>
      <c r="T23" s="464"/>
      <c r="U23" s="452"/>
      <c r="V23" s="147" t="s">
        <v>340</v>
      </c>
      <c r="W23" s="147" t="s">
        <v>31</v>
      </c>
      <c r="X23" s="148" t="s">
        <v>32</v>
      </c>
      <c r="Y23" s="148" t="s">
        <v>132</v>
      </c>
      <c r="Z23" s="148" t="s">
        <v>296</v>
      </c>
      <c r="AA23" s="148" t="s">
        <v>130</v>
      </c>
      <c r="AB23" s="148" t="s">
        <v>294</v>
      </c>
      <c r="AC23" s="149" t="s">
        <v>151</v>
      </c>
      <c r="AE23" s="470"/>
      <c r="AF23" s="452"/>
      <c r="AG23" s="146" t="s">
        <v>30</v>
      </c>
      <c r="AH23" s="146" t="s">
        <v>31</v>
      </c>
      <c r="AI23" s="69" t="s">
        <v>147</v>
      </c>
      <c r="AJ23" s="69" t="s">
        <v>149</v>
      </c>
      <c r="AK23" s="69" t="s">
        <v>148</v>
      </c>
      <c r="AO23" s="456" t="s">
        <v>304</v>
      </c>
      <c r="AP23" s="457"/>
      <c r="AQ23" s="457"/>
      <c r="AR23" s="457"/>
      <c r="AS23" s="457"/>
      <c r="AT23" s="457"/>
      <c r="AU23" s="457"/>
      <c r="AV23" s="457"/>
      <c r="AW23" s="457"/>
      <c r="AX23" s="457"/>
      <c r="AZ23" s="456" t="s">
        <v>304</v>
      </c>
      <c r="BA23" s="457"/>
      <c r="BB23" s="457"/>
      <c r="BC23" s="457"/>
      <c r="BD23" s="457"/>
      <c r="BE23" s="457"/>
      <c r="BF23" s="457"/>
      <c r="BG23" s="457"/>
      <c r="BH23" s="457"/>
      <c r="BI23" s="457"/>
    </row>
    <row r="24" spans="1:61" ht="16.5" thickBot="1" x14ac:dyDescent="0.35">
      <c r="K24" s="71" t="s">
        <v>34</v>
      </c>
      <c r="L24" s="71" t="s">
        <v>34</v>
      </c>
      <c r="M24" s="71" t="s">
        <v>35</v>
      </c>
      <c r="N24" s="71" t="s">
        <v>103</v>
      </c>
      <c r="O24" s="71" t="s">
        <v>103</v>
      </c>
      <c r="P24" s="71"/>
      <c r="Q24" s="71"/>
      <c r="R24" s="71" t="s">
        <v>108</v>
      </c>
      <c r="T24" s="143"/>
      <c r="U24" s="150" t="s">
        <v>33</v>
      </c>
      <c r="V24" s="150" t="s">
        <v>34</v>
      </c>
      <c r="W24" s="150" t="s">
        <v>34</v>
      </c>
      <c r="X24" s="150" t="s">
        <v>35</v>
      </c>
      <c r="Y24" s="150" t="s">
        <v>103</v>
      </c>
      <c r="Z24" s="150" t="s">
        <v>103</v>
      </c>
      <c r="AA24" s="150"/>
      <c r="AB24" s="150"/>
      <c r="AC24" s="151" t="s">
        <v>108</v>
      </c>
      <c r="AE24" s="69"/>
      <c r="AF24" s="71" t="s">
        <v>33</v>
      </c>
      <c r="AG24" s="71" t="s">
        <v>34</v>
      </c>
      <c r="AH24" s="71" t="s">
        <v>34</v>
      </c>
      <c r="AI24" s="71" t="s">
        <v>146</v>
      </c>
      <c r="AJ24" s="71" t="s">
        <v>35</v>
      </c>
      <c r="AK24" s="71" t="s">
        <v>35</v>
      </c>
      <c r="AO24" s="172" t="s">
        <v>279</v>
      </c>
      <c r="AP24" s="172" t="s">
        <v>222</v>
      </c>
      <c r="AQ24" s="458" t="s">
        <v>223</v>
      </c>
      <c r="AR24" s="459"/>
      <c r="AS24" s="172" t="s">
        <v>224</v>
      </c>
      <c r="AT24" s="105" t="s">
        <v>150</v>
      </c>
      <c r="AU24" s="105" t="s">
        <v>293</v>
      </c>
      <c r="AV24" s="105" t="s">
        <v>130</v>
      </c>
      <c r="AW24" s="105" t="s">
        <v>131</v>
      </c>
      <c r="AX24" s="105" t="s">
        <v>151</v>
      </c>
      <c r="AZ24" s="172" t="s">
        <v>279</v>
      </c>
      <c r="BA24" s="172" t="s">
        <v>222</v>
      </c>
      <c r="BB24" s="458" t="s">
        <v>223</v>
      </c>
      <c r="BC24" s="459"/>
      <c r="BD24" s="172" t="s">
        <v>224</v>
      </c>
      <c r="BE24" s="105" t="s">
        <v>150</v>
      </c>
      <c r="BF24" s="105" t="s">
        <v>293</v>
      </c>
      <c r="BG24" s="105" t="s">
        <v>130</v>
      </c>
      <c r="BH24" s="105" t="s">
        <v>131</v>
      </c>
      <c r="BI24" s="105" t="s">
        <v>151</v>
      </c>
    </row>
    <row r="25" spans="1:61" ht="13.15" customHeight="1" x14ac:dyDescent="0.2">
      <c r="A25" s="69" t="s">
        <v>14</v>
      </c>
      <c r="B25" s="152" t="s">
        <v>5</v>
      </c>
      <c r="C25" s="152" t="s">
        <v>6</v>
      </c>
      <c r="D25" s="152" t="s">
        <v>0</v>
      </c>
      <c r="E25" s="152" t="s">
        <v>4</v>
      </c>
      <c r="F25" s="152" t="s">
        <v>1</v>
      </c>
      <c r="G25" s="152" t="s">
        <v>2</v>
      </c>
      <c r="H25" s="152" t="s">
        <v>3</v>
      </c>
      <c r="I25" s="69"/>
      <c r="J25" s="69"/>
      <c r="K25" s="69"/>
      <c r="L25" s="69"/>
      <c r="M25" s="69"/>
      <c r="N25" s="69"/>
      <c r="O25" s="69"/>
      <c r="P25" s="69"/>
      <c r="Q25" s="71"/>
      <c r="R25" s="69"/>
      <c r="T25" s="72"/>
      <c r="U25" s="72"/>
      <c r="V25" s="72"/>
      <c r="W25" s="72"/>
      <c r="X25" s="72"/>
      <c r="Y25" s="72"/>
      <c r="Z25" s="72"/>
      <c r="AA25" s="72"/>
      <c r="AB25" s="148"/>
      <c r="AC25" s="72"/>
      <c r="AE25" s="69"/>
      <c r="AF25" s="69"/>
      <c r="AG25" s="69"/>
      <c r="AH25" s="69"/>
      <c r="AI25" s="69"/>
      <c r="AJ25" s="69"/>
      <c r="AK25" s="69"/>
      <c r="AO25" s="172"/>
      <c r="AP25" s="172" t="s">
        <v>33</v>
      </c>
      <c r="AQ25" s="172" t="s">
        <v>322</v>
      </c>
      <c r="AR25" s="172" t="s">
        <v>323</v>
      </c>
      <c r="AS25" s="172" t="s">
        <v>35</v>
      </c>
      <c r="AT25" s="110" t="s">
        <v>103</v>
      </c>
      <c r="AU25" s="110" t="s">
        <v>103</v>
      </c>
      <c r="AV25" s="109"/>
      <c r="AW25" s="109"/>
      <c r="AX25" s="105" t="s">
        <v>108</v>
      </c>
      <c r="AZ25" s="172"/>
      <c r="BA25" s="172" t="s">
        <v>33</v>
      </c>
      <c r="BB25" s="172" t="s">
        <v>322</v>
      </c>
      <c r="BC25" s="172" t="s">
        <v>323</v>
      </c>
      <c r="BD25" s="172" t="s">
        <v>35</v>
      </c>
      <c r="BE25" s="110" t="s">
        <v>103</v>
      </c>
      <c r="BF25" s="110" t="s">
        <v>103</v>
      </c>
      <c r="BG25" s="109"/>
      <c r="BH25" s="109"/>
      <c r="BI25" s="105" t="s">
        <v>108</v>
      </c>
    </row>
    <row r="26" spans="1:61" x14ac:dyDescent="0.2">
      <c r="A26" s="259">
        <v>1</v>
      </c>
      <c r="B26" s="259">
        <v>3</v>
      </c>
      <c r="C26" s="259">
        <v>6</v>
      </c>
      <c r="D26" s="259">
        <v>320</v>
      </c>
      <c r="E26" s="245"/>
      <c r="F26" s="245">
        <v>4.2</v>
      </c>
      <c r="G26" s="245">
        <v>1.1000000000000001</v>
      </c>
      <c r="H26" s="260">
        <f>D26*F26*G26</f>
        <v>1478.4</v>
      </c>
      <c r="I26" s="261"/>
      <c r="J26" s="261"/>
      <c r="K26" s="262">
        <v>0.65</v>
      </c>
      <c r="L26" s="262">
        <v>0.35</v>
      </c>
      <c r="M26" s="228">
        <f>IFERROR(H26/K26/L26/1000,"-")</f>
        <v>6.4984615384615392</v>
      </c>
      <c r="N26" s="263">
        <f t="shared" ref="N26:N41" si="0">$W$7</f>
        <v>0.15</v>
      </c>
      <c r="O26" s="264">
        <f t="shared" ref="O26:O41" si="1">IFERROR(4*K26*L26/(2*(K26+L26))*1000,"-")</f>
        <v>454.99999999999994</v>
      </c>
      <c r="P26" s="265">
        <f t="shared" ref="P26:P41" si="2">IFERROR(66.4*O26*M26,"-")</f>
        <v>196331.52000000002</v>
      </c>
      <c r="Q26" s="266">
        <f>IFERROR(0.25/(LOG(N26/O26/3.7+5.74/P26^0.9,10))^2,"-")</f>
        <v>1.800918947501708E-2</v>
      </c>
      <c r="R26" s="228">
        <f t="shared" ref="R26:R41" si="3">IFERROR(Q26*$W$5/2*M26^2/(O26/1000),"-")</f>
        <v>1.0062371971900521</v>
      </c>
      <c r="T26" s="259">
        <v>2</v>
      </c>
      <c r="U26" s="314">
        <f>IFERROR(H26/T26,"-")</f>
        <v>739.2</v>
      </c>
      <c r="V26" s="262">
        <v>0.45</v>
      </c>
      <c r="W26" s="262">
        <v>0.3</v>
      </c>
      <c r="X26" s="313">
        <f>IFERROR(U26/V26/W26/1000,"-")</f>
        <v>5.4755555555555553</v>
      </c>
      <c r="Y26" s="268">
        <f>$W$7</f>
        <v>0.15</v>
      </c>
      <c r="Z26" s="264">
        <f>IFERROR(4*V26*W26/(2*(V26+W26))*1000,"-")</f>
        <v>360.00000000000006</v>
      </c>
      <c r="AA26" s="265">
        <f>IFERROR(66.4*Z26*X26,"-")</f>
        <v>130887.68000000004</v>
      </c>
      <c r="AB26" s="266">
        <f>IFERROR(0.25/(LOG(Y26/Z26/3.7+5.74/AA26^0.9,10))^2,"-")</f>
        <v>1.9361797289946261E-2</v>
      </c>
      <c r="AC26" s="228">
        <f t="shared" ref="AC26:AC40" si="4">IFERROR(AB26*$W$5/2*X26^2/(Z26/1000),"-")</f>
        <v>0.97072460724877163</v>
      </c>
      <c r="AE26" s="260"/>
      <c r="AF26" s="272">
        <f>H26</f>
        <v>1478.4</v>
      </c>
      <c r="AG26" s="262">
        <v>0.9</v>
      </c>
      <c r="AH26" s="262">
        <v>0.85</v>
      </c>
      <c r="AI26" s="273">
        <v>0.5</v>
      </c>
      <c r="AJ26" s="228">
        <f>IFERROR(AF26/1000/AG26/AH26,"-")</f>
        <v>1.9325490196078432</v>
      </c>
      <c r="AK26" s="228">
        <f>IFERROR(AJ26/AI26,"-")</f>
        <v>3.8650980392156864</v>
      </c>
      <c r="AO26" s="172">
        <v>1</v>
      </c>
      <c r="AP26" s="300">
        <f>AO26*85</f>
        <v>85</v>
      </c>
      <c r="AQ26" s="301">
        <v>0.2</v>
      </c>
      <c r="AR26" s="301">
        <v>0.2</v>
      </c>
      <c r="AS26" s="275">
        <f t="shared" ref="AS26:AS35" si="5">IFERROR(AP26/1000/AQ26/AR26,"-")</f>
        <v>2.125</v>
      </c>
      <c r="AT26" s="275">
        <v>0.15</v>
      </c>
      <c r="AU26" s="275">
        <f t="shared" ref="AU26:AU35" si="6">IFERROR(4*AQ26*AR26/(2*(AQ26+AR26))*1000,"-")</f>
        <v>200.00000000000003</v>
      </c>
      <c r="AV26" s="275">
        <f t="shared" ref="AV26" si="7">IFERROR(66.4*AU26*AS26,"-")</f>
        <v>28220.000000000007</v>
      </c>
      <c r="AW26" s="275">
        <f t="shared" ref="AW26:AW35" si="8">IFERROR(0.25/(LOG(AT26/AU26/3.7+5.74/AV26^0.9,10))^2,"-")</f>
        <v>2.578442520741054E-2</v>
      </c>
      <c r="AX26" s="275">
        <f t="shared" ref="AX26:AX35" si="9">IFERROR(AW26*$W$5/2*AS26^2/(AU26/1000),"-")</f>
        <v>0.35046271318241173</v>
      </c>
      <c r="AZ26" s="172">
        <v>1</v>
      </c>
      <c r="BA26" s="300">
        <f>AZ26*75</f>
        <v>75</v>
      </c>
      <c r="BB26" s="301">
        <v>0.2</v>
      </c>
      <c r="BC26" s="301">
        <v>0.2</v>
      </c>
      <c r="BD26" s="275">
        <f t="shared" ref="BD26:BD50" si="10">IFERROR(BA26/1000/BB26/BC26,"-")</f>
        <v>1.8749999999999996</v>
      </c>
      <c r="BE26" s="275">
        <v>0.15</v>
      </c>
      <c r="BF26" s="275">
        <f t="shared" ref="BF26:BF50" si="11">IFERROR(4*BB26*BC26/(2*(BB26+BC26))*1000,"-")</f>
        <v>200.00000000000003</v>
      </c>
      <c r="BG26" s="275">
        <f t="shared" ref="BG26" si="12">IFERROR(66.4*BF26*BD26,"-")</f>
        <v>24900</v>
      </c>
      <c r="BH26" s="275">
        <f t="shared" ref="BH26:BH50" si="13">IFERROR(0.25/(LOG(BE26/BF26/3.7+5.74/BG26^0.9,10))^2,"-")</f>
        <v>2.6400733639556674E-2</v>
      </c>
      <c r="BI26" s="275">
        <f t="shared" ref="BI26:BI50" si="14">IFERROR(BH26*$W$5/2*BD26^2/(BF26/1000),"-")</f>
        <v>0.27937338839671477</v>
      </c>
    </row>
    <row r="27" spans="1:61" x14ac:dyDescent="0.2">
      <c r="A27" s="71"/>
      <c r="B27" s="71"/>
      <c r="C27" s="71"/>
      <c r="D27" s="71"/>
      <c r="E27" s="69"/>
      <c r="F27" s="69"/>
      <c r="G27" s="69"/>
      <c r="H27" s="153"/>
      <c r="I27" s="153">
        <f>H26*0.85</f>
        <v>1256.6400000000001</v>
      </c>
      <c r="J27" s="153"/>
      <c r="K27" s="154"/>
      <c r="L27" s="154"/>
      <c r="M27" s="155" t="str">
        <f>IFERROR(I27/K27/L27/1000,"-")</f>
        <v>-</v>
      </c>
      <c r="N27" s="165">
        <f t="shared" si="0"/>
        <v>0.15</v>
      </c>
      <c r="O27" s="87" t="str">
        <f t="shared" si="1"/>
        <v>-</v>
      </c>
      <c r="P27" s="166" t="str">
        <f t="shared" si="2"/>
        <v>-</v>
      </c>
      <c r="Q27" s="167" t="str">
        <f>IFERROR(0.25/(LOG(N27/O27/3.7+5.74/P27^0.9,10))^2,"-")</f>
        <v>-</v>
      </c>
      <c r="R27" s="68" t="str">
        <f t="shared" si="3"/>
        <v>-</v>
      </c>
      <c r="T27" s="312">
        <v>4</v>
      </c>
      <c r="U27" s="315">
        <f>IFERROR(I27/T27,"-")</f>
        <v>314.16000000000003</v>
      </c>
      <c r="V27" s="316">
        <v>0.35</v>
      </c>
      <c r="W27" s="316"/>
      <c r="X27" s="317">
        <f>IFERROR(U27/1000/(3.146/4*V27^2), "-")</f>
        <v>3.2607392607392618</v>
      </c>
      <c r="Y27" s="318">
        <v>1</v>
      </c>
      <c r="Z27" s="318">
        <f>V27*1000</f>
        <v>350</v>
      </c>
      <c r="AA27" s="318">
        <f t="shared" ref="AA27" si="15">IFERROR(66.4*X27*Z27,"-")</f>
        <v>75779.580419580452</v>
      </c>
      <c r="AB27" s="318">
        <f t="shared" ref="AB27" si="16">IFERROR(0.25/(LOG(Y27/Z27/3.7+5.74/AA27^0.9,10))^2,"-")</f>
        <v>2.7819367181763283E-2</v>
      </c>
      <c r="AC27" s="318">
        <f t="shared" si="4"/>
        <v>0.50875400233237167</v>
      </c>
      <c r="AE27" s="69"/>
      <c r="AF27" s="157">
        <f>I27</f>
        <v>1256.6400000000001</v>
      </c>
      <c r="AG27" s="158"/>
      <c r="AH27" s="158"/>
      <c r="AI27" s="158"/>
      <c r="AJ27" s="69"/>
      <c r="AK27" s="69"/>
      <c r="AO27" s="172">
        <v>2</v>
      </c>
      <c r="AP27" s="302">
        <f t="shared" ref="AP27:AP50" si="17">AO27*85</f>
        <v>170</v>
      </c>
      <c r="AQ27" s="303">
        <v>0.2</v>
      </c>
      <c r="AR27" s="303">
        <v>0.2</v>
      </c>
      <c r="AS27" s="196">
        <f t="shared" si="5"/>
        <v>4.25</v>
      </c>
      <c r="AT27" s="196">
        <v>0.15</v>
      </c>
      <c r="AU27" s="196">
        <f t="shared" si="6"/>
        <v>200.00000000000003</v>
      </c>
      <c r="AV27" s="196">
        <f t="shared" ref="AV27" si="18">IFERROR(66.4*AS27*AU27,"-")</f>
        <v>56440.000000000015</v>
      </c>
      <c r="AW27" s="196">
        <f t="shared" si="8"/>
        <v>2.301984838130176E-2</v>
      </c>
      <c r="AX27" s="196">
        <f t="shared" si="9"/>
        <v>1.2515459942756613</v>
      </c>
      <c r="AZ27" s="172">
        <v>2</v>
      </c>
      <c r="BA27" s="302">
        <f t="shared" ref="BA27:BA50" si="19">AZ27*75</f>
        <v>150</v>
      </c>
      <c r="BB27" s="303">
        <v>0.2</v>
      </c>
      <c r="BC27" s="303">
        <v>0.2</v>
      </c>
      <c r="BD27" s="196">
        <f t="shared" si="10"/>
        <v>3.7499999999999991</v>
      </c>
      <c r="BE27" s="196">
        <v>0.15</v>
      </c>
      <c r="BF27" s="196">
        <f t="shared" si="11"/>
        <v>200.00000000000003</v>
      </c>
      <c r="BG27" s="196">
        <f t="shared" ref="BG27" si="20">IFERROR(66.4*BD27*BF27,"-")</f>
        <v>49800</v>
      </c>
      <c r="BH27" s="196">
        <f t="shared" si="13"/>
        <v>2.3444710973313226E-2</v>
      </c>
      <c r="BI27" s="196">
        <f t="shared" si="14"/>
        <v>0.9923706566672732</v>
      </c>
    </row>
    <row r="28" spans="1:61" x14ac:dyDescent="0.2">
      <c r="A28" s="259"/>
      <c r="B28" s="259"/>
      <c r="C28" s="259"/>
      <c r="D28" s="259"/>
      <c r="E28" s="245"/>
      <c r="F28" s="245"/>
      <c r="G28" s="245"/>
      <c r="H28" s="260">
        <f>D28*F28*G28</f>
        <v>0</v>
      </c>
      <c r="I28" s="261"/>
      <c r="J28" s="261"/>
      <c r="K28" s="262">
        <v>0</v>
      </c>
      <c r="L28" s="262">
        <v>0</v>
      </c>
      <c r="M28" s="228" t="str">
        <f>IFERROR(H28/K28/L28/1000,"-")</f>
        <v>-</v>
      </c>
      <c r="N28" s="263">
        <f t="shared" si="0"/>
        <v>0.15</v>
      </c>
      <c r="O28" s="264" t="str">
        <f t="shared" si="1"/>
        <v>-</v>
      </c>
      <c r="P28" s="265" t="str">
        <f t="shared" si="2"/>
        <v>-</v>
      </c>
      <c r="Q28" s="266" t="str">
        <f t="shared" ref="Q28:Q41" si="21">IFERROR(0.25/(LOG(N28/O28/3.7+5.74/P28^0.9,10))^2,"-")</f>
        <v>-</v>
      </c>
      <c r="R28" s="228" t="str">
        <f t="shared" si="3"/>
        <v>-</v>
      </c>
      <c r="T28" s="259"/>
      <c r="U28" s="314" t="str">
        <f>IFERROR(H28/T28,"-")</f>
        <v>-</v>
      </c>
      <c r="V28" s="262"/>
      <c r="W28" s="262"/>
      <c r="X28" s="228" t="str">
        <f>IFERROR(U28/V28/W28/1000,"-")</f>
        <v>-</v>
      </c>
      <c r="Y28" s="268">
        <f>$W$7</f>
        <v>0.15</v>
      </c>
      <c r="Z28" s="264" t="str">
        <f>IFERROR(4*V28*W28/(2*(V28+W28))*1000,"-")</f>
        <v>-</v>
      </c>
      <c r="AA28" s="265" t="str">
        <f>IFERROR(66.4*Z28*X28,"-")</f>
        <v>-</v>
      </c>
      <c r="AB28" s="266" t="str">
        <f>IFERROR(0.25/(LOG(Y28/Z28/3.7+5.74/AA28^0.9,10))^2,"-")</f>
        <v>-</v>
      </c>
      <c r="AC28" s="228" t="str">
        <f t="shared" si="4"/>
        <v>-</v>
      </c>
      <c r="AE28" s="231"/>
      <c r="AF28" s="272">
        <f>H28</f>
        <v>0</v>
      </c>
      <c r="AG28" s="262">
        <v>0</v>
      </c>
      <c r="AH28" s="262">
        <v>0</v>
      </c>
      <c r="AI28" s="273">
        <v>0.5</v>
      </c>
      <c r="AJ28" s="228" t="str">
        <f>IFERROR(AF28/1000/AG28/AH28,"-")</f>
        <v>-</v>
      </c>
      <c r="AK28" s="228" t="str">
        <f>IFERROR(AJ28/AI28,"-")</f>
        <v>-</v>
      </c>
      <c r="AO28" s="172">
        <v>3</v>
      </c>
      <c r="AP28" s="300">
        <f t="shared" si="17"/>
        <v>255</v>
      </c>
      <c r="AQ28" s="301">
        <v>0.4</v>
      </c>
      <c r="AR28" s="301">
        <v>0.2</v>
      </c>
      <c r="AS28" s="275">
        <f t="shared" si="5"/>
        <v>3.1874999999999996</v>
      </c>
      <c r="AT28" s="275">
        <v>0.15</v>
      </c>
      <c r="AU28" s="275">
        <f t="shared" si="6"/>
        <v>266.66666666666669</v>
      </c>
      <c r="AV28" s="275">
        <f t="shared" ref="AV28" si="22">IFERROR(66.4*AU28*AS28,"-")</f>
        <v>56439.999999999993</v>
      </c>
      <c r="AW28" s="275">
        <f t="shared" si="8"/>
        <v>2.2393245030148543E-2</v>
      </c>
      <c r="AX28" s="275">
        <f t="shared" si="9"/>
        <v>0.51362384552778273</v>
      </c>
      <c r="AZ28" s="172">
        <v>3</v>
      </c>
      <c r="BA28" s="300">
        <f t="shared" si="19"/>
        <v>225</v>
      </c>
      <c r="BB28" s="301">
        <v>0.4</v>
      </c>
      <c r="BC28" s="301">
        <v>0.2</v>
      </c>
      <c r="BD28" s="275">
        <f t="shared" si="10"/>
        <v>2.8125</v>
      </c>
      <c r="BE28" s="275">
        <v>0.15</v>
      </c>
      <c r="BF28" s="275">
        <f t="shared" si="11"/>
        <v>266.66666666666669</v>
      </c>
      <c r="BG28" s="275">
        <f t="shared" ref="BG28" si="23">IFERROR(66.4*BF28*BD28,"-")</f>
        <v>49800</v>
      </c>
      <c r="BH28" s="275">
        <f t="shared" si="13"/>
        <v>2.2845085328324036E-2</v>
      </c>
      <c r="BI28" s="275">
        <f t="shared" si="14"/>
        <v>0.40794874906484491</v>
      </c>
    </row>
    <row r="29" spans="1:61" x14ac:dyDescent="0.2">
      <c r="A29" s="69"/>
      <c r="B29" s="69"/>
      <c r="C29" s="69"/>
      <c r="D29" s="69"/>
      <c r="E29" s="69"/>
      <c r="F29" s="69"/>
      <c r="G29" s="69"/>
      <c r="H29" s="153"/>
      <c r="I29" s="153">
        <f>H28*0.85</f>
        <v>0</v>
      </c>
      <c r="J29" s="153"/>
      <c r="K29" s="154"/>
      <c r="L29" s="154"/>
      <c r="M29" s="155" t="str">
        <f>IFERROR(I29/K29/L29/1000,"-")</f>
        <v>-</v>
      </c>
      <c r="N29" s="165">
        <f t="shared" si="0"/>
        <v>0.15</v>
      </c>
      <c r="O29" s="87" t="str">
        <f t="shared" ref="O29:O30" si="24">IFERROR(4*K29*L29/(2*(K29+L29))*1000,"-")</f>
        <v>-</v>
      </c>
      <c r="P29" s="166" t="str">
        <f t="shared" ref="P29:P30" si="25">IFERROR(66.4*O29*M29,"-")</f>
        <v>-</v>
      </c>
      <c r="Q29" s="167" t="str">
        <f>IFERROR(0.25/(LOG(N29/O29/3.7+5.74/P29^0.9,10))^2,"-")</f>
        <v>-</v>
      </c>
      <c r="R29" s="68" t="str">
        <f t="shared" ref="R29:R30" si="26">IFERROR(Q29*$W$5/2*M29^2/(O29/1000),"-")</f>
        <v>-</v>
      </c>
      <c r="T29" s="312"/>
      <c r="U29" s="315" t="str">
        <f>IFERROR(I29/T29,"-")</f>
        <v>-</v>
      </c>
      <c r="V29" s="316"/>
      <c r="W29" s="316"/>
      <c r="X29" s="317" t="str">
        <f>IFERROR(U29/1000/(3.146/4*V29^2), "-")</f>
        <v>-</v>
      </c>
      <c r="Y29" s="318">
        <v>1</v>
      </c>
      <c r="Z29" s="318">
        <f>V29*1000</f>
        <v>0</v>
      </c>
      <c r="AA29" s="318" t="str">
        <f t="shared" ref="AA29" si="27">IFERROR(66.4*X29*Z29,"-")</f>
        <v>-</v>
      </c>
      <c r="AB29" s="318" t="str">
        <f t="shared" ref="AB29" si="28">IFERROR(0.25/(LOG(Y29/Z29/3.7+5.74/AA29^0.9,10))^2,"-")</f>
        <v>-</v>
      </c>
      <c r="AC29" s="318" t="str">
        <f t="shared" si="4"/>
        <v>-</v>
      </c>
      <c r="AE29" s="69"/>
      <c r="AF29" s="157">
        <f>I29</f>
        <v>0</v>
      </c>
      <c r="AG29" s="158"/>
      <c r="AH29" s="158"/>
      <c r="AI29" s="158"/>
      <c r="AJ29" s="69"/>
      <c r="AK29" s="69"/>
      <c r="AO29" s="172">
        <v>4</v>
      </c>
      <c r="AP29" s="302">
        <f t="shared" si="17"/>
        <v>340</v>
      </c>
      <c r="AQ29" s="303">
        <v>0.4</v>
      </c>
      <c r="AR29" s="303">
        <v>0.2</v>
      </c>
      <c r="AS29" s="196">
        <f t="shared" si="5"/>
        <v>4.25</v>
      </c>
      <c r="AT29" s="196">
        <v>0.15</v>
      </c>
      <c r="AU29" s="196">
        <f t="shared" si="6"/>
        <v>266.66666666666669</v>
      </c>
      <c r="AV29" s="196">
        <f t="shared" ref="AV29:AV35" si="29">IFERROR(66.4*AS29*AU29,"-")</f>
        <v>75253.333333333358</v>
      </c>
      <c r="AW29" s="196">
        <f t="shared" si="8"/>
        <v>2.1463331442481824E-2</v>
      </c>
      <c r="AX29" s="196">
        <f t="shared" si="9"/>
        <v>0.87519081508596153</v>
      </c>
      <c r="AZ29" s="172">
        <v>4</v>
      </c>
      <c r="BA29" s="302">
        <f t="shared" si="19"/>
        <v>300</v>
      </c>
      <c r="BB29" s="303">
        <v>0.4</v>
      </c>
      <c r="BC29" s="303">
        <v>0.2</v>
      </c>
      <c r="BD29" s="196">
        <f t="shared" si="10"/>
        <v>3.7499999999999991</v>
      </c>
      <c r="BE29" s="196">
        <v>0.15</v>
      </c>
      <c r="BF29" s="196">
        <f t="shared" si="11"/>
        <v>266.66666666666669</v>
      </c>
      <c r="BG29" s="196">
        <f t="shared" ref="BG29:BG50" si="30">IFERROR(66.4*BD29*BF29,"-")</f>
        <v>66400</v>
      </c>
      <c r="BH29" s="196">
        <f t="shared" si="13"/>
        <v>2.1849954724905852E-2</v>
      </c>
      <c r="BI29" s="196">
        <f t="shared" si="14"/>
        <v>0.69365071113011634</v>
      </c>
    </row>
    <row r="30" spans="1:61" x14ac:dyDescent="0.2">
      <c r="A30" s="259"/>
      <c r="B30" s="259"/>
      <c r="C30" s="259"/>
      <c r="D30" s="259"/>
      <c r="E30" s="245"/>
      <c r="F30" s="245"/>
      <c r="G30" s="245"/>
      <c r="H30" s="260">
        <f>D30*F30*G30</f>
        <v>0</v>
      </c>
      <c r="I30" s="261"/>
      <c r="J30" s="261"/>
      <c r="K30" s="262"/>
      <c r="L30" s="262"/>
      <c r="M30" s="228" t="str">
        <f>IFERROR(H30/K30/L30/1000,"-")</f>
        <v>-</v>
      </c>
      <c r="N30" s="263">
        <f t="shared" si="0"/>
        <v>0.15</v>
      </c>
      <c r="O30" s="264" t="str">
        <f t="shared" si="24"/>
        <v>-</v>
      </c>
      <c r="P30" s="265" t="str">
        <f t="shared" si="25"/>
        <v>-</v>
      </c>
      <c r="Q30" s="266" t="str">
        <f t="shared" ref="Q30" si="31">IFERROR(0.25/(LOG(N30/O30/3.7+5.74/P30^0.9,10))^2,"-")</f>
        <v>-</v>
      </c>
      <c r="R30" s="228" t="str">
        <f t="shared" si="26"/>
        <v>-</v>
      </c>
      <c r="T30" s="259"/>
      <c r="U30" s="314" t="str">
        <f>IFERROR(H30/T30,"-")</f>
        <v>-</v>
      </c>
      <c r="V30" s="262"/>
      <c r="W30" s="262"/>
      <c r="X30" s="228" t="str">
        <f>IFERROR(U30/V30/W30/1000,"-")</f>
        <v>-</v>
      </c>
      <c r="Y30" s="268">
        <f>$W$7</f>
        <v>0.15</v>
      </c>
      <c r="Z30" s="264" t="str">
        <f>IFERROR(4*V30*W30/(2*(V30+W30))*1000,"-")</f>
        <v>-</v>
      </c>
      <c r="AA30" s="265" t="str">
        <f>IFERROR(66.4*Z30*X30,"-")</f>
        <v>-</v>
      </c>
      <c r="AB30" s="266" t="str">
        <f>IFERROR(0.25/(LOG(Y30/Z30/3.7+5.74/AA30^0.9,10))^2,"-")</f>
        <v>-</v>
      </c>
      <c r="AC30" s="228" t="str">
        <f t="shared" ref="AC30:AC35" si="32">IFERROR(AB30*$W$5/2*X30^2/(Z30/1000),"-")</f>
        <v>-</v>
      </c>
      <c r="AE30" s="231"/>
      <c r="AF30" s="272">
        <f>H30</f>
        <v>0</v>
      </c>
      <c r="AG30" s="262">
        <v>0</v>
      </c>
      <c r="AH30" s="262">
        <v>0</v>
      </c>
      <c r="AI30" s="273">
        <v>0.5</v>
      </c>
      <c r="AJ30" s="228" t="str">
        <f>IFERROR(AF30/1000/AG30/AH30,"-")</f>
        <v>-</v>
      </c>
      <c r="AK30" s="228" t="str">
        <f>IFERROR(AJ30/AI30,"-")</f>
        <v>-</v>
      </c>
      <c r="AO30" s="172">
        <v>5</v>
      </c>
      <c r="AP30" s="300">
        <f t="shared" si="17"/>
        <v>425</v>
      </c>
      <c r="AQ30" s="301">
        <v>0.4</v>
      </c>
      <c r="AR30" s="301">
        <v>0.2</v>
      </c>
      <c r="AS30" s="275">
        <f t="shared" si="5"/>
        <v>5.3125</v>
      </c>
      <c r="AT30" s="275">
        <v>0.15</v>
      </c>
      <c r="AU30" s="275">
        <f t="shared" si="6"/>
        <v>266.66666666666669</v>
      </c>
      <c r="AV30" s="275">
        <f t="shared" si="29"/>
        <v>94066.666666666686</v>
      </c>
      <c r="AW30" s="275">
        <f t="shared" si="8"/>
        <v>2.0838452386208912E-2</v>
      </c>
      <c r="AX30" s="275">
        <f t="shared" si="9"/>
        <v>1.3276729501640092</v>
      </c>
      <c r="AZ30" s="172">
        <v>5</v>
      </c>
      <c r="BA30" s="300">
        <f t="shared" si="19"/>
        <v>375</v>
      </c>
      <c r="BB30" s="301">
        <v>0.4</v>
      </c>
      <c r="BC30" s="301">
        <v>0.2</v>
      </c>
      <c r="BD30" s="275">
        <f t="shared" si="10"/>
        <v>4.6875</v>
      </c>
      <c r="BE30" s="275">
        <v>0.15</v>
      </c>
      <c r="BF30" s="275">
        <f t="shared" si="11"/>
        <v>266.66666666666669</v>
      </c>
      <c r="BG30" s="275">
        <f t="shared" si="30"/>
        <v>83000</v>
      </c>
      <c r="BH30" s="275">
        <f t="shared" si="13"/>
        <v>2.1179075785458825E-2</v>
      </c>
      <c r="BI30" s="275">
        <f t="shared" si="14"/>
        <v>1.0505514459742669</v>
      </c>
    </row>
    <row r="31" spans="1:61" x14ac:dyDescent="0.2">
      <c r="A31" s="69"/>
      <c r="B31" s="159"/>
      <c r="C31" s="71"/>
      <c r="D31" s="71"/>
      <c r="E31" s="69"/>
      <c r="F31" s="69"/>
      <c r="G31" s="69"/>
      <c r="H31" s="153"/>
      <c r="I31" s="153">
        <f>H30*0.85</f>
        <v>0</v>
      </c>
      <c r="J31" s="153"/>
      <c r="K31" s="154"/>
      <c r="L31" s="154"/>
      <c r="M31" s="155" t="str">
        <f>IFERROR(I31/K31/L31/1000,"-")</f>
        <v>-</v>
      </c>
      <c r="N31" s="165">
        <f t="shared" si="0"/>
        <v>0.15</v>
      </c>
      <c r="O31" s="87" t="str">
        <f t="shared" ref="O31:O35" si="33">IFERROR(4*K31*L31/(2*(K31+L31))*1000,"-")</f>
        <v>-</v>
      </c>
      <c r="P31" s="166" t="str">
        <f t="shared" ref="P31:P35" si="34">IFERROR(66.4*O31*M31,"-")</f>
        <v>-</v>
      </c>
      <c r="Q31" s="167" t="str">
        <f>IFERROR(0.25/(LOG(N31/O31/3.7+5.74/P31^0.9,10))^2,"-")</f>
        <v>-</v>
      </c>
      <c r="R31" s="68" t="str">
        <f t="shared" ref="R31:R35" si="35">IFERROR(Q31*$W$5/2*M31^2/(O31/1000),"-")</f>
        <v>-</v>
      </c>
      <c r="T31" s="312"/>
      <c r="U31" s="315" t="str">
        <f>IFERROR(I31/T31,"-")</f>
        <v>-</v>
      </c>
      <c r="V31" s="316"/>
      <c r="W31" s="316"/>
      <c r="X31" s="317" t="str">
        <f>IFERROR(U31/1000/(3.146/4*V31^2), "-")</f>
        <v>-</v>
      </c>
      <c r="Y31" s="318">
        <v>1</v>
      </c>
      <c r="Z31" s="318">
        <f>V31*1000</f>
        <v>0</v>
      </c>
      <c r="AA31" s="318" t="str">
        <f t="shared" ref="AA31" si="36">IFERROR(66.4*X31*Z31,"-")</f>
        <v>-</v>
      </c>
      <c r="AB31" s="318" t="str">
        <f t="shared" ref="AB31" si="37">IFERROR(0.25/(LOG(Y31/Z31/3.7+5.74/AA31^0.9,10))^2,"-")</f>
        <v>-</v>
      </c>
      <c r="AC31" s="318" t="str">
        <f t="shared" si="32"/>
        <v>-</v>
      </c>
      <c r="AE31" s="69"/>
      <c r="AF31" s="157">
        <f>I31</f>
        <v>0</v>
      </c>
      <c r="AG31" s="158"/>
      <c r="AH31" s="158"/>
      <c r="AI31" s="158"/>
      <c r="AJ31" s="69"/>
      <c r="AK31" s="69"/>
      <c r="AO31" s="172">
        <v>6</v>
      </c>
      <c r="AP31" s="302">
        <f t="shared" si="17"/>
        <v>510</v>
      </c>
      <c r="AQ31" s="303">
        <v>0.5</v>
      </c>
      <c r="AR31" s="303">
        <v>0.3</v>
      </c>
      <c r="AS31" s="196">
        <f t="shared" si="5"/>
        <v>3.4000000000000004</v>
      </c>
      <c r="AT31" s="196">
        <v>0.15</v>
      </c>
      <c r="AU31" s="196">
        <f t="shared" si="6"/>
        <v>374.99999999999994</v>
      </c>
      <c r="AV31" s="196">
        <f t="shared" si="29"/>
        <v>84660</v>
      </c>
      <c r="AW31" s="196">
        <f t="shared" si="8"/>
        <v>2.0451989491826954E-2</v>
      </c>
      <c r="AX31" s="196">
        <f t="shared" si="9"/>
        <v>0.37954093096630093</v>
      </c>
      <c r="AZ31" s="172">
        <v>6</v>
      </c>
      <c r="BA31" s="302">
        <f t="shared" si="19"/>
        <v>450</v>
      </c>
      <c r="BB31" s="303">
        <v>0.5</v>
      </c>
      <c r="BC31" s="303">
        <v>0.3</v>
      </c>
      <c r="BD31" s="196">
        <f t="shared" si="10"/>
        <v>3</v>
      </c>
      <c r="BE31" s="196">
        <v>0.15</v>
      </c>
      <c r="BF31" s="196">
        <f t="shared" si="11"/>
        <v>374.99999999999994</v>
      </c>
      <c r="BG31" s="196">
        <f t="shared" si="30"/>
        <v>74700</v>
      </c>
      <c r="BH31" s="196">
        <f t="shared" si="13"/>
        <v>2.0843010973867454E-2</v>
      </c>
      <c r="BI31" s="196">
        <f t="shared" si="14"/>
        <v>0.30113982255043698</v>
      </c>
    </row>
    <row r="32" spans="1:61" x14ac:dyDescent="0.2">
      <c r="A32" s="259"/>
      <c r="B32" s="259"/>
      <c r="C32" s="259"/>
      <c r="D32" s="259"/>
      <c r="E32" s="245"/>
      <c r="F32" s="245"/>
      <c r="G32" s="245"/>
      <c r="H32" s="260">
        <f>D32*F32*G32</f>
        <v>0</v>
      </c>
      <c r="I32" s="261"/>
      <c r="J32" s="261"/>
      <c r="K32" s="262"/>
      <c r="L32" s="262"/>
      <c r="M32" s="228" t="str">
        <f>IFERROR(H32/K32/L32/1000,"-")</f>
        <v>-</v>
      </c>
      <c r="N32" s="263">
        <f t="shared" si="0"/>
        <v>0.15</v>
      </c>
      <c r="O32" s="264" t="str">
        <f t="shared" si="33"/>
        <v>-</v>
      </c>
      <c r="P32" s="265" t="str">
        <f t="shared" si="34"/>
        <v>-</v>
      </c>
      <c r="Q32" s="266" t="str">
        <f t="shared" ref="Q32" si="38">IFERROR(0.25/(LOG(N32/O32/3.7+5.74/P32^0.9,10))^2,"-")</f>
        <v>-</v>
      </c>
      <c r="R32" s="228" t="str">
        <f t="shared" si="35"/>
        <v>-</v>
      </c>
      <c r="T32" s="259"/>
      <c r="U32" s="314" t="str">
        <f>IFERROR(H32/T32,"-")</f>
        <v>-</v>
      </c>
      <c r="V32" s="262"/>
      <c r="W32" s="262"/>
      <c r="X32" s="228" t="str">
        <f>IFERROR(U32/V32/W32/1000,"-")</f>
        <v>-</v>
      </c>
      <c r="Y32" s="268">
        <f>$W$7</f>
        <v>0.15</v>
      </c>
      <c r="Z32" s="264" t="str">
        <f>IFERROR(4*V32*W32/(2*(V32+W32))*1000,"-")</f>
        <v>-</v>
      </c>
      <c r="AA32" s="265" t="str">
        <f>IFERROR(66.4*Z32*X32,"-")</f>
        <v>-</v>
      </c>
      <c r="AB32" s="266" t="str">
        <f>IFERROR(0.25/(LOG(Y32/Z32/3.7+5.74/AA32^0.9,10))^2,"-")</f>
        <v>-</v>
      </c>
      <c r="AC32" s="228" t="str">
        <f t="shared" si="32"/>
        <v>-</v>
      </c>
      <c r="AE32" s="231"/>
      <c r="AF32" s="272">
        <f>H32</f>
        <v>0</v>
      </c>
      <c r="AG32" s="262">
        <v>0</v>
      </c>
      <c r="AH32" s="262">
        <v>0</v>
      </c>
      <c r="AI32" s="273">
        <v>0.5</v>
      </c>
      <c r="AJ32" s="228" t="str">
        <f>IFERROR(AF32/1000/AG32/AH32,"-")</f>
        <v>-</v>
      </c>
      <c r="AK32" s="228" t="str">
        <f>IFERROR(AJ32/AI32,"-")</f>
        <v>-</v>
      </c>
      <c r="AO32" s="172">
        <v>7</v>
      </c>
      <c r="AP32" s="300">
        <f t="shared" si="17"/>
        <v>595</v>
      </c>
      <c r="AQ32" s="301">
        <v>0.5</v>
      </c>
      <c r="AR32" s="301">
        <v>0.3</v>
      </c>
      <c r="AS32" s="275">
        <f t="shared" si="5"/>
        <v>3.9666666666666668</v>
      </c>
      <c r="AT32" s="275">
        <v>0.15</v>
      </c>
      <c r="AU32" s="275">
        <f t="shared" si="6"/>
        <v>374.99999999999994</v>
      </c>
      <c r="AV32" s="275">
        <f t="shared" si="29"/>
        <v>98770</v>
      </c>
      <c r="AW32" s="275">
        <f t="shared" si="8"/>
        <v>2.0004580410624088E-2</v>
      </c>
      <c r="AX32" s="275">
        <f t="shared" si="9"/>
        <v>0.50529625968384695</v>
      </c>
      <c r="AZ32" s="172">
        <v>7</v>
      </c>
      <c r="BA32" s="300">
        <f t="shared" si="19"/>
        <v>525</v>
      </c>
      <c r="BB32" s="301">
        <v>0.5</v>
      </c>
      <c r="BC32" s="301">
        <v>0.3</v>
      </c>
      <c r="BD32" s="275">
        <f t="shared" si="10"/>
        <v>3.5000000000000004</v>
      </c>
      <c r="BE32" s="275">
        <v>0.15</v>
      </c>
      <c r="BF32" s="275">
        <f t="shared" si="11"/>
        <v>374.99999999999994</v>
      </c>
      <c r="BG32" s="275">
        <f t="shared" si="30"/>
        <v>87150.000000000015</v>
      </c>
      <c r="BH32" s="275">
        <f t="shared" si="13"/>
        <v>2.0365026694952892E-2</v>
      </c>
      <c r="BI32" s="275">
        <f t="shared" si="14"/>
        <v>0.40048503829848042</v>
      </c>
    </row>
    <row r="33" spans="1:61" x14ac:dyDescent="0.2">
      <c r="A33" s="69"/>
      <c r="B33" s="159"/>
      <c r="C33" s="71"/>
      <c r="D33" s="71"/>
      <c r="E33" s="69"/>
      <c r="F33" s="69"/>
      <c r="G33" s="69"/>
      <c r="H33" s="153"/>
      <c r="I33" s="153">
        <f>H32*0.85</f>
        <v>0</v>
      </c>
      <c r="J33" s="153"/>
      <c r="K33" s="154"/>
      <c r="L33" s="154"/>
      <c r="M33" s="155" t="str">
        <f>IFERROR(I33/K33/L33/1000,"-")</f>
        <v>-</v>
      </c>
      <c r="N33" s="165">
        <f t="shared" si="0"/>
        <v>0.15</v>
      </c>
      <c r="O33" s="87" t="str">
        <f t="shared" si="33"/>
        <v>-</v>
      </c>
      <c r="P33" s="166" t="str">
        <f t="shared" si="34"/>
        <v>-</v>
      </c>
      <c r="Q33" s="167" t="str">
        <f>IFERROR(0.25/(LOG(N33/O33/3.7+5.74/P33^0.9,10))^2,"-")</f>
        <v>-</v>
      </c>
      <c r="R33" s="68" t="str">
        <f t="shared" si="35"/>
        <v>-</v>
      </c>
      <c r="T33" s="312"/>
      <c r="U33" s="315" t="str">
        <f>IFERROR(I33/T33,"-")</f>
        <v>-</v>
      </c>
      <c r="V33" s="316"/>
      <c r="W33" s="316"/>
      <c r="X33" s="317" t="str">
        <f>IFERROR(U33/1000/(3.146/4*V33^2), "-")</f>
        <v>-</v>
      </c>
      <c r="Y33" s="318">
        <v>1</v>
      </c>
      <c r="Z33" s="318">
        <f>V33*1000</f>
        <v>0</v>
      </c>
      <c r="AA33" s="318" t="str">
        <f t="shared" ref="AA33" si="39">IFERROR(66.4*X33*Z33,"-")</f>
        <v>-</v>
      </c>
      <c r="AB33" s="318" t="str">
        <f t="shared" ref="AB33" si="40">IFERROR(0.25/(LOG(Y33/Z33/3.7+5.74/AA33^0.9,10))^2,"-")</f>
        <v>-</v>
      </c>
      <c r="AC33" s="318" t="str">
        <f t="shared" si="32"/>
        <v>-</v>
      </c>
      <c r="AE33" s="69"/>
      <c r="AF33" s="157">
        <f>I33</f>
        <v>0</v>
      </c>
      <c r="AG33" s="158"/>
      <c r="AH33" s="158"/>
      <c r="AI33" s="158"/>
      <c r="AJ33" s="69"/>
      <c r="AK33" s="69"/>
      <c r="AO33" s="172">
        <v>8</v>
      </c>
      <c r="AP33" s="302">
        <f t="shared" si="17"/>
        <v>680</v>
      </c>
      <c r="AQ33" s="303">
        <v>0.5</v>
      </c>
      <c r="AR33" s="303">
        <v>0.3</v>
      </c>
      <c r="AS33" s="196">
        <f t="shared" si="5"/>
        <v>4.5333333333333341</v>
      </c>
      <c r="AT33" s="196">
        <v>0.15</v>
      </c>
      <c r="AU33" s="196">
        <f t="shared" si="6"/>
        <v>374.99999999999994</v>
      </c>
      <c r="AV33" s="196">
        <f t="shared" si="29"/>
        <v>112880.00000000001</v>
      </c>
      <c r="AW33" s="196">
        <f t="shared" si="8"/>
        <v>1.9646090326024181E-2</v>
      </c>
      <c r="AX33" s="196">
        <f t="shared" si="9"/>
        <v>0.64815170422348556</v>
      </c>
      <c r="AZ33" s="172">
        <v>8</v>
      </c>
      <c r="BA33" s="302">
        <f t="shared" si="19"/>
        <v>600</v>
      </c>
      <c r="BB33" s="303">
        <v>0.5</v>
      </c>
      <c r="BC33" s="303">
        <v>0.3</v>
      </c>
      <c r="BD33" s="196">
        <f t="shared" si="10"/>
        <v>4</v>
      </c>
      <c r="BE33" s="196">
        <v>0.15</v>
      </c>
      <c r="BF33" s="196">
        <f t="shared" si="11"/>
        <v>374.99999999999994</v>
      </c>
      <c r="BG33" s="196">
        <f t="shared" si="30"/>
        <v>99600</v>
      </c>
      <c r="BH33" s="196">
        <f t="shared" si="13"/>
        <v>1.9981336543215201E-2</v>
      </c>
      <c r="BI33" s="196">
        <f t="shared" si="14"/>
        <v>0.5132272895579969</v>
      </c>
    </row>
    <row r="34" spans="1:61" x14ac:dyDescent="0.2">
      <c r="A34" s="259"/>
      <c r="B34" s="259"/>
      <c r="C34" s="259"/>
      <c r="D34" s="259"/>
      <c r="E34" s="245"/>
      <c r="F34" s="245"/>
      <c r="G34" s="245"/>
      <c r="H34" s="260">
        <f>D34*F34*G34</f>
        <v>0</v>
      </c>
      <c r="I34" s="261"/>
      <c r="J34" s="261"/>
      <c r="K34" s="262"/>
      <c r="L34" s="262"/>
      <c r="M34" s="228" t="str">
        <f>IFERROR(H34/K34/L34/1000,"-")</f>
        <v>-</v>
      </c>
      <c r="N34" s="263">
        <f t="shared" si="0"/>
        <v>0.15</v>
      </c>
      <c r="O34" s="264" t="str">
        <f t="shared" si="33"/>
        <v>-</v>
      </c>
      <c r="P34" s="265" t="str">
        <f t="shared" si="34"/>
        <v>-</v>
      </c>
      <c r="Q34" s="266" t="str">
        <f t="shared" ref="Q34" si="41">IFERROR(0.25/(LOG(N34/O34/3.7+5.74/P34^0.9,10))^2,"-")</f>
        <v>-</v>
      </c>
      <c r="R34" s="228" t="str">
        <f t="shared" si="35"/>
        <v>-</v>
      </c>
      <c r="T34" s="259"/>
      <c r="U34" s="314" t="str">
        <f>IFERROR(H34/T34,"-")</f>
        <v>-</v>
      </c>
      <c r="V34" s="262"/>
      <c r="W34" s="262"/>
      <c r="X34" s="228" t="str">
        <f>IFERROR(U34/V34/W34/1000,"-")</f>
        <v>-</v>
      </c>
      <c r="Y34" s="268">
        <f>$W$7</f>
        <v>0.15</v>
      </c>
      <c r="Z34" s="264" t="str">
        <f>IFERROR(4*V34*W34/(2*(V34+W34))*1000,"-")</f>
        <v>-</v>
      </c>
      <c r="AA34" s="265" t="str">
        <f>IFERROR(66.4*Z34*X34,"-")</f>
        <v>-</v>
      </c>
      <c r="AB34" s="266" t="str">
        <f>IFERROR(0.25/(LOG(Y34/Z34/3.7+5.74/AA34^0.9,10))^2,"-")</f>
        <v>-</v>
      </c>
      <c r="AC34" s="228" t="str">
        <f t="shared" si="32"/>
        <v>-</v>
      </c>
      <c r="AE34" s="231"/>
      <c r="AF34" s="272">
        <f>H34</f>
        <v>0</v>
      </c>
      <c r="AG34" s="262">
        <v>0</v>
      </c>
      <c r="AH34" s="262">
        <v>0</v>
      </c>
      <c r="AI34" s="273">
        <v>0.5</v>
      </c>
      <c r="AJ34" s="228" t="str">
        <f>IFERROR(AF34/1000/AG34/AH34,"-")</f>
        <v>-</v>
      </c>
      <c r="AK34" s="228" t="str">
        <f>IFERROR(AJ34/AI34,"-")</f>
        <v>-</v>
      </c>
      <c r="AO34" s="172">
        <v>9</v>
      </c>
      <c r="AP34" s="300">
        <f t="shared" si="17"/>
        <v>765</v>
      </c>
      <c r="AQ34" s="301">
        <v>0.5</v>
      </c>
      <c r="AR34" s="301">
        <v>0.3</v>
      </c>
      <c r="AS34" s="275">
        <f t="shared" si="5"/>
        <v>5.1000000000000005</v>
      </c>
      <c r="AT34" s="275">
        <v>0.15</v>
      </c>
      <c r="AU34" s="275">
        <f t="shared" si="6"/>
        <v>374.99999999999994</v>
      </c>
      <c r="AV34" s="275">
        <f t="shared" si="29"/>
        <v>126990</v>
      </c>
      <c r="AW34" s="275">
        <f t="shared" si="8"/>
        <v>1.9351236956282884E-2</v>
      </c>
      <c r="AX34" s="275">
        <f t="shared" si="9"/>
        <v>0.80800548076324419</v>
      </c>
      <c r="AZ34" s="172">
        <v>9</v>
      </c>
      <c r="BA34" s="300">
        <f t="shared" si="19"/>
        <v>675</v>
      </c>
      <c r="BB34" s="301">
        <v>0.5</v>
      </c>
      <c r="BC34" s="301">
        <v>0.3</v>
      </c>
      <c r="BD34" s="275">
        <f t="shared" si="10"/>
        <v>4.5000000000000009</v>
      </c>
      <c r="BE34" s="275">
        <v>0.15</v>
      </c>
      <c r="BF34" s="275">
        <f t="shared" si="11"/>
        <v>374.99999999999994</v>
      </c>
      <c r="BG34" s="275">
        <f t="shared" si="30"/>
        <v>112050.00000000001</v>
      </c>
      <c r="BH34" s="275">
        <f t="shared" si="13"/>
        <v>1.9665221829873691E-2</v>
      </c>
      <c r="BI34" s="275">
        <f t="shared" si="14"/>
        <v>0.63927703124553426</v>
      </c>
    </row>
    <row r="35" spans="1:61" x14ac:dyDescent="0.2">
      <c r="A35" s="71"/>
      <c r="B35" s="159"/>
      <c r="C35" s="71"/>
      <c r="D35" s="71"/>
      <c r="E35" s="69"/>
      <c r="F35" s="69"/>
      <c r="G35" s="69"/>
      <c r="H35" s="153"/>
      <c r="I35" s="153">
        <f>H34*0.85</f>
        <v>0</v>
      </c>
      <c r="J35" s="153"/>
      <c r="K35" s="154"/>
      <c r="L35" s="154"/>
      <c r="M35" s="155" t="str">
        <f>IFERROR(I35/K35/L35/1000,"-")</f>
        <v>-</v>
      </c>
      <c r="N35" s="165">
        <f t="shared" si="0"/>
        <v>0.15</v>
      </c>
      <c r="O35" s="87" t="str">
        <f t="shared" si="33"/>
        <v>-</v>
      </c>
      <c r="P35" s="166" t="str">
        <f t="shared" si="34"/>
        <v>-</v>
      </c>
      <c r="Q35" s="167" t="str">
        <f>IFERROR(0.25/(LOG(N35/O35/3.7+5.74/P35^0.9,10))^2,"-")</f>
        <v>-</v>
      </c>
      <c r="R35" s="68" t="str">
        <f t="shared" si="35"/>
        <v>-</v>
      </c>
      <c r="T35" s="312"/>
      <c r="U35" s="315" t="str">
        <f>IFERROR(I35/T35,"-")</f>
        <v>-</v>
      </c>
      <c r="V35" s="316"/>
      <c r="W35" s="316"/>
      <c r="X35" s="317" t="str">
        <f>IFERROR(U35/1000/(3.146/4*V35^2), "-")</f>
        <v>-</v>
      </c>
      <c r="Y35" s="318">
        <v>1</v>
      </c>
      <c r="Z35" s="318">
        <f>V35*1000</f>
        <v>0</v>
      </c>
      <c r="AA35" s="318" t="str">
        <f t="shared" ref="AA35" si="42">IFERROR(66.4*X35*Z35,"-")</f>
        <v>-</v>
      </c>
      <c r="AB35" s="318" t="str">
        <f t="shared" ref="AB35" si="43">IFERROR(0.25/(LOG(Y35/Z35/3.7+5.74/AA35^0.9,10))^2,"-")</f>
        <v>-</v>
      </c>
      <c r="AC35" s="318" t="str">
        <f t="shared" si="32"/>
        <v>-</v>
      </c>
      <c r="AE35" s="69"/>
      <c r="AF35" s="157">
        <f>I35</f>
        <v>0</v>
      </c>
      <c r="AG35" s="158"/>
      <c r="AH35" s="158"/>
      <c r="AI35" s="158"/>
      <c r="AJ35" s="69"/>
      <c r="AK35" s="69"/>
      <c r="AO35" s="172">
        <v>10</v>
      </c>
      <c r="AP35" s="302">
        <f t="shared" si="17"/>
        <v>850</v>
      </c>
      <c r="AQ35" s="303">
        <v>0.5</v>
      </c>
      <c r="AR35" s="303">
        <v>0.3</v>
      </c>
      <c r="AS35" s="196">
        <f t="shared" si="5"/>
        <v>5.666666666666667</v>
      </c>
      <c r="AT35" s="196">
        <v>0.15</v>
      </c>
      <c r="AU35" s="196">
        <f t="shared" si="6"/>
        <v>374.99999999999994</v>
      </c>
      <c r="AV35" s="196">
        <f t="shared" si="29"/>
        <v>141100</v>
      </c>
      <c r="AW35" s="196">
        <f t="shared" si="8"/>
        <v>1.9103727368083898E-2</v>
      </c>
      <c r="AX35" s="196">
        <f t="shared" si="9"/>
        <v>0.98477874964281498</v>
      </c>
      <c r="AZ35" s="172">
        <v>10</v>
      </c>
      <c r="BA35" s="302">
        <f t="shared" si="19"/>
        <v>750</v>
      </c>
      <c r="BB35" s="303">
        <v>0.5</v>
      </c>
      <c r="BC35" s="303">
        <v>0.3</v>
      </c>
      <c r="BD35" s="196">
        <f t="shared" si="10"/>
        <v>5</v>
      </c>
      <c r="BE35" s="196">
        <v>0.15</v>
      </c>
      <c r="BF35" s="196">
        <f t="shared" si="11"/>
        <v>374.99999999999994</v>
      </c>
      <c r="BG35" s="196">
        <f t="shared" si="30"/>
        <v>124499.99999999999</v>
      </c>
      <c r="BH35" s="196">
        <f t="shared" si="13"/>
        <v>1.9399448704019006E-2</v>
      </c>
      <c r="BI35" s="196">
        <f t="shared" si="14"/>
        <v>0.77856454132129616</v>
      </c>
    </row>
    <row r="36" spans="1:61" x14ac:dyDescent="0.2">
      <c r="A36" s="259"/>
      <c r="B36" s="259"/>
      <c r="C36" s="259"/>
      <c r="D36" s="259"/>
      <c r="E36" s="245"/>
      <c r="F36" s="245"/>
      <c r="G36" s="245"/>
      <c r="H36" s="260">
        <f>D36*F36*G36</f>
        <v>0</v>
      </c>
      <c r="I36" s="261"/>
      <c r="J36" s="231"/>
      <c r="K36" s="267"/>
      <c r="L36" s="267"/>
      <c r="M36" s="228" t="str">
        <f>IFERROR(H36/K36/L36/1000,"-")</f>
        <v>-</v>
      </c>
      <c r="N36" s="263">
        <f t="shared" si="0"/>
        <v>0.15</v>
      </c>
      <c r="O36" s="264" t="str">
        <f t="shared" si="1"/>
        <v>-</v>
      </c>
      <c r="P36" s="265" t="str">
        <f t="shared" si="2"/>
        <v>-</v>
      </c>
      <c r="Q36" s="266" t="str">
        <f t="shared" si="21"/>
        <v>-</v>
      </c>
      <c r="R36" s="228" t="str">
        <f t="shared" si="3"/>
        <v>-</v>
      </c>
      <c r="T36" s="259"/>
      <c r="U36" s="314" t="str">
        <f>IFERROR(H36/T36,"-")</f>
        <v>-</v>
      </c>
      <c r="V36" s="262"/>
      <c r="W36" s="262"/>
      <c r="X36" s="228" t="str">
        <f>IFERROR(U36/V36/W36/1000,"-")</f>
        <v>-</v>
      </c>
      <c r="Y36" s="268">
        <f>$W$7</f>
        <v>0.15</v>
      </c>
      <c r="Z36" s="264" t="str">
        <f>IFERROR(4*V36*W36/(2*(V36+W36))*1000,"-")</f>
        <v>-</v>
      </c>
      <c r="AA36" s="265" t="str">
        <f>IFERROR(66.4*Z36*X36,"-")</f>
        <v>-</v>
      </c>
      <c r="AB36" s="266" t="str">
        <f>IFERROR(0.25/(LOG(Y36/Z36/3.7+5.74/AA36^0.9,10))^2,"-")</f>
        <v>-</v>
      </c>
      <c r="AC36" s="228" t="str">
        <f t="shared" si="4"/>
        <v>-</v>
      </c>
      <c r="AE36" s="231"/>
      <c r="AF36" s="272">
        <f>H36</f>
        <v>0</v>
      </c>
      <c r="AG36" s="262">
        <v>0</v>
      </c>
      <c r="AH36" s="262">
        <v>0</v>
      </c>
      <c r="AI36" s="273">
        <v>0.5</v>
      </c>
      <c r="AJ36" s="228" t="str">
        <f>IFERROR(AF36/1000/AG36/AH36,"-")</f>
        <v>-</v>
      </c>
      <c r="AK36" s="228" t="str">
        <f>IFERROR(AJ36/AI36,"-")</f>
        <v>-</v>
      </c>
      <c r="AO36" s="172">
        <v>11</v>
      </c>
      <c r="AP36" s="300">
        <f t="shared" si="17"/>
        <v>935</v>
      </c>
      <c r="AQ36" s="301">
        <v>0.7</v>
      </c>
      <c r="AR36" s="301">
        <v>0.3</v>
      </c>
      <c r="AS36" s="275">
        <f t="shared" ref="AS36:AS50" si="44">IFERROR(AP36/1000/AQ36/AR36,"-")</f>
        <v>4.4523809523809534</v>
      </c>
      <c r="AT36" s="275">
        <v>0.15</v>
      </c>
      <c r="AU36" s="275">
        <f t="shared" ref="AU36:AU50" si="45">IFERROR(4*AQ36*AR36/(2*(AQ36+AR36))*1000,"-")</f>
        <v>420</v>
      </c>
      <c r="AV36" s="275">
        <f t="shared" ref="AV36:AV50" si="46">IFERROR(66.4*AS36*AU36,"-")</f>
        <v>124168.00000000004</v>
      </c>
      <c r="AW36" s="275">
        <f t="shared" ref="AW36:AW50" si="47">IFERROR(0.25/(LOG(AT36/AU36/3.7+5.74/AV36^0.9,10))^2,"-")</f>
        <v>1.9191630091457513E-2</v>
      </c>
      <c r="AX36" s="275">
        <f t="shared" ref="AX36:AX50" si="48">IFERROR(AW36*$W$5/2*AS36^2/(AU36/1000),"-")</f>
        <v>0.54531029562984989</v>
      </c>
      <c r="AZ36" s="172">
        <v>11</v>
      </c>
      <c r="BA36" s="300">
        <f t="shared" si="19"/>
        <v>825</v>
      </c>
      <c r="BB36" s="301">
        <v>0.7</v>
      </c>
      <c r="BC36" s="301">
        <v>0.3</v>
      </c>
      <c r="BD36" s="275">
        <f t="shared" si="10"/>
        <v>3.9285714285714288</v>
      </c>
      <c r="BE36" s="275">
        <v>0.15</v>
      </c>
      <c r="BF36" s="275">
        <f t="shared" si="11"/>
        <v>420</v>
      </c>
      <c r="BG36" s="275">
        <f t="shared" si="30"/>
        <v>109560.00000000001</v>
      </c>
      <c r="BH36" s="275">
        <f t="shared" si="13"/>
        <v>1.9518734060110097E-2</v>
      </c>
      <c r="BI36" s="275">
        <f t="shared" si="14"/>
        <v>0.4317856008280308</v>
      </c>
    </row>
    <row r="37" spans="1:61" x14ac:dyDescent="0.2">
      <c r="A37" s="69"/>
      <c r="B37" s="69"/>
      <c r="C37" s="69"/>
      <c r="D37" s="69"/>
      <c r="E37" s="69"/>
      <c r="F37" s="69"/>
      <c r="G37" s="69"/>
      <c r="H37" s="153"/>
      <c r="I37" s="153">
        <f>H36*0.85</f>
        <v>0</v>
      </c>
      <c r="J37" s="153"/>
      <c r="K37" s="160"/>
      <c r="L37" s="160"/>
      <c r="M37" s="155" t="str">
        <f>IFERROR(I37/K37/L37/1000,"-")</f>
        <v>-</v>
      </c>
      <c r="N37" s="165">
        <f t="shared" si="0"/>
        <v>0.15</v>
      </c>
      <c r="O37" s="87" t="str">
        <f t="shared" si="1"/>
        <v>-</v>
      </c>
      <c r="P37" s="166" t="str">
        <f t="shared" si="2"/>
        <v>-</v>
      </c>
      <c r="Q37" s="167" t="str">
        <f t="shared" si="21"/>
        <v>-</v>
      </c>
      <c r="R37" s="68" t="str">
        <f t="shared" si="3"/>
        <v>-</v>
      </c>
      <c r="T37" s="312"/>
      <c r="U37" s="315" t="str">
        <f>IFERROR(I37/T37,"-")</f>
        <v>-</v>
      </c>
      <c r="V37" s="316"/>
      <c r="W37" s="316"/>
      <c r="X37" s="317" t="str">
        <f>IFERROR(U37/1000/(3.146/4*V37^2), "-")</f>
        <v>-</v>
      </c>
      <c r="Y37" s="318">
        <v>1</v>
      </c>
      <c r="Z37" s="318">
        <f>V37*1000</f>
        <v>0</v>
      </c>
      <c r="AA37" s="318" t="str">
        <f t="shared" ref="AA37" si="49">IFERROR(66.4*X37*Z37,"-")</f>
        <v>-</v>
      </c>
      <c r="AB37" s="318" t="str">
        <f t="shared" ref="AB37" si="50">IFERROR(0.25/(LOG(Y37/Z37/3.7+5.74/AA37^0.9,10))^2,"-")</f>
        <v>-</v>
      </c>
      <c r="AC37" s="318" t="str">
        <f t="shared" si="4"/>
        <v>-</v>
      </c>
      <c r="AE37" s="69"/>
      <c r="AF37" s="157">
        <f>I37</f>
        <v>0</v>
      </c>
      <c r="AG37" s="158"/>
      <c r="AH37" s="158"/>
      <c r="AI37" s="158"/>
      <c r="AJ37" s="69"/>
      <c r="AK37" s="69"/>
      <c r="AO37" s="172">
        <v>12</v>
      </c>
      <c r="AP37" s="302">
        <f t="shared" si="17"/>
        <v>1020</v>
      </c>
      <c r="AQ37" s="303">
        <v>0.7</v>
      </c>
      <c r="AR37" s="303">
        <v>0.3</v>
      </c>
      <c r="AS37" s="196">
        <f t="shared" si="44"/>
        <v>4.8571428571428577</v>
      </c>
      <c r="AT37" s="196">
        <v>0.15</v>
      </c>
      <c r="AU37" s="196">
        <f t="shared" si="45"/>
        <v>420</v>
      </c>
      <c r="AV37" s="196">
        <f t="shared" si="46"/>
        <v>135456.00000000003</v>
      </c>
      <c r="AW37" s="196">
        <f t="shared" si="47"/>
        <v>1.897712517369983E-2</v>
      </c>
      <c r="AX37" s="196">
        <f t="shared" si="48"/>
        <v>0.64171084226821173</v>
      </c>
      <c r="AZ37" s="172">
        <v>12</v>
      </c>
      <c r="BA37" s="302">
        <f t="shared" ref="BA37" si="51">AZ37*75</f>
        <v>900</v>
      </c>
      <c r="BB37" s="303">
        <v>0.7</v>
      </c>
      <c r="BC37" s="303">
        <v>0.3</v>
      </c>
      <c r="BD37" s="196">
        <f t="shared" ref="BD37" si="52">IFERROR(BA37/1000/BB37/BC37,"-")</f>
        <v>4.2857142857142865</v>
      </c>
      <c r="BE37" s="196">
        <v>0.15</v>
      </c>
      <c r="BF37" s="196">
        <f t="shared" ref="BF37" si="53">IFERROR(4*BB37*BC37/(2*(BB37+BC37))*1000,"-")</f>
        <v>420</v>
      </c>
      <c r="BG37" s="196">
        <f t="shared" ref="BG37" si="54">IFERROR(66.4*BD37*BF37,"-")</f>
        <v>119520.00000000004</v>
      </c>
      <c r="BH37" s="196">
        <f t="shared" ref="BH37" si="55">IFERROR(0.25/(LOG(BE37/BF37/3.7+5.74/BG37^0.9,10))^2,"-")</f>
        <v>1.9288984689284368E-2</v>
      </c>
      <c r="BI37" s="196">
        <f t="shared" ref="BI37" si="56">IFERROR(BH37*$W$5/2*BD37^2/(BF37/1000),"-")</f>
        <v>0.50781204590156814</v>
      </c>
    </row>
    <row r="38" spans="1:61" x14ac:dyDescent="0.2">
      <c r="A38" s="259"/>
      <c r="B38" s="259"/>
      <c r="C38" s="259"/>
      <c r="D38" s="259"/>
      <c r="E38" s="245"/>
      <c r="F38" s="245"/>
      <c r="G38" s="245"/>
      <c r="H38" s="260">
        <f>D38*F38*G38</f>
        <v>0</v>
      </c>
      <c r="I38" s="261"/>
      <c r="J38" s="231"/>
      <c r="K38" s="267"/>
      <c r="L38" s="267"/>
      <c r="M38" s="228" t="str">
        <f>IFERROR(H38/K38/L38/1000,"-")</f>
        <v>-</v>
      </c>
      <c r="N38" s="263">
        <f t="shared" si="0"/>
        <v>0.15</v>
      </c>
      <c r="O38" s="264" t="str">
        <f t="shared" si="1"/>
        <v>-</v>
      </c>
      <c r="P38" s="265" t="str">
        <f t="shared" si="2"/>
        <v>-</v>
      </c>
      <c r="Q38" s="266" t="str">
        <f t="shared" si="21"/>
        <v>-</v>
      </c>
      <c r="R38" s="228" t="str">
        <f t="shared" si="3"/>
        <v>-</v>
      </c>
      <c r="T38" s="259"/>
      <c r="U38" s="314" t="str">
        <f>IFERROR(H38/T38,"-")</f>
        <v>-</v>
      </c>
      <c r="V38" s="262"/>
      <c r="W38" s="262"/>
      <c r="X38" s="228" t="str">
        <f>IFERROR(U38/V38/W38/1000,"-")</f>
        <v>-</v>
      </c>
      <c r="Y38" s="268">
        <f>$W$7</f>
        <v>0.15</v>
      </c>
      <c r="Z38" s="264" t="str">
        <f>IFERROR(4*V38*W38/(2*(V38+W38))*1000,"-")</f>
        <v>-</v>
      </c>
      <c r="AA38" s="265" t="str">
        <f>IFERROR(66.4*Z38*X38,"-")</f>
        <v>-</v>
      </c>
      <c r="AB38" s="266" t="str">
        <f>IFERROR(0.25/(LOG(Y38/Z38/3.7+5.74/AA38^0.9,10))^2,"-")</f>
        <v>-</v>
      </c>
      <c r="AC38" s="228" t="str">
        <f t="shared" si="4"/>
        <v>-</v>
      </c>
      <c r="AE38" s="231"/>
      <c r="AF38" s="272">
        <f>H38</f>
        <v>0</v>
      </c>
      <c r="AG38" s="262">
        <v>0</v>
      </c>
      <c r="AH38" s="262">
        <v>0</v>
      </c>
      <c r="AI38" s="273">
        <v>0.5</v>
      </c>
      <c r="AJ38" s="228" t="str">
        <f>IFERROR(AF38/1000/AG38/AH38,"-")</f>
        <v>-</v>
      </c>
      <c r="AK38" s="228" t="str">
        <f>IFERROR(AJ38/AI38,"-")</f>
        <v>-</v>
      </c>
      <c r="AO38" s="172">
        <v>13</v>
      </c>
      <c r="AP38" s="300">
        <f t="shared" si="17"/>
        <v>1105</v>
      </c>
      <c r="AQ38" s="301">
        <v>0.7</v>
      </c>
      <c r="AR38" s="301">
        <v>0.3</v>
      </c>
      <c r="AS38" s="275">
        <f t="shared" si="44"/>
        <v>5.2619047619047628</v>
      </c>
      <c r="AT38" s="275">
        <v>0.15</v>
      </c>
      <c r="AU38" s="275">
        <f t="shared" si="45"/>
        <v>420</v>
      </c>
      <c r="AV38" s="275">
        <f t="shared" si="46"/>
        <v>146744.00000000003</v>
      </c>
      <c r="AW38" s="275">
        <f t="shared" si="47"/>
        <v>1.8788821691321674E-2</v>
      </c>
      <c r="AX38" s="275">
        <f t="shared" si="48"/>
        <v>0.74564603419711295</v>
      </c>
      <c r="AZ38" s="172">
        <v>13</v>
      </c>
      <c r="BA38" s="300">
        <f t="shared" si="19"/>
        <v>975</v>
      </c>
      <c r="BB38" s="301">
        <v>0.7</v>
      </c>
      <c r="BC38" s="301">
        <v>0.3</v>
      </c>
      <c r="BD38" s="275">
        <f t="shared" si="10"/>
        <v>4.6428571428571432</v>
      </c>
      <c r="BE38" s="275">
        <v>0.15</v>
      </c>
      <c r="BF38" s="275">
        <f t="shared" si="11"/>
        <v>420</v>
      </c>
      <c r="BG38" s="275">
        <f t="shared" si="30"/>
        <v>129480.00000000001</v>
      </c>
      <c r="BH38" s="275">
        <f t="shared" si="13"/>
        <v>1.9087064052559947E-2</v>
      </c>
      <c r="BI38" s="275">
        <f t="shared" si="14"/>
        <v>0.58973509553551517</v>
      </c>
    </row>
    <row r="39" spans="1:61" x14ac:dyDescent="0.2">
      <c r="A39" s="69"/>
      <c r="B39" s="159"/>
      <c r="C39" s="71"/>
      <c r="D39" s="71"/>
      <c r="E39" s="69"/>
      <c r="F39" s="69"/>
      <c r="G39" s="69"/>
      <c r="H39" s="153"/>
      <c r="I39" s="153">
        <f>H38*0.85</f>
        <v>0</v>
      </c>
      <c r="J39" s="153"/>
      <c r="K39" s="158"/>
      <c r="L39" s="158"/>
      <c r="M39" s="155" t="str">
        <f>IFERROR(I39/K39/L39/1000,"-")</f>
        <v>-</v>
      </c>
      <c r="N39" s="165">
        <f t="shared" si="0"/>
        <v>0.15</v>
      </c>
      <c r="O39" s="87" t="str">
        <f t="shared" si="1"/>
        <v>-</v>
      </c>
      <c r="P39" s="166" t="str">
        <f t="shared" si="2"/>
        <v>-</v>
      </c>
      <c r="Q39" s="167" t="str">
        <f t="shared" si="21"/>
        <v>-</v>
      </c>
      <c r="R39" s="68" t="str">
        <f t="shared" si="3"/>
        <v>-</v>
      </c>
      <c r="T39" s="312"/>
      <c r="U39" s="315" t="str">
        <f>IFERROR(I39/T39,"-")</f>
        <v>-</v>
      </c>
      <c r="V39" s="316"/>
      <c r="W39" s="316"/>
      <c r="X39" s="317" t="str">
        <f>IFERROR(U39/1000/(3.146/4*V39^2), "-")</f>
        <v>-</v>
      </c>
      <c r="Y39" s="318">
        <v>1</v>
      </c>
      <c r="Z39" s="318">
        <f>V39*1000</f>
        <v>0</v>
      </c>
      <c r="AA39" s="318" t="str">
        <f t="shared" ref="AA39" si="57">IFERROR(66.4*X39*Z39,"-")</f>
        <v>-</v>
      </c>
      <c r="AB39" s="318" t="str">
        <f t="shared" ref="AB39" si="58">IFERROR(0.25/(LOG(Y39/Z39/3.7+5.74/AA39^0.9,10))^2,"-")</f>
        <v>-</v>
      </c>
      <c r="AC39" s="318" t="str">
        <f t="shared" si="4"/>
        <v>-</v>
      </c>
      <c r="AE39" s="69"/>
      <c r="AF39" s="157">
        <f>I39</f>
        <v>0</v>
      </c>
      <c r="AG39" s="158"/>
      <c r="AH39" s="158"/>
      <c r="AI39" s="158"/>
      <c r="AJ39" s="69"/>
      <c r="AK39" s="69"/>
      <c r="AO39" s="172">
        <v>14</v>
      </c>
      <c r="AP39" s="302">
        <f t="shared" si="17"/>
        <v>1190</v>
      </c>
      <c r="AQ39" s="303">
        <v>0.7</v>
      </c>
      <c r="AR39" s="303">
        <v>0.3</v>
      </c>
      <c r="AS39" s="196">
        <f t="shared" si="44"/>
        <v>5.666666666666667</v>
      </c>
      <c r="AT39" s="196">
        <v>0.15</v>
      </c>
      <c r="AU39" s="196">
        <f t="shared" si="45"/>
        <v>420</v>
      </c>
      <c r="AV39" s="196">
        <f t="shared" si="46"/>
        <v>158032.00000000003</v>
      </c>
      <c r="AW39" s="196">
        <f t="shared" si="47"/>
        <v>1.8621967072657602E-2</v>
      </c>
      <c r="AX39" s="196">
        <f t="shared" si="48"/>
        <v>0.85709327708117067</v>
      </c>
      <c r="AZ39" s="172">
        <v>14</v>
      </c>
      <c r="BA39" s="302">
        <f t="shared" ref="BA39" si="59">AZ39*75</f>
        <v>1050</v>
      </c>
      <c r="BB39" s="303">
        <v>0.7</v>
      </c>
      <c r="BC39" s="303">
        <v>0.3</v>
      </c>
      <c r="BD39" s="196">
        <f t="shared" ref="BD39" si="60">IFERROR(BA39/1000/BB39/BC39,"-")</f>
        <v>5.0000000000000009</v>
      </c>
      <c r="BE39" s="196">
        <v>0.15</v>
      </c>
      <c r="BF39" s="196">
        <f t="shared" ref="BF39" si="61">IFERROR(4*BB39*BC39/(2*(BB39+BC39))*1000,"-")</f>
        <v>420</v>
      </c>
      <c r="BG39" s="196">
        <f t="shared" ref="BG39" si="62">IFERROR(66.4*BD39*BF39,"-")</f>
        <v>139440.00000000006</v>
      </c>
      <c r="BH39" s="196">
        <f t="shared" ref="BH39" si="63">IFERROR(0.25/(LOG(BE39/BF39/3.7+5.74/BG39^0.9,10))^2,"-")</f>
        <v>1.8907946136629009E-2</v>
      </c>
      <c r="BI39" s="196">
        <f t="shared" ref="BI39" si="64">IFERROR(BH39*$W$5/2*BD39^2/(BF39/1000),"-")</f>
        <v>0.67753473656253971</v>
      </c>
    </row>
    <row r="40" spans="1:61" x14ac:dyDescent="0.2">
      <c r="A40" s="259"/>
      <c r="B40" s="259"/>
      <c r="C40" s="259"/>
      <c r="D40" s="259"/>
      <c r="E40" s="245"/>
      <c r="F40" s="245"/>
      <c r="G40" s="245"/>
      <c r="H40" s="260">
        <f>D40*F40*G40</f>
        <v>0</v>
      </c>
      <c r="I40" s="261"/>
      <c r="J40" s="231"/>
      <c r="K40" s="245"/>
      <c r="L40" s="245"/>
      <c r="M40" s="228" t="str">
        <f>IFERROR(H40/K40/L40/1000,"-")</f>
        <v>-</v>
      </c>
      <c r="N40" s="263">
        <f t="shared" si="0"/>
        <v>0.15</v>
      </c>
      <c r="O40" s="264" t="str">
        <f t="shared" si="1"/>
        <v>-</v>
      </c>
      <c r="P40" s="265" t="str">
        <f t="shared" si="2"/>
        <v>-</v>
      </c>
      <c r="Q40" s="266" t="str">
        <f t="shared" si="21"/>
        <v>-</v>
      </c>
      <c r="R40" s="228" t="str">
        <f t="shared" si="3"/>
        <v>-</v>
      </c>
      <c r="T40" s="259"/>
      <c r="U40" s="314" t="str">
        <f>IFERROR(H40/T40,"-")</f>
        <v>-</v>
      </c>
      <c r="V40" s="262"/>
      <c r="W40" s="262"/>
      <c r="X40" s="228" t="str">
        <f>IFERROR(U40/V40/W40/1000,"-")</f>
        <v>-</v>
      </c>
      <c r="Y40" s="268">
        <f>$W$7</f>
        <v>0.15</v>
      </c>
      <c r="Z40" s="264" t="str">
        <f>IFERROR(4*V40*W40/(2*(V40+W40))*1000,"-")</f>
        <v>-</v>
      </c>
      <c r="AA40" s="265" t="str">
        <f>IFERROR(66.4*Z40*X40,"-")</f>
        <v>-</v>
      </c>
      <c r="AB40" s="266" t="str">
        <f>IFERROR(0.25/(LOG(Y40/Z40/3.7+5.74/AA40^0.9,10))^2,"-")</f>
        <v>-</v>
      </c>
      <c r="AC40" s="228" t="str">
        <f t="shared" si="4"/>
        <v>-</v>
      </c>
      <c r="AE40" s="231"/>
      <c r="AF40" s="272">
        <f>H40</f>
        <v>0</v>
      </c>
      <c r="AG40" s="262">
        <v>0</v>
      </c>
      <c r="AH40" s="262">
        <v>0</v>
      </c>
      <c r="AI40" s="273">
        <v>0.5</v>
      </c>
      <c r="AJ40" s="228" t="str">
        <f>IFERROR(AF40/1000/AG40/AH40,"-")</f>
        <v>-</v>
      </c>
      <c r="AK40" s="228" t="str">
        <f>IFERROR(AJ40/AI40,"-")</f>
        <v>-</v>
      </c>
      <c r="AO40" s="172">
        <v>15</v>
      </c>
      <c r="AP40" s="300">
        <f t="shared" si="17"/>
        <v>1275</v>
      </c>
      <c r="AQ40" s="301">
        <v>0.7</v>
      </c>
      <c r="AR40" s="301">
        <v>0.3</v>
      </c>
      <c r="AS40" s="275">
        <f t="shared" si="44"/>
        <v>6.0714285714285712</v>
      </c>
      <c r="AT40" s="275">
        <v>0.15</v>
      </c>
      <c r="AU40" s="275">
        <f t="shared" si="45"/>
        <v>420</v>
      </c>
      <c r="AV40" s="275">
        <f t="shared" si="46"/>
        <v>169320</v>
      </c>
      <c r="AW40" s="275">
        <f t="shared" si="47"/>
        <v>1.8472924581468122E-2</v>
      </c>
      <c r="AX40" s="275">
        <f t="shared" si="48"/>
        <v>0.9760333068618382</v>
      </c>
      <c r="AZ40" s="172">
        <v>15</v>
      </c>
      <c r="BA40" s="300">
        <f t="shared" si="19"/>
        <v>1125</v>
      </c>
      <c r="BB40" s="301">
        <v>0.7</v>
      </c>
      <c r="BC40" s="301">
        <v>0.3</v>
      </c>
      <c r="BD40" s="275">
        <f t="shared" si="10"/>
        <v>5.3571428571428577</v>
      </c>
      <c r="BE40" s="275">
        <v>0.15</v>
      </c>
      <c r="BF40" s="275">
        <f t="shared" si="11"/>
        <v>420</v>
      </c>
      <c r="BG40" s="275">
        <f t="shared" si="30"/>
        <v>149400.00000000003</v>
      </c>
      <c r="BH40" s="275">
        <f t="shared" si="13"/>
        <v>1.874778234594137E-2</v>
      </c>
      <c r="BI40" s="275">
        <f t="shared" si="14"/>
        <v>0.7711938528783282</v>
      </c>
    </row>
    <row r="41" spans="1:61" x14ac:dyDescent="0.2">
      <c r="A41" s="69"/>
      <c r="B41" s="159"/>
      <c r="C41" s="71"/>
      <c r="D41" s="71"/>
      <c r="E41" s="69"/>
      <c r="F41" s="69"/>
      <c r="G41" s="69"/>
      <c r="H41" s="153"/>
      <c r="I41" s="153">
        <f>H40*0.85</f>
        <v>0</v>
      </c>
      <c r="J41" s="153"/>
      <c r="K41" s="158"/>
      <c r="L41" s="158"/>
      <c r="M41" s="155" t="str">
        <f>IFERROR(I41/K41/L41/1000,"-")</f>
        <v>-</v>
      </c>
      <c r="N41" s="165">
        <f t="shared" si="0"/>
        <v>0.15</v>
      </c>
      <c r="O41" s="87" t="str">
        <f t="shared" si="1"/>
        <v>-</v>
      </c>
      <c r="P41" s="166" t="str">
        <f t="shared" si="2"/>
        <v>-</v>
      </c>
      <c r="Q41" s="167" t="str">
        <f t="shared" si="21"/>
        <v>-</v>
      </c>
      <c r="R41" s="68" t="str">
        <f t="shared" si="3"/>
        <v>-</v>
      </c>
      <c r="AE41" s="69"/>
      <c r="AF41" s="157">
        <f>I41</f>
        <v>0</v>
      </c>
      <c r="AG41" s="158"/>
      <c r="AH41" s="158"/>
      <c r="AI41" s="158"/>
      <c r="AJ41" s="69"/>
      <c r="AK41" s="69"/>
      <c r="AO41" s="172">
        <v>16</v>
      </c>
      <c r="AP41" s="302">
        <f t="shared" si="17"/>
        <v>1360</v>
      </c>
      <c r="AQ41" s="303">
        <v>0.7</v>
      </c>
      <c r="AR41" s="303">
        <v>0.3</v>
      </c>
      <c r="AS41" s="196">
        <f t="shared" si="44"/>
        <v>6.4761904761904772</v>
      </c>
      <c r="AT41" s="196">
        <v>0.15</v>
      </c>
      <c r="AU41" s="196">
        <f t="shared" si="45"/>
        <v>420</v>
      </c>
      <c r="AV41" s="196">
        <f t="shared" si="46"/>
        <v>180608.00000000006</v>
      </c>
      <c r="AW41" s="196">
        <f t="shared" si="47"/>
        <v>1.8338858142685103E-2</v>
      </c>
      <c r="AX41" s="196">
        <f t="shared" si="48"/>
        <v>1.1024495365763767</v>
      </c>
      <c r="AZ41" s="172">
        <v>16</v>
      </c>
      <c r="BA41" s="302">
        <f t="shared" ref="BA41" si="65">AZ41*75</f>
        <v>1200</v>
      </c>
      <c r="BB41" s="303">
        <v>0.7</v>
      </c>
      <c r="BC41" s="303">
        <v>0.3</v>
      </c>
      <c r="BD41" s="196">
        <f t="shared" ref="BD41" si="66">IFERROR(BA41/1000/BB41/BC41,"-")</f>
        <v>5.7142857142857153</v>
      </c>
      <c r="BE41" s="196">
        <v>0.15</v>
      </c>
      <c r="BF41" s="196">
        <f t="shared" ref="BF41" si="67">IFERROR(4*BB41*BC41/(2*(BB41+BC41))*1000,"-")</f>
        <v>420</v>
      </c>
      <c r="BG41" s="196">
        <f t="shared" ref="BG41" si="68">IFERROR(66.4*BD41*BF41,"-")</f>
        <v>159360.00000000003</v>
      </c>
      <c r="BH41" s="196">
        <f t="shared" ref="BH41" si="69">IFERROR(0.25/(LOG(BE41/BF41/3.7+5.74/BG41^0.9,10))^2,"-")</f>
        <v>1.8603569311188735E-2</v>
      </c>
      <c r="BI41" s="196">
        <f t="shared" ref="BI41" si="70">IFERROR(BH41*$W$5/2*BD41^2/(BF41/1000),"-")</f>
        <v>0.87069766572094243</v>
      </c>
    </row>
    <row r="42" spans="1:61" x14ac:dyDescent="0.2">
      <c r="R42" s="161"/>
      <c r="AO42" s="172">
        <v>17</v>
      </c>
      <c r="AP42" s="300">
        <f t="shared" si="17"/>
        <v>1445</v>
      </c>
      <c r="AQ42" s="301">
        <v>0.7</v>
      </c>
      <c r="AR42" s="301">
        <v>0.3</v>
      </c>
      <c r="AS42" s="275">
        <f t="shared" si="44"/>
        <v>6.8809523809523823</v>
      </c>
      <c r="AT42" s="275">
        <v>0.15</v>
      </c>
      <c r="AU42" s="275">
        <f t="shared" si="45"/>
        <v>420</v>
      </c>
      <c r="AV42" s="275">
        <f t="shared" si="46"/>
        <v>191896.00000000003</v>
      </c>
      <c r="AW42" s="275">
        <f t="shared" si="47"/>
        <v>1.8217519582279903E-2</v>
      </c>
      <c r="AX42" s="275">
        <f t="shared" si="48"/>
        <v>1.2363275600974832</v>
      </c>
      <c r="AZ42" s="172">
        <v>17</v>
      </c>
      <c r="BA42" s="300">
        <f t="shared" si="19"/>
        <v>1275</v>
      </c>
      <c r="BB42" s="301">
        <v>0.7</v>
      </c>
      <c r="BC42" s="301">
        <v>0.3</v>
      </c>
      <c r="BD42" s="275">
        <f t="shared" si="10"/>
        <v>6.0714285714285712</v>
      </c>
      <c r="BE42" s="275">
        <v>0.15</v>
      </c>
      <c r="BF42" s="275">
        <f t="shared" si="11"/>
        <v>420</v>
      </c>
      <c r="BG42" s="275">
        <f t="shared" si="30"/>
        <v>169320</v>
      </c>
      <c r="BH42" s="275">
        <f t="shared" si="13"/>
        <v>1.8472924581468122E-2</v>
      </c>
      <c r="BI42" s="275">
        <f t="shared" si="14"/>
        <v>0.9760333068618382</v>
      </c>
    </row>
    <row r="43" spans="1:61" x14ac:dyDescent="0.2">
      <c r="G43" s="231" t="s">
        <v>221</v>
      </c>
      <c r="H43" s="260">
        <f>SUM(H26:H42)</f>
        <v>1478.4</v>
      </c>
      <c r="I43" s="231"/>
      <c r="J43" s="231"/>
      <c r="K43" s="262">
        <v>1</v>
      </c>
      <c r="L43" s="262">
        <v>1</v>
      </c>
      <c r="M43" s="228">
        <f>IFERROR(H43/K43/L43/1000,"-")</f>
        <v>1.4784000000000002</v>
      </c>
      <c r="N43" s="268">
        <f>$W$7</f>
        <v>0.15</v>
      </c>
      <c r="O43" s="264">
        <f>IFERROR(4*K43*L43/(2*(K43+L43))*1000,"-")</f>
        <v>1000</v>
      </c>
      <c r="P43" s="265">
        <f>IFERROR(66.4*O43*M43,"-")</f>
        <v>98165.760000000009</v>
      </c>
      <c r="Q43" s="266">
        <f>IFERROR(0.25/(LOG(N43/O43/3.7+5.74/P43^0.9,10))^2,"-")</f>
        <v>1.8789793832877079E-2</v>
      </c>
      <c r="R43" s="228">
        <f>IFERROR(Q43*$W$5/2*M43^2/(O43/1000),"-")</f>
        <v>2.4723070877987828E-2</v>
      </c>
      <c r="AE43" s="231" t="s">
        <v>284</v>
      </c>
      <c r="AF43" s="269">
        <f>SUM(AF26,AF28,AF30,AF32,AF34,AF36,AF38,AF40)</f>
        <v>1478.4</v>
      </c>
      <c r="AG43" s="262">
        <v>0</v>
      </c>
      <c r="AH43" s="262">
        <v>0</v>
      </c>
      <c r="AI43" s="273">
        <v>0.5</v>
      </c>
      <c r="AJ43" s="228" t="str">
        <f>IFERROR(AF43/1000/AG43/AH43,"-")</f>
        <v>-</v>
      </c>
      <c r="AK43" s="228" t="str">
        <f>IFERROR(AJ43/AI43,"-")</f>
        <v>-</v>
      </c>
      <c r="AO43" s="172">
        <v>18</v>
      </c>
      <c r="AP43" s="302">
        <f t="shared" si="17"/>
        <v>1530</v>
      </c>
      <c r="AQ43" s="303">
        <v>0.7</v>
      </c>
      <c r="AR43" s="303">
        <v>0.3</v>
      </c>
      <c r="AS43" s="196">
        <f t="shared" si="44"/>
        <v>7.2857142857142865</v>
      </c>
      <c r="AT43" s="196">
        <v>0.15</v>
      </c>
      <c r="AU43" s="196">
        <f t="shared" si="45"/>
        <v>420</v>
      </c>
      <c r="AV43" s="196">
        <f t="shared" si="46"/>
        <v>203184.00000000003</v>
      </c>
      <c r="AW43" s="196">
        <f t="shared" si="47"/>
        <v>1.8107101115425121E-2</v>
      </c>
      <c r="AX43" s="196">
        <f t="shared" si="48"/>
        <v>1.3776547687431919</v>
      </c>
      <c r="AZ43" s="172">
        <v>18</v>
      </c>
      <c r="BA43" s="302">
        <f t="shared" ref="BA43" si="71">AZ43*75</f>
        <v>1350</v>
      </c>
      <c r="BB43" s="303">
        <v>0.7</v>
      </c>
      <c r="BC43" s="303">
        <v>0.3</v>
      </c>
      <c r="BD43" s="196">
        <f t="shared" ref="BD43" si="72">IFERROR(BA43/1000/BB43/BC43,"-")</f>
        <v>6.4285714285714297</v>
      </c>
      <c r="BE43" s="196">
        <v>0.15</v>
      </c>
      <c r="BF43" s="196">
        <f t="shared" ref="BF43" si="73">IFERROR(4*BB43*BC43/(2*(BB43+BC43))*1000,"-")</f>
        <v>420</v>
      </c>
      <c r="BG43" s="196">
        <f t="shared" ref="BG43" si="74">IFERROR(66.4*BD43*BF43,"-")</f>
        <v>179280.00000000003</v>
      </c>
      <c r="BH43" s="196">
        <f t="shared" ref="BH43" si="75">IFERROR(0.25/(LOG(BE43/BF43/3.7+5.74/BG43^0.9,10))^2,"-")</f>
        <v>1.835393105889167E-2</v>
      </c>
      <c r="BI43" s="196">
        <f t="shared" ref="BI43" si="76">IFERROR(BH43*$W$5/2*BD43^2/(BF43/1000),"-")</f>
        <v>1.0871894877231245</v>
      </c>
    </row>
    <row r="44" spans="1:61" x14ac:dyDescent="0.2">
      <c r="G44" s="69" t="s">
        <v>295</v>
      </c>
      <c r="H44" s="88"/>
      <c r="I44" s="88">
        <f>SUM(I26:I43)</f>
        <v>1256.6400000000001</v>
      </c>
      <c r="J44" s="88"/>
      <c r="K44" s="163">
        <v>0</v>
      </c>
      <c r="L44" s="163">
        <v>0</v>
      </c>
      <c r="M44" s="155" t="str">
        <f>IFERROR(I44/K44/L44/1000,"-")</f>
        <v>-</v>
      </c>
      <c r="N44" s="168">
        <f>$W$7</f>
        <v>0.15</v>
      </c>
      <c r="O44" s="87" t="str">
        <f>IFERROR(4*K44*L44/(2*(K44+L44))*1000,"-")</f>
        <v>-</v>
      </c>
      <c r="P44" s="166" t="str">
        <f>IFERROR(66.4*O44*M44,"-")</f>
        <v>-</v>
      </c>
      <c r="Q44" s="167" t="str">
        <f t="shared" ref="Q44" si="77">IFERROR(0.25/(LOG(N44/O44/3.7+5.74/P44^0.9,10))^2,"-")</f>
        <v>-</v>
      </c>
      <c r="R44" s="68" t="str">
        <f>IFERROR(Q44*$W$5/2*M44^2/(O44/1000),"-")</f>
        <v>-</v>
      </c>
      <c r="AE44" s="69" t="s">
        <v>285</v>
      </c>
      <c r="AF44" s="162">
        <f>SUM(AF27,AF29,AF31,AF33,AF35,AF37,AF39,AF41)</f>
        <v>1256.6400000000001</v>
      </c>
      <c r="AG44" s="163">
        <v>0</v>
      </c>
      <c r="AH44" s="163">
        <v>0</v>
      </c>
      <c r="AI44" s="164">
        <v>0.5</v>
      </c>
      <c r="AJ44" s="68" t="str">
        <f>IFERROR(AF44/1000/AG44/AH44,"-")</f>
        <v>-</v>
      </c>
      <c r="AK44" s="68" t="str">
        <f>IFERROR(AJ44/AI44,"-")</f>
        <v>-</v>
      </c>
      <c r="AO44" s="172">
        <v>19</v>
      </c>
      <c r="AP44" s="300">
        <f t="shared" si="17"/>
        <v>1615</v>
      </c>
      <c r="AQ44" s="301"/>
      <c r="AR44" s="301"/>
      <c r="AS44" s="275" t="str">
        <f t="shared" si="44"/>
        <v>-</v>
      </c>
      <c r="AT44" s="275">
        <v>0.15</v>
      </c>
      <c r="AU44" s="275" t="str">
        <f t="shared" si="45"/>
        <v>-</v>
      </c>
      <c r="AV44" s="275" t="str">
        <f t="shared" si="46"/>
        <v>-</v>
      </c>
      <c r="AW44" s="275" t="str">
        <f t="shared" si="47"/>
        <v>-</v>
      </c>
      <c r="AX44" s="275" t="str">
        <f t="shared" si="48"/>
        <v>-</v>
      </c>
      <c r="AZ44" s="172">
        <v>19</v>
      </c>
      <c r="BA44" s="300">
        <f t="shared" si="19"/>
        <v>1425</v>
      </c>
      <c r="BB44" s="301"/>
      <c r="BC44" s="301"/>
      <c r="BD44" s="275" t="str">
        <f t="shared" si="10"/>
        <v>-</v>
      </c>
      <c r="BE44" s="275">
        <v>0.15</v>
      </c>
      <c r="BF44" s="275" t="str">
        <f t="shared" si="11"/>
        <v>-</v>
      </c>
      <c r="BG44" s="275" t="str">
        <f t="shared" si="30"/>
        <v>-</v>
      </c>
      <c r="BH44" s="275" t="str">
        <f t="shared" si="13"/>
        <v>-</v>
      </c>
      <c r="BI44" s="275" t="str">
        <f t="shared" si="14"/>
        <v>-</v>
      </c>
    </row>
    <row r="45" spans="1:61" x14ac:dyDescent="0.2">
      <c r="AO45" s="172">
        <v>20</v>
      </c>
      <c r="AP45" s="302">
        <f t="shared" si="17"/>
        <v>1700</v>
      </c>
      <c r="AQ45" s="303"/>
      <c r="AR45" s="303"/>
      <c r="AS45" s="196" t="str">
        <f t="shared" si="44"/>
        <v>-</v>
      </c>
      <c r="AT45" s="196">
        <v>0.15</v>
      </c>
      <c r="AU45" s="196" t="str">
        <f t="shared" si="45"/>
        <v>-</v>
      </c>
      <c r="AV45" s="196" t="str">
        <f t="shared" si="46"/>
        <v>-</v>
      </c>
      <c r="AW45" s="196" t="str">
        <f t="shared" si="47"/>
        <v>-</v>
      </c>
      <c r="AX45" s="196" t="str">
        <f t="shared" si="48"/>
        <v>-</v>
      </c>
      <c r="AZ45" s="172">
        <v>20</v>
      </c>
      <c r="BA45" s="302">
        <f t="shared" ref="BA45" si="78">AZ45*75</f>
        <v>1500</v>
      </c>
      <c r="BB45" s="303"/>
      <c r="BC45" s="303"/>
      <c r="BD45" s="196" t="str">
        <f t="shared" ref="BD45" si="79">IFERROR(BA45/1000/BB45/BC45,"-")</f>
        <v>-</v>
      </c>
      <c r="BE45" s="196">
        <v>0.15</v>
      </c>
      <c r="BF45" s="196" t="str">
        <f t="shared" ref="BF45" si="80">IFERROR(4*BB45*BC45/(2*(BB45+BC45))*1000,"-")</f>
        <v>-</v>
      </c>
      <c r="BG45" s="196" t="str">
        <f t="shared" ref="BG45" si="81">IFERROR(66.4*BD45*BF45,"-")</f>
        <v>-</v>
      </c>
      <c r="BH45" s="196" t="str">
        <f t="shared" ref="BH45" si="82">IFERROR(0.25/(LOG(BE45/BF45/3.7+5.74/BG45^0.9,10))^2,"-")</f>
        <v>-</v>
      </c>
      <c r="BI45" s="196" t="str">
        <f t="shared" ref="BI45" si="83">IFERROR(BH45*$W$5/2*BD45^2/(BF45/1000),"-")</f>
        <v>-</v>
      </c>
    </row>
    <row r="46" spans="1:61" x14ac:dyDescent="0.2">
      <c r="AO46" s="172">
        <v>21</v>
      </c>
      <c r="AP46" s="300">
        <f t="shared" si="17"/>
        <v>1785</v>
      </c>
      <c r="AQ46" s="301"/>
      <c r="AR46" s="301"/>
      <c r="AS46" s="275" t="str">
        <f t="shared" si="44"/>
        <v>-</v>
      </c>
      <c r="AT46" s="275">
        <v>0.15</v>
      </c>
      <c r="AU46" s="275" t="str">
        <f t="shared" si="45"/>
        <v>-</v>
      </c>
      <c r="AV46" s="275" t="str">
        <f t="shared" si="46"/>
        <v>-</v>
      </c>
      <c r="AW46" s="275" t="str">
        <f t="shared" si="47"/>
        <v>-</v>
      </c>
      <c r="AX46" s="275" t="str">
        <f t="shared" si="48"/>
        <v>-</v>
      </c>
      <c r="AZ46" s="172">
        <v>21</v>
      </c>
      <c r="BA46" s="300">
        <f t="shared" si="19"/>
        <v>1575</v>
      </c>
      <c r="BB46" s="301"/>
      <c r="BC46" s="301"/>
      <c r="BD46" s="275" t="str">
        <f t="shared" si="10"/>
        <v>-</v>
      </c>
      <c r="BE46" s="275">
        <v>0.15</v>
      </c>
      <c r="BF46" s="275" t="str">
        <f t="shared" si="11"/>
        <v>-</v>
      </c>
      <c r="BG46" s="275" t="str">
        <f t="shared" si="30"/>
        <v>-</v>
      </c>
      <c r="BH46" s="275" t="str">
        <f t="shared" si="13"/>
        <v>-</v>
      </c>
      <c r="BI46" s="275" t="str">
        <f t="shared" si="14"/>
        <v>-</v>
      </c>
    </row>
    <row r="47" spans="1:61" ht="12.6" customHeight="1" x14ac:dyDescent="0.3">
      <c r="T47" s="456" t="s">
        <v>304</v>
      </c>
      <c r="U47" s="457"/>
      <c r="V47" s="457"/>
      <c r="W47" s="457"/>
      <c r="X47" s="457"/>
      <c r="Y47" s="457"/>
      <c r="Z47" s="457"/>
      <c r="AA47" s="457"/>
      <c r="AB47" s="457"/>
      <c r="AC47" s="457"/>
      <c r="AD47" s="170"/>
      <c r="AE47" s="456" t="s">
        <v>305</v>
      </c>
      <c r="AF47" s="457"/>
      <c r="AG47" s="457"/>
      <c r="AH47" s="457"/>
      <c r="AI47" s="457"/>
      <c r="AJ47" s="457"/>
      <c r="AK47" s="457"/>
      <c r="AL47" s="457"/>
      <c r="AM47" s="457"/>
      <c r="AO47" s="172">
        <v>22</v>
      </c>
      <c r="AP47" s="302">
        <f t="shared" ref="AP47" si="84">AO47*85</f>
        <v>1870</v>
      </c>
      <c r="AQ47" s="303"/>
      <c r="AR47" s="303"/>
      <c r="AS47" s="196" t="str">
        <f t="shared" ref="AS47" si="85">IFERROR(AP47/1000/AQ47/AR47,"-")</f>
        <v>-</v>
      </c>
      <c r="AT47" s="196">
        <v>0.15</v>
      </c>
      <c r="AU47" s="196" t="str">
        <f t="shared" ref="AU47" si="86">IFERROR(4*AQ47*AR47/(2*(AQ47+AR47))*1000,"-")</f>
        <v>-</v>
      </c>
      <c r="AV47" s="196" t="str">
        <f t="shared" ref="AV47" si="87">IFERROR(66.4*AS47*AU47,"-")</f>
        <v>-</v>
      </c>
      <c r="AW47" s="196" t="str">
        <f t="shared" ref="AW47" si="88">IFERROR(0.25/(LOG(AT47/AU47/3.7+5.74/AV47^0.9,10))^2,"-")</f>
        <v>-</v>
      </c>
      <c r="AX47" s="196" t="str">
        <f t="shared" ref="AX47" si="89">IFERROR(AW47*$W$5/2*AS47^2/(AU47/1000),"-")</f>
        <v>-</v>
      </c>
      <c r="AZ47" s="172">
        <v>22</v>
      </c>
      <c r="BA47" s="302">
        <f t="shared" ref="BA47" si="90">AZ47*75</f>
        <v>1650</v>
      </c>
      <c r="BB47" s="303"/>
      <c r="BC47" s="303"/>
      <c r="BD47" s="196" t="str">
        <f t="shared" ref="BD47" si="91">IFERROR(BA47/1000/BB47/BC47,"-")</f>
        <v>-</v>
      </c>
      <c r="BE47" s="196">
        <v>0.15</v>
      </c>
      <c r="BF47" s="196" t="str">
        <f t="shared" ref="BF47" si="92">IFERROR(4*BB47*BC47/(2*(BB47+BC47))*1000,"-")</f>
        <v>-</v>
      </c>
      <c r="BG47" s="196" t="str">
        <f t="shared" ref="BG47" si="93">IFERROR(66.4*BD47*BF47,"-")</f>
        <v>-</v>
      </c>
      <c r="BH47" s="196" t="str">
        <f t="shared" ref="BH47" si="94">IFERROR(0.25/(LOG(BE47/BF47/3.7+5.74/BG47^0.9,10))^2,"-")</f>
        <v>-</v>
      </c>
      <c r="BI47" s="196" t="str">
        <f t="shared" ref="BI47" si="95">IFERROR(BH47*$W$5/2*BD47^2/(BF47/1000),"-")</f>
        <v>-</v>
      </c>
    </row>
    <row r="48" spans="1:61" ht="15.75" x14ac:dyDescent="0.3">
      <c r="T48" s="172" t="s">
        <v>279</v>
      </c>
      <c r="U48" s="172" t="s">
        <v>222</v>
      </c>
      <c r="V48" s="458" t="s">
        <v>223</v>
      </c>
      <c r="W48" s="459"/>
      <c r="X48" s="172" t="s">
        <v>224</v>
      </c>
      <c r="Y48" s="105" t="s">
        <v>150</v>
      </c>
      <c r="Z48" s="105" t="s">
        <v>293</v>
      </c>
      <c r="AA48" s="105" t="s">
        <v>130</v>
      </c>
      <c r="AB48" s="105" t="s">
        <v>131</v>
      </c>
      <c r="AC48" s="105" t="s">
        <v>151</v>
      </c>
      <c r="AD48" s="170"/>
      <c r="AE48" s="172" t="s">
        <v>279</v>
      </c>
      <c r="AF48" s="172" t="s">
        <v>222</v>
      </c>
      <c r="AG48" s="172" t="s">
        <v>226</v>
      </c>
      <c r="AH48" s="172" t="s">
        <v>224</v>
      </c>
      <c r="AI48" s="105" t="s">
        <v>150</v>
      </c>
      <c r="AJ48" s="105" t="s">
        <v>293</v>
      </c>
      <c r="AK48" s="105" t="s">
        <v>130</v>
      </c>
      <c r="AL48" s="105" t="s">
        <v>131</v>
      </c>
      <c r="AM48" s="105" t="s">
        <v>151</v>
      </c>
      <c r="AO48" s="172">
        <v>23</v>
      </c>
      <c r="AP48" s="300">
        <f t="shared" si="17"/>
        <v>1955</v>
      </c>
      <c r="AQ48" s="301"/>
      <c r="AR48" s="301"/>
      <c r="AS48" s="275" t="str">
        <f t="shared" si="44"/>
        <v>-</v>
      </c>
      <c r="AT48" s="275">
        <v>0.15</v>
      </c>
      <c r="AU48" s="275" t="str">
        <f t="shared" si="45"/>
        <v>-</v>
      </c>
      <c r="AV48" s="275" t="str">
        <f t="shared" si="46"/>
        <v>-</v>
      </c>
      <c r="AW48" s="275" t="str">
        <f t="shared" si="47"/>
        <v>-</v>
      </c>
      <c r="AX48" s="275" t="str">
        <f t="shared" si="48"/>
        <v>-</v>
      </c>
      <c r="AZ48" s="172">
        <v>23</v>
      </c>
      <c r="BA48" s="300">
        <f t="shared" si="19"/>
        <v>1725</v>
      </c>
      <c r="BB48" s="301"/>
      <c r="BC48" s="301"/>
      <c r="BD48" s="275" t="str">
        <f t="shared" si="10"/>
        <v>-</v>
      </c>
      <c r="BE48" s="275">
        <v>0.15</v>
      </c>
      <c r="BF48" s="275" t="str">
        <f t="shared" si="11"/>
        <v>-</v>
      </c>
      <c r="BG48" s="275" t="str">
        <f t="shared" si="30"/>
        <v>-</v>
      </c>
      <c r="BH48" s="275" t="str">
        <f t="shared" si="13"/>
        <v>-</v>
      </c>
      <c r="BI48" s="275" t="str">
        <f t="shared" si="14"/>
        <v>-</v>
      </c>
    </row>
    <row r="49" spans="17:61" x14ac:dyDescent="0.2">
      <c r="T49" s="172"/>
      <c r="U49" s="172" t="s">
        <v>33</v>
      </c>
      <c r="V49" s="172" t="s">
        <v>322</v>
      </c>
      <c r="W49" s="172" t="s">
        <v>323</v>
      </c>
      <c r="X49" s="172" t="s">
        <v>35</v>
      </c>
      <c r="Y49" s="110" t="s">
        <v>103</v>
      </c>
      <c r="Z49" s="110" t="s">
        <v>103</v>
      </c>
      <c r="AA49" s="109"/>
      <c r="AB49" s="109"/>
      <c r="AC49" s="105" t="s">
        <v>108</v>
      </c>
      <c r="AD49" s="170"/>
      <c r="AE49" s="172"/>
      <c r="AF49" s="172" t="s">
        <v>33</v>
      </c>
      <c r="AG49" s="172" t="s">
        <v>324</v>
      </c>
      <c r="AH49" s="172" t="s">
        <v>35</v>
      </c>
      <c r="AI49" s="110" t="s">
        <v>103</v>
      </c>
      <c r="AJ49" s="110" t="s">
        <v>103</v>
      </c>
      <c r="AK49" s="109"/>
      <c r="AL49" s="109"/>
      <c r="AM49" s="105" t="s">
        <v>108</v>
      </c>
      <c r="AO49" s="172">
        <v>24</v>
      </c>
      <c r="AP49" s="302">
        <f t="shared" ref="AP49" si="96">AO49*85</f>
        <v>2040</v>
      </c>
      <c r="AQ49" s="303"/>
      <c r="AR49" s="303"/>
      <c r="AS49" s="196" t="str">
        <f t="shared" ref="AS49" si="97">IFERROR(AP49/1000/AQ49/AR49,"-")</f>
        <v>-</v>
      </c>
      <c r="AT49" s="196">
        <v>0.15</v>
      </c>
      <c r="AU49" s="196" t="str">
        <f t="shared" ref="AU49" si="98">IFERROR(4*AQ49*AR49/(2*(AQ49+AR49))*1000,"-")</f>
        <v>-</v>
      </c>
      <c r="AV49" s="196" t="str">
        <f t="shared" ref="AV49" si="99">IFERROR(66.4*AS49*AU49,"-")</f>
        <v>-</v>
      </c>
      <c r="AW49" s="196" t="str">
        <f t="shared" ref="AW49" si="100">IFERROR(0.25/(LOG(AT49/AU49/3.7+5.74/AV49^0.9,10))^2,"-")</f>
        <v>-</v>
      </c>
      <c r="AX49" s="196" t="str">
        <f t="shared" ref="AX49" si="101">IFERROR(AW49*$W$5/2*AS49^2/(AU49/1000),"-")</f>
        <v>-</v>
      </c>
      <c r="AZ49" s="172">
        <v>24</v>
      </c>
      <c r="BA49" s="302">
        <f t="shared" ref="BA49" si="102">AZ49*75</f>
        <v>1800</v>
      </c>
      <c r="BB49" s="303"/>
      <c r="BC49" s="303"/>
      <c r="BD49" s="196" t="str">
        <f t="shared" ref="BD49" si="103">IFERROR(BA49/1000/BB49/BC49,"-")</f>
        <v>-</v>
      </c>
      <c r="BE49" s="196">
        <v>0.15</v>
      </c>
      <c r="BF49" s="196" t="str">
        <f t="shared" ref="BF49" si="104">IFERROR(4*BB49*BC49/(2*(BB49+BC49))*1000,"-")</f>
        <v>-</v>
      </c>
      <c r="BG49" s="196" t="str">
        <f t="shared" ref="BG49" si="105">IFERROR(66.4*BD49*BF49,"-")</f>
        <v>-</v>
      </c>
      <c r="BH49" s="196" t="str">
        <f t="shared" ref="BH49" si="106">IFERROR(0.25/(LOG(BE49/BF49/3.7+5.74/BG49^0.9,10))^2,"-")</f>
        <v>-</v>
      </c>
      <c r="BI49" s="196" t="str">
        <f t="shared" ref="BI49" si="107">IFERROR(BH49*$W$5/2*BD49^2/(BF49/1000),"-")</f>
        <v>-</v>
      </c>
    </row>
    <row r="50" spans="17:61" x14ac:dyDescent="0.2">
      <c r="T50" s="274"/>
      <c r="U50" s="300">
        <v>1350</v>
      </c>
      <c r="V50" s="301">
        <v>0.7</v>
      </c>
      <c r="W50" s="301">
        <v>0.3</v>
      </c>
      <c r="X50" s="275">
        <f t="shared" ref="X50:X57" si="108">IFERROR(U50/1000/V50/W50,"-")</f>
        <v>6.4285714285714297</v>
      </c>
      <c r="Y50" s="275">
        <v>0.15</v>
      </c>
      <c r="Z50" s="275">
        <f t="shared" ref="Z50:Z57" si="109">IFERROR(4*V50*W50/(2*(V50+W50))*1000,"-")</f>
        <v>420</v>
      </c>
      <c r="AA50" s="275">
        <f t="shared" ref="AA50" si="110">IFERROR(66.4*Z50*X50,"-")</f>
        <v>179280.00000000006</v>
      </c>
      <c r="AB50" s="275">
        <f t="shared" ref="AB50:AB57" si="111">IFERROR(0.25/(LOG(Y50/Z50/3.7+5.74/AA50^0.9,10))^2,"-")</f>
        <v>1.835393105889167E-2</v>
      </c>
      <c r="AC50" s="275">
        <f t="shared" ref="AC50:AC57" si="112">IFERROR(AB50*$W$5/2*X50^2/(Z50/1000),"-")</f>
        <v>1.0871894877231245</v>
      </c>
      <c r="AD50" s="170"/>
      <c r="AE50" s="274"/>
      <c r="AF50" s="300"/>
      <c r="AG50" s="301"/>
      <c r="AH50" s="275" t="str">
        <f>IFERROR(AF50/1000/(3.146/4*AG50^2),"-")</f>
        <v>-</v>
      </c>
      <c r="AI50" s="275">
        <v>1</v>
      </c>
      <c r="AJ50" s="275">
        <f t="shared" ref="AJ50:AJ57" si="113">AG50*1000</f>
        <v>0</v>
      </c>
      <c r="AK50" s="275" t="str">
        <f t="shared" ref="AK50:AK57" si="114">IFERROR(66.4*AH50*AJ50,"-")</f>
        <v>-</v>
      </c>
      <c r="AL50" s="275" t="str">
        <f t="shared" ref="AL50:AL57" si="115">IFERROR(0.25/(LOG(AI50/AJ50/3.7+5.74/AK50^0.9,10))^2,"-")</f>
        <v>-</v>
      </c>
      <c r="AM50" s="275" t="str">
        <f>IFERROR(AL50*$W$5/2*AH50^2/(AJ50/1000),"-")</f>
        <v>-</v>
      </c>
      <c r="AO50" s="172">
        <v>25</v>
      </c>
      <c r="AP50" s="300">
        <f t="shared" si="17"/>
        <v>2125</v>
      </c>
      <c r="AQ50" s="301"/>
      <c r="AR50" s="301"/>
      <c r="AS50" s="275" t="str">
        <f t="shared" si="44"/>
        <v>-</v>
      </c>
      <c r="AT50" s="275">
        <v>0.15</v>
      </c>
      <c r="AU50" s="275" t="str">
        <f t="shared" si="45"/>
        <v>-</v>
      </c>
      <c r="AV50" s="275" t="str">
        <f t="shared" si="46"/>
        <v>-</v>
      </c>
      <c r="AW50" s="275" t="str">
        <f t="shared" si="47"/>
        <v>-</v>
      </c>
      <c r="AX50" s="275" t="str">
        <f t="shared" si="48"/>
        <v>-</v>
      </c>
      <c r="AZ50" s="172">
        <v>25</v>
      </c>
      <c r="BA50" s="300">
        <f t="shared" si="19"/>
        <v>1875</v>
      </c>
      <c r="BB50" s="301"/>
      <c r="BC50" s="301"/>
      <c r="BD50" s="275" t="str">
        <f t="shared" si="10"/>
        <v>-</v>
      </c>
      <c r="BE50" s="275">
        <v>0.15</v>
      </c>
      <c r="BF50" s="275" t="str">
        <f t="shared" si="11"/>
        <v>-</v>
      </c>
      <c r="BG50" s="275" t="str">
        <f t="shared" si="30"/>
        <v>-</v>
      </c>
      <c r="BH50" s="275" t="str">
        <f t="shared" si="13"/>
        <v>-</v>
      </c>
      <c r="BI50" s="275" t="str">
        <f t="shared" si="14"/>
        <v>-</v>
      </c>
    </row>
    <row r="51" spans="17:61" x14ac:dyDescent="0.2">
      <c r="T51" s="174"/>
      <c r="U51" s="302"/>
      <c r="V51" s="303"/>
      <c r="W51" s="303"/>
      <c r="X51" s="196" t="str">
        <f t="shared" si="108"/>
        <v>-</v>
      </c>
      <c r="Y51" s="196">
        <v>0.15</v>
      </c>
      <c r="Z51" s="196" t="str">
        <f t="shared" si="109"/>
        <v>-</v>
      </c>
      <c r="AA51" s="196" t="str">
        <f t="shared" ref="AA51:AA57" si="116">IFERROR(66.4*X51*Z51,"-")</f>
        <v>-</v>
      </c>
      <c r="AB51" s="196" t="str">
        <f t="shared" si="111"/>
        <v>-</v>
      </c>
      <c r="AC51" s="196" t="str">
        <f t="shared" si="112"/>
        <v>-</v>
      </c>
      <c r="AD51" s="170"/>
      <c r="AE51" s="174"/>
      <c r="AF51" s="302"/>
      <c r="AG51" s="303"/>
      <c r="AH51" s="196" t="str">
        <f t="shared" ref="AH51:AH57" si="117">IFERROR(AF51/1000/(3.146/4*AG51^2),"-")</f>
        <v>-</v>
      </c>
      <c r="AI51" s="196">
        <v>1</v>
      </c>
      <c r="AJ51" s="196">
        <f t="shared" si="113"/>
        <v>0</v>
      </c>
      <c r="AK51" s="196" t="str">
        <f t="shared" si="114"/>
        <v>-</v>
      </c>
      <c r="AL51" s="196" t="str">
        <f t="shared" si="115"/>
        <v>-</v>
      </c>
      <c r="AM51" s="196" t="str">
        <f t="shared" ref="AM51:AM57" si="118">IFERROR(AL51*$W$5/2*AH51^2/(AJ51/1000),"-")</f>
        <v>-</v>
      </c>
      <c r="AO51" s="172">
        <v>26</v>
      </c>
      <c r="AP51" s="302">
        <f t="shared" ref="AP51" si="119">AO51*85</f>
        <v>2210</v>
      </c>
      <c r="AQ51" s="303"/>
      <c r="AR51" s="303"/>
      <c r="AS51" s="196" t="str">
        <f t="shared" ref="AS51" si="120">IFERROR(AP51/1000/AQ51/AR51,"-")</f>
        <v>-</v>
      </c>
      <c r="AT51" s="196">
        <v>0.15</v>
      </c>
      <c r="AU51" s="196" t="str">
        <f t="shared" ref="AU51" si="121">IFERROR(4*AQ51*AR51/(2*(AQ51+AR51))*1000,"-")</f>
        <v>-</v>
      </c>
      <c r="AV51" s="196" t="str">
        <f t="shared" ref="AV51" si="122">IFERROR(66.4*AS51*AU51,"-")</f>
        <v>-</v>
      </c>
      <c r="AW51" s="196" t="str">
        <f t="shared" ref="AW51" si="123">IFERROR(0.25/(LOG(AT51/AU51/3.7+5.74/AV51^0.9,10))^2,"-")</f>
        <v>-</v>
      </c>
      <c r="AX51" s="196" t="str">
        <f t="shared" ref="AX51" si="124">IFERROR(AW51*$W$5/2*AS51^2/(AU51/1000),"-")</f>
        <v>-</v>
      </c>
      <c r="AZ51" s="172">
        <v>26</v>
      </c>
      <c r="BA51" s="302">
        <f t="shared" ref="BA51" si="125">AZ51*75</f>
        <v>1950</v>
      </c>
      <c r="BB51" s="303"/>
      <c r="BC51" s="303"/>
      <c r="BD51" s="196" t="str">
        <f t="shared" ref="BD51" si="126">IFERROR(BA51/1000/BB51/BC51,"-")</f>
        <v>-</v>
      </c>
      <c r="BE51" s="196">
        <v>0.15</v>
      </c>
      <c r="BF51" s="196" t="str">
        <f t="shared" ref="BF51" si="127">IFERROR(4*BB51*BC51/(2*(BB51+BC51))*1000,"-")</f>
        <v>-</v>
      </c>
      <c r="BG51" s="196" t="str">
        <f t="shared" ref="BG51" si="128">IFERROR(66.4*BD51*BF51,"-")</f>
        <v>-</v>
      </c>
      <c r="BH51" s="196" t="str">
        <f t="shared" ref="BH51" si="129">IFERROR(0.25/(LOG(BE51/BF51/3.7+5.74/BG51^0.9,10))^2,"-")</f>
        <v>-</v>
      </c>
      <c r="BI51" s="196" t="str">
        <f t="shared" ref="BI51" si="130">IFERROR(BH51*$W$5/2*BD51^2/(BF51/1000),"-")</f>
        <v>-</v>
      </c>
    </row>
    <row r="52" spans="17:61" x14ac:dyDescent="0.2">
      <c r="T52" s="274"/>
      <c r="U52" s="300">
        <v>225</v>
      </c>
      <c r="V52" s="301">
        <v>0.2</v>
      </c>
      <c r="W52" s="301">
        <v>0.2</v>
      </c>
      <c r="X52" s="275">
        <f t="shared" ref="X52" si="131">IFERROR(U52/1000/V52/W52,"-")</f>
        <v>5.625</v>
      </c>
      <c r="Y52" s="275">
        <v>0.15</v>
      </c>
      <c r="Z52" s="275">
        <f t="shared" ref="Z52" si="132">IFERROR(4*V52*W52/(2*(V52+W52))*1000,"-")</f>
        <v>200.00000000000003</v>
      </c>
      <c r="AA52" s="275">
        <f t="shared" ref="AA52" si="133">IFERROR(66.4*Z52*X52,"-")</f>
        <v>74700.000000000015</v>
      </c>
      <c r="AB52" s="275">
        <f t="shared" ref="AB52" si="134">IFERROR(0.25/(LOG(Y52/Z52/3.7+5.74/AA52^0.9,10))^2,"-")</f>
        <v>2.2172989845580714E-2</v>
      </c>
      <c r="AC52" s="275">
        <f t="shared" ref="AC52" si="135">IFERROR(AB52*$W$5/2*X52^2/(Z52/1000),"-")</f>
        <v>2.1117174430668095</v>
      </c>
      <c r="AD52" s="170"/>
      <c r="AE52" s="274"/>
      <c r="AF52" s="300"/>
      <c r="AG52" s="301"/>
      <c r="AH52" s="275" t="str">
        <f t="shared" si="117"/>
        <v>-</v>
      </c>
      <c r="AI52" s="275">
        <v>1</v>
      </c>
      <c r="AJ52" s="275">
        <f t="shared" si="113"/>
        <v>0</v>
      </c>
      <c r="AK52" s="275" t="str">
        <f t="shared" si="114"/>
        <v>-</v>
      </c>
      <c r="AL52" s="275" t="str">
        <f t="shared" si="115"/>
        <v>-</v>
      </c>
      <c r="AM52" s="275" t="str">
        <f t="shared" si="118"/>
        <v>-</v>
      </c>
    </row>
    <row r="53" spans="17:61" x14ac:dyDescent="0.2">
      <c r="T53" s="174"/>
      <c r="U53" s="302"/>
      <c r="V53" s="303"/>
      <c r="W53" s="303"/>
      <c r="X53" s="196" t="str">
        <f t="shared" si="108"/>
        <v>-</v>
      </c>
      <c r="Y53" s="196">
        <v>0.15</v>
      </c>
      <c r="Z53" s="196" t="str">
        <f t="shared" si="109"/>
        <v>-</v>
      </c>
      <c r="AA53" s="196" t="str">
        <f t="shared" si="116"/>
        <v>-</v>
      </c>
      <c r="AB53" s="196" t="str">
        <f t="shared" si="111"/>
        <v>-</v>
      </c>
      <c r="AC53" s="196" t="str">
        <f t="shared" si="112"/>
        <v>-</v>
      </c>
      <c r="AD53" s="170"/>
      <c r="AE53" s="174"/>
      <c r="AF53" s="302"/>
      <c r="AG53" s="303"/>
      <c r="AH53" s="196" t="str">
        <f t="shared" si="117"/>
        <v>-</v>
      </c>
      <c r="AI53" s="196">
        <v>1</v>
      </c>
      <c r="AJ53" s="196">
        <f t="shared" si="113"/>
        <v>0</v>
      </c>
      <c r="AK53" s="196" t="str">
        <f t="shared" si="114"/>
        <v>-</v>
      </c>
      <c r="AL53" s="196" t="str">
        <f t="shared" si="115"/>
        <v>-</v>
      </c>
      <c r="AM53" s="196" t="str">
        <f t="shared" si="118"/>
        <v>-</v>
      </c>
    </row>
    <row r="54" spans="17:61" x14ac:dyDescent="0.2">
      <c r="T54" s="274"/>
      <c r="U54" s="300"/>
      <c r="V54" s="301"/>
      <c r="W54" s="301"/>
      <c r="X54" s="275" t="str">
        <f t="shared" si="108"/>
        <v>-</v>
      </c>
      <c r="Y54" s="275">
        <v>0.15</v>
      </c>
      <c r="Z54" s="275" t="str">
        <f t="shared" si="109"/>
        <v>-</v>
      </c>
      <c r="AA54" s="275" t="str">
        <f t="shared" si="116"/>
        <v>-</v>
      </c>
      <c r="AB54" s="275" t="str">
        <f t="shared" si="111"/>
        <v>-</v>
      </c>
      <c r="AC54" s="275" t="str">
        <f t="shared" si="112"/>
        <v>-</v>
      </c>
      <c r="AD54" s="170"/>
      <c r="AE54" s="274"/>
      <c r="AF54" s="300"/>
      <c r="AG54" s="301"/>
      <c r="AH54" s="275" t="str">
        <f t="shared" si="117"/>
        <v>-</v>
      </c>
      <c r="AI54" s="275">
        <v>1</v>
      </c>
      <c r="AJ54" s="275">
        <f t="shared" si="113"/>
        <v>0</v>
      </c>
      <c r="AK54" s="275" t="str">
        <f t="shared" si="114"/>
        <v>-</v>
      </c>
      <c r="AL54" s="275" t="str">
        <f t="shared" si="115"/>
        <v>-</v>
      </c>
      <c r="AM54" s="275" t="str">
        <f t="shared" si="118"/>
        <v>-</v>
      </c>
    </row>
    <row r="55" spans="17:61" x14ac:dyDescent="0.2">
      <c r="T55" s="174"/>
      <c r="U55" s="302"/>
      <c r="V55" s="303"/>
      <c r="W55" s="303"/>
      <c r="X55" s="196" t="str">
        <f t="shared" si="108"/>
        <v>-</v>
      </c>
      <c r="Y55" s="196">
        <v>0.15</v>
      </c>
      <c r="Z55" s="196" t="str">
        <f t="shared" si="109"/>
        <v>-</v>
      </c>
      <c r="AA55" s="196" t="str">
        <f t="shared" si="116"/>
        <v>-</v>
      </c>
      <c r="AB55" s="196" t="str">
        <f t="shared" si="111"/>
        <v>-</v>
      </c>
      <c r="AC55" s="196" t="str">
        <f t="shared" si="112"/>
        <v>-</v>
      </c>
      <c r="AD55" s="170"/>
      <c r="AE55" s="174"/>
      <c r="AF55" s="302"/>
      <c r="AG55" s="303"/>
      <c r="AH55" s="196" t="str">
        <f t="shared" si="117"/>
        <v>-</v>
      </c>
      <c r="AI55" s="196">
        <v>1</v>
      </c>
      <c r="AJ55" s="196">
        <f t="shared" si="113"/>
        <v>0</v>
      </c>
      <c r="AK55" s="196" t="str">
        <f t="shared" si="114"/>
        <v>-</v>
      </c>
      <c r="AL55" s="196" t="str">
        <f t="shared" si="115"/>
        <v>-</v>
      </c>
      <c r="AM55" s="196" t="str">
        <f t="shared" si="118"/>
        <v>-</v>
      </c>
    </row>
    <row r="56" spans="17:61" x14ac:dyDescent="0.2">
      <c r="T56" s="274"/>
      <c r="U56" s="300"/>
      <c r="V56" s="301"/>
      <c r="W56" s="301"/>
      <c r="X56" s="275" t="str">
        <f t="shared" si="108"/>
        <v>-</v>
      </c>
      <c r="Y56" s="275">
        <v>0.15</v>
      </c>
      <c r="Z56" s="275" t="str">
        <f t="shared" si="109"/>
        <v>-</v>
      </c>
      <c r="AA56" s="275" t="str">
        <f t="shared" si="116"/>
        <v>-</v>
      </c>
      <c r="AB56" s="275" t="str">
        <f t="shared" si="111"/>
        <v>-</v>
      </c>
      <c r="AC56" s="275" t="str">
        <f t="shared" si="112"/>
        <v>-</v>
      </c>
      <c r="AD56" s="170"/>
      <c r="AE56" s="274"/>
      <c r="AF56" s="300"/>
      <c r="AG56" s="301"/>
      <c r="AH56" s="275" t="str">
        <f t="shared" si="117"/>
        <v>-</v>
      </c>
      <c r="AI56" s="275">
        <v>1</v>
      </c>
      <c r="AJ56" s="275">
        <f t="shared" si="113"/>
        <v>0</v>
      </c>
      <c r="AK56" s="275" t="str">
        <f t="shared" si="114"/>
        <v>-</v>
      </c>
      <c r="AL56" s="275" t="str">
        <f t="shared" si="115"/>
        <v>-</v>
      </c>
      <c r="AM56" s="275" t="str">
        <f t="shared" si="118"/>
        <v>-</v>
      </c>
    </row>
    <row r="57" spans="17:61" x14ac:dyDescent="0.2">
      <c r="T57" s="174"/>
      <c r="U57" s="302"/>
      <c r="V57" s="303"/>
      <c r="W57" s="303"/>
      <c r="X57" s="196" t="str">
        <f t="shared" si="108"/>
        <v>-</v>
      </c>
      <c r="Y57" s="196">
        <v>0.15</v>
      </c>
      <c r="Z57" s="196" t="str">
        <f t="shared" si="109"/>
        <v>-</v>
      </c>
      <c r="AA57" s="196" t="str">
        <f t="shared" si="116"/>
        <v>-</v>
      </c>
      <c r="AB57" s="196" t="str">
        <f t="shared" si="111"/>
        <v>-</v>
      </c>
      <c r="AC57" s="196" t="str">
        <f t="shared" si="112"/>
        <v>-</v>
      </c>
      <c r="AD57" s="170"/>
      <c r="AE57" s="174"/>
      <c r="AF57" s="302"/>
      <c r="AG57" s="303"/>
      <c r="AH57" s="196" t="str">
        <f t="shared" si="117"/>
        <v>-</v>
      </c>
      <c r="AI57" s="196">
        <v>1</v>
      </c>
      <c r="AJ57" s="196">
        <f t="shared" si="113"/>
        <v>0</v>
      </c>
      <c r="AK57" s="196" t="str">
        <f t="shared" si="114"/>
        <v>-</v>
      </c>
      <c r="AL57" s="196" t="str">
        <f t="shared" si="115"/>
        <v>-</v>
      </c>
      <c r="AM57" s="196" t="str">
        <f t="shared" si="118"/>
        <v>-</v>
      </c>
    </row>
    <row r="58" spans="17:61" x14ac:dyDescent="0.2">
      <c r="T58" s="274"/>
      <c r="U58" s="300"/>
      <c r="V58" s="301"/>
      <c r="W58" s="301"/>
      <c r="X58" s="275" t="str">
        <f t="shared" ref="X58:X59" si="136">IFERROR(U58/1000/V58/W58,"-")</f>
        <v>-</v>
      </c>
      <c r="Y58" s="275">
        <v>0.15</v>
      </c>
      <c r="Z58" s="275" t="str">
        <f t="shared" ref="Z58:Z59" si="137">IFERROR(4*V58*W58/(2*(V58+W58))*1000,"-")</f>
        <v>-</v>
      </c>
      <c r="AA58" s="275" t="str">
        <f t="shared" ref="AA58:AA59" si="138">IFERROR(66.4*X58*Z58,"-")</f>
        <v>-</v>
      </c>
      <c r="AB58" s="275" t="str">
        <f t="shared" ref="AB58:AB59" si="139">IFERROR(0.25/(LOG(Y58/Z58/3.7+5.74/AA58^0.9,10))^2,"-")</f>
        <v>-</v>
      </c>
      <c r="AC58" s="275" t="str">
        <f t="shared" ref="AC58:AC59" si="140">IFERROR(AB58*$W$5/2*X58^2/(Z58/1000),"-")</f>
        <v>-</v>
      </c>
    </row>
    <row r="59" spans="17:61" x14ac:dyDescent="0.2">
      <c r="T59" s="174"/>
      <c r="U59" s="303"/>
      <c r="V59" s="303"/>
      <c r="W59" s="303"/>
      <c r="X59" s="196" t="str">
        <f t="shared" si="136"/>
        <v>-</v>
      </c>
      <c r="Y59" s="196">
        <v>0.15</v>
      </c>
      <c r="Z59" s="196" t="str">
        <f t="shared" si="137"/>
        <v>-</v>
      </c>
      <c r="AA59" s="196" t="str">
        <f t="shared" si="138"/>
        <v>-</v>
      </c>
      <c r="AB59" s="196" t="str">
        <f t="shared" si="139"/>
        <v>-</v>
      </c>
      <c r="AC59" s="196" t="str">
        <f t="shared" si="140"/>
        <v>-</v>
      </c>
    </row>
    <row r="62" spans="17:61" ht="13.15" customHeight="1" x14ac:dyDescent="0.2"/>
    <row r="64" spans="17:61" x14ac:dyDescent="0.2">
      <c r="Q64" s="23"/>
    </row>
    <row r="65" spans="1:37" ht="13.5" thickBot="1" x14ac:dyDescent="0.25"/>
    <row r="66" spans="1:37" x14ac:dyDescent="0.2">
      <c r="K66" s="460" t="s">
        <v>26</v>
      </c>
      <c r="L66" s="461"/>
      <c r="M66" s="461"/>
      <c r="N66" s="461"/>
      <c r="O66" s="461"/>
      <c r="P66" s="461"/>
      <c r="Q66" s="461"/>
      <c r="R66" s="462"/>
      <c r="T66" s="463" t="s">
        <v>220</v>
      </c>
      <c r="U66" s="465" t="s">
        <v>58</v>
      </c>
      <c r="V66" s="466" t="s">
        <v>341</v>
      </c>
      <c r="W66" s="467"/>
      <c r="X66" s="467"/>
      <c r="Y66" s="467"/>
      <c r="Z66" s="467"/>
      <c r="AA66" s="467"/>
      <c r="AB66" s="467"/>
      <c r="AC66" s="468"/>
      <c r="AE66" s="469" t="s">
        <v>57</v>
      </c>
      <c r="AF66" s="451" t="s">
        <v>58</v>
      </c>
      <c r="AG66" s="453" t="s">
        <v>59</v>
      </c>
      <c r="AH66" s="454"/>
      <c r="AI66" s="454"/>
      <c r="AJ66" s="454"/>
      <c r="AK66" s="455"/>
    </row>
    <row r="67" spans="1:37" ht="14.25" x14ac:dyDescent="0.25">
      <c r="K67" s="146" t="s">
        <v>30</v>
      </c>
      <c r="L67" s="146" t="s">
        <v>31</v>
      </c>
      <c r="M67" s="71" t="s">
        <v>32</v>
      </c>
      <c r="N67" s="71" t="s">
        <v>132</v>
      </c>
      <c r="O67" s="71" t="s">
        <v>296</v>
      </c>
      <c r="P67" s="71" t="s">
        <v>130</v>
      </c>
      <c r="Q67" s="71" t="s">
        <v>294</v>
      </c>
      <c r="R67" s="71" t="s">
        <v>151</v>
      </c>
      <c r="T67" s="464"/>
      <c r="U67" s="452"/>
      <c r="V67" s="147" t="s">
        <v>340</v>
      </c>
      <c r="W67" s="147" t="s">
        <v>31</v>
      </c>
      <c r="X67" s="148" t="s">
        <v>32</v>
      </c>
      <c r="Y67" s="148" t="s">
        <v>132</v>
      </c>
      <c r="Z67" s="148" t="s">
        <v>296</v>
      </c>
      <c r="AA67" s="148" t="s">
        <v>130</v>
      </c>
      <c r="AB67" s="148" t="s">
        <v>294</v>
      </c>
      <c r="AC67" s="149" t="s">
        <v>151</v>
      </c>
      <c r="AE67" s="470"/>
      <c r="AF67" s="452"/>
      <c r="AG67" s="146" t="s">
        <v>30</v>
      </c>
      <c r="AH67" s="146" t="s">
        <v>31</v>
      </c>
      <c r="AI67" s="69" t="s">
        <v>147</v>
      </c>
      <c r="AJ67" s="69" t="s">
        <v>149</v>
      </c>
      <c r="AK67" s="69" t="s">
        <v>148</v>
      </c>
    </row>
    <row r="68" spans="1:37" ht="13.5" thickBot="1" x14ac:dyDescent="0.25">
      <c r="K68" s="71" t="s">
        <v>34</v>
      </c>
      <c r="L68" s="71" t="s">
        <v>34</v>
      </c>
      <c r="M68" s="71" t="s">
        <v>35</v>
      </c>
      <c r="N68" s="71" t="s">
        <v>103</v>
      </c>
      <c r="O68" s="71" t="s">
        <v>103</v>
      </c>
      <c r="P68" s="71"/>
      <c r="Q68" s="71"/>
      <c r="R68" s="71" t="s">
        <v>108</v>
      </c>
      <c r="T68" s="143"/>
      <c r="U68" s="150" t="s">
        <v>33</v>
      </c>
      <c r="V68" s="150" t="s">
        <v>34</v>
      </c>
      <c r="W68" s="150" t="s">
        <v>34</v>
      </c>
      <c r="X68" s="150" t="s">
        <v>35</v>
      </c>
      <c r="Y68" s="150" t="s">
        <v>103</v>
      </c>
      <c r="Z68" s="150" t="s">
        <v>103</v>
      </c>
      <c r="AA68" s="150"/>
      <c r="AB68" s="150"/>
      <c r="AC68" s="151" t="s">
        <v>108</v>
      </c>
      <c r="AE68" s="69"/>
      <c r="AF68" s="71" t="s">
        <v>33</v>
      </c>
      <c r="AG68" s="71" t="s">
        <v>34</v>
      </c>
      <c r="AH68" s="71" t="s">
        <v>34</v>
      </c>
      <c r="AI68" s="71" t="s">
        <v>146</v>
      </c>
      <c r="AJ68" s="71" t="s">
        <v>35</v>
      </c>
      <c r="AK68" s="71" t="s">
        <v>35</v>
      </c>
    </row>
    <row r="69" spans="1:37" x14ac:dyDescent="0.2">
      <c r="A69" s="69" t="s">
        <v>14</v>
      </c>
      <c r="B69" s="152" t="s">
        <v>5</v>
      </c>
      <c r="C69" s="152" t="s">
        <v>6</v>
      </c>
      <c r="D69" s="152" t="s">
        <v>0</v>
      </c>
      <c r="E69" s="152" t="s">
        <v>4</v>
      </c>
      <c r="F69" s="152" t="s">
        <v>1</v>
      </c>
      <c r="G69" s="152" t="s">
        <v>2</v>
      </c>
      <c r="H69" s="152" t="s">
        <v>3</v>
      </c>
      <c r="I69" s="69"/>
      <c r="J69" s="69"/>
      <c r="K69" s="69"/>
      <c r="L69" s="69"/>
      <c r="M69" s="69"/>
      <c r="N69" s="69"/>
      <c r="O69" s="69"/>
      <c r="P69" s="69"/>
      <c r="Q69" s="71"/>
      <c r="R69" s="69"/>
      <c r="T69" s="72"/>
      <c r="U69" s="72"/>
      <c r="V69" s="72"/>
      <c r="W69" s="72"/>
      <c r="X69" s="72"/>
      <c r="Y69" s="72"/>
      <c r="Z69" s="72"/>
      <c r="AA69" s="72"/>
      <c r="AB69" s="148"/>
      <c r="AC69" s="72"/>
      <c r="AE69" s="69"/>
      <c r="AF69" s="69"/>
      <c r="AG69" s="69"/>
      <c r="AH69" s="69"/>
      <c r="AI69" s="69"/>
      <c r="AJ69" s="69"/>
      <c r="AK69" s="69"/>
    </row>
    <row r="70" spans="1:37" x14ac:dyDescent="0.2">
      <c r="A70" s="259">
        <v>1</v>
      </c>
      <c r="B70" s="259">
        <v>2</v>
      </c>
      <c r="C70" s="259">
        <v>4</v>
      </c>
      <c r="D70" s="259">
        <v>375</v>
      </c>
      <c r="E70" s="245"/>
      <c r="F70" s="245">
        <v>3</v>
      </c>
      <c r="G70" s="245">
        <v>1.1000000000000001</v>
      </c>
      <c r="H70" s="260">
        <f>D70*F70*G70</f>
        <v>1237.5</v>
      </c>
      <c r="I70" s="261"/>
      <c r="J70" s="261"/>
      <c r="K70" s="262">
        <v>0.85</v>
      </c>
      <c r="L70" s="262">
        <v>0.4</v>
      </c>
      <c r="M70" s="228">
        <f>IFERROR(H70/K70/L70/1000,"-")</f>
        <v>3.6397058823529416</v>
      </c>
      <c r="N70" s="263">
        <f t="shared" ref="N70:N85" si="141">$W$7</f>
        <v>0.15</v>
      </c>
      <c r="O70" s="264">
        <f t="shared" ref="O70:O85" si="142">IFERROR(4*K70*L70/(2*(K70+L70))*1000,"-")</f>
        <v>544</v>
      </c>
      <c r="P70" s="265">
        <f t="shared" ref="P70:P85" si="143">IFERROR(66.4*O70*M70,"-")</f>
        <v>131472.00000000003</v>
      </c>
      <c r="Q70" s="266">
        <f>IFERROR(0.25/(LOG(N70/O70/3.7+5.74/P70^0.9,10))^2,"-")</f>
        <v>1.8614904345423875E-2</v>
      </c>
      <c r="R70" s="228">
        <f t="shared" ref="R70:R85" si="144">IFERROR(Q70*$W$5/2*M70^2/(O70/1000),"-")</f>
        <v>0.27289211143197956</v>
      </c>
      <c r="T70" s="259">
        <v>2</v>
      </c>
      <c r="U70" s="314">
        <f>IFERROR(H70/T70,"-")</f>
        <v>618.75</v>
      </c>
      <c r="V70" s="262">
        <v>0.45</v>
      </c>
      <c r="W70" s="262">
        <v>0.4</v>
      </c>
      <c r="X70" s="313">
        <f>IFERROR(U70/V70/W70/1000,"-")</f>
        <v>3.4375</v>
      </c>
      <c r="Y70" s="268">
        <f>$W$7</f>
        <v>0.15</v>
      </c>
      <c r="Z70" s="264">
        <f>IFERROR(4*V70*W70/(2*(V70+W70))*1000,"-")</f>
        <v>423.52941176470586</v>
      </c>
      <c r="AA70" s="265">
        <f>IFERROR(66.4*Z70*X70,"-")</f>
        <v>96670.588235294126</v>
      </c>
      <c r="AB70" s="266">
        <f>IFERROR(0.25/(LOG(Y70/Z70/3.7+5.74/AA70^0.9,10))^2,"-")</f>
        <v>1.9854775813093778E-2</v>
      </c>
      <c r="AC70" s="228">
        <f t="shared" ref="AC70:AC84" si="145">IFERROR(AB70*$W$5/2*X70^2/(Z70/1000),"-")</f>
        <v>0.33347502788920635</v>
      </c>
      <c r="AE70" s="260"/>
      <c r="AF70" s="272">
        <f>H70</f>
        <v>1237.5</v>
      </c>
      <c r="AG70" s="262">
        <v>0</v>
      </c>
      <c r="AH70" s="262">
        <v>0</v>
      </c>
      <c r="AI70" s="273">
        <v>0.5</v>
      </c>
      <c r="AJ70" s="228" t="str">
        <f>IFERROR(AF70/1000/AG70/AH70,"-")</f>
        <v>-</v>
      </c>
      <c r="AK70" s="228" t="str">
        <f>IFERROR(AJ70/AI70,"-")</f>
        <v>-</v>
      </c>
    </row>
    <row r="71" spans="1:37" x14ac:dyDescent="0.2">
      <c r="A71" s="71"/>
      <c r="B71" s="71"/>
      <c r="C71" s="71"/>
      <c r="D71" s="71"/>
      <c r="E71" s="69"/>
      <c r="F71" s="69"/>
      <c r="G71" s="69"/>
      <c r="H71" s="153"/>
      <c r="I71" s="153">
        <f>H70*0.85</f>
        <v>1051.875</v>
      </c>
      <c r="J71" s="153"/>
      <c r="K71" s="154"/>
      <c r="L71" s="154"/>
      <c r="M71" s="155" t="str">
        <f>IFERROR(I71/K71/L71/1000,"-")</f>
        <v>-</v>
      </c>
      <c r="N71" s="165">
        <f t="shared" si="141"/>
        <v>0.15</v>
      </c>
      <c r="O71" s="87" t="str">
        <f t="shared" si="142"/>
        <v>-</v>
      </c>
      <c r="P71" s="166" t="str">
        <f t="shared" si="143"/>
        <v>-</v>
      </c>
      <c r="Q71" s="167" t="str">
        <f>IFERROR(0.25/(LOG(N71/O71/3.7+5.74/P71^0.9,10))^2,"-")</f>
        <v>-</v>
      </c>
      <c r="R71" s="68" t="str">
        <f t="shared" si="144"/>
        <v>-</v>
      </c>
      <c r="T71" s="312">
        <v>4</v>
      </c>
      <c r="U71" s="315">
        <f>IFERROR(I71/T71,"-")</f>
        <v>262.96875</v>
      </c>
      <c r="V71" s="316">
        <v>0.35</v>
      </c>
      <c r="W71" s="316"/>
      <c r="X71" s="317">
        <f>IFERROR(U71/1000/(3.146/4*V71^2), "-")</f>
        <v>2.7294134436991584</v>
      </c>
      <c r="Y71" s="318">
        <v>1</v>
      </c>
      <c r="Z71" s="318">
        <f>V71*1000</f>
        <v>350</v>
      </c>
      <c r="AA71" s="318">
        <f t="shared" ref="AA71" si="146">IFERROR(66.4*X71*Z71,"-")</f>
        <v>63431.568431568448</v>
      </c>
      <c r="AB71" s="318">
        <f t="shared" ref="AB71" si="147">IFERROR(0.25/(LOG(Y71/Z71/3.7+5.74/AA71^0.9,10))^2,"-")</f>
        <v>2.8140098148192811E-2</v>
      </c>
      <c r="AC71" s="318">
        <f t="shared" si="145"/>
        <v>0.36057258831576694</v>
      </c>
      <c r="AE71" s="69"/>
      <c r="AF71" s="157">
        <f>I71</f>
        <v>1051.875</v>
      </c>
      <c r="AG71" s="158"/>
      <c r="AH71" s="158"/>
      <c r="AI71" s="158"/>
      <c r="AJ71" s="69"/>
      <c r="AK71" s="69"/>
    </row>
    <row r="72" spans="1:37" x14ac:dyDescent="0.2">
      <c r="A72" s="259"/>
      <c r="B72" s="259"/>
      <c r="C72" s="259"/>
      <c r="D72" s="259"/>
      <c r="E72" s="245"/>
      <c r="F72" s="245"/>
      <c r="G72" s="245"/>
      <c r="H72" s="260">
        <f>D72*F72*G72</f>
        <v>0</v>
      </c>
      <c r="I72" s="261"/>
      <c r="J72" s="261"/>
      <c r="K72" s="262">
        <v>0</v>
      </c>
      <c r="L72" s="262">
        <v>0</v>
      </c>
      <c r="M72" s="228" t="str">
        <f>IFERROR(H72/K72/L72/1000,"-")</f>
        <v>-</v>
      </c>
      <c r="N72" s="263">
        <f t="shared" si="141"/>
        <v>0.15</v>
      </c>
      <c r="O72" s="264" t="str">
        <f t="shared" si="142"/>
        <v>-</v>
      </c>
      <c r="P72" s="265" t="str">
        <f t="shared" si="143"/>
        <v>-</v>
      </c>
      <c r="Q72" s="266" t="str">
        <f t="shared" ref="Q72" si="148">IFERROR(0.25/(LOG(N72/O72/3.7+5.74/P72^0.9,10))^2,"-")</f>
        <v>-</v>
      </c>
      <c r="R72" s="228" t="str">
        <f t="shared" si="144"/>
        <v>-</v>
      </c>
      <c r="T72" s="259"/>
      <c r="U72" s="314" t="str">
        <f>IFERROR(H72/T72,"-")</f>
        <v>-</v>
      </c>
      <c r="V72" s="262"/>
      <c r="W72" s="262"/>
      <c r="X72" s="228" t="str">
        <f>IFERROR(U72/V72/W72/1000,"-")</f>
        <v>-</v>
      </c>
      <c r="Y72" s="268">
        <f>$W$7</f>
        <v>0.15</v>
      </c>
      <c r="Z72" s="264" t="str">
        <f>IFERROR(4*V72*W72/(2*(V72+W72))*1000,"-")</f>
        <v>-</v>
      </c>
      <c r="AA72" s="265" t="str">
        <f>IFERROR(66.4*Z72*X72,"-")</f>
        <v>-</v>
      </c>
      <c r="AB72" s="266" t="str">
        <f>IFERROR(0.25/(LOG(Y72/Z72/3.7+5.74/AA72^0.9,10))^2,"-")</f>
        <v>-</v>
      </c>
      <c r="AC72" s="228" t="str">
        <f t="shared" si="145"/>
        <v>-</v>
      </c>
      <c r="AE72" s="231"/>
      <c r="AF72" s="272">
        <f>H72</f>
        <v>0</v>
      </c>
      <c r="AG72" s="262">
        <v>0</v>
      </c>
      <c r="AH72" s="262">
        <v>0</v>
      </c>
      <c r="AI72" s="273">
        <v>0.5</v>
      </c>
      <c r="AJ72" s="228" t="str">
        <f>IFERROR(AF72/1000/AG72/AH72,"-")</f>
        <v>-</v>
      </c>
      <c r="AK72" s="228" t="str">
        <f>IFERROR(AJ72/AI72,"-")</f>
        <v>-</v>
      </c>
    </row>
    <row r="73" spans="1:37" x14ac:dyDescent="0.2">
      <c r="A73" s="69"/>
      <c r="B73" s="69"/>
      <c r="C73" s="69"/>
      <c r="D73" s="69"/>
      <c r="E73" s="69"/>
      <c r="F73" s="69"/>
      <c r="G73" s="69"/>
      <c r="H73" s="153"/>
      <c r="I73" s="153">
        <f>H72*0.85</f>
        <v>0</v>
      </c>
      <c r="J73" s="153"/>
      <c r="K73" s="154"/>
      <c r="L73" s="154"/>
      <c r="M73" s="155" t="str">
        <f>IFERROR(I73/K73/L73/1000,"-")</f>
        <v>-</v>
      </c>
      <c r="N73" s="165">
        <f t="shared" si="141"/>
        <v>0.15</v>
      </c>
      <c r="O73" s="87" t="str">
        <f t="shared" si="142"/>
        <v>-</v>
      </c>
      <c r="P73" s="166" t="str">
        <f t="shared" si="143"/>
        <v>-</v>
      </c>
      <c r="Q73" s="167" t="str">
        <f>IFERROR(0.25/(LOG(N73/O73/3.7+5.74/P73^0.9,10))^2,"-")</f>
        <v>-</v>
      </c>
      <c r="R73" s="68" t="str">
        <f t="shared" si="144"/>
        <v>-</v>
      </c>
      <c r="T73" s="312"/>
      <c r="U73" s="315" t="str">
        <f>IFERROR(I73/T73,"-")</f>
        <v>-</v>
      </c>
      <c r="V73" s="316"/>
      <c r="W73" s="316"/>
      <c r="X73" s="317" t="str">
        <f>IFERROR(U73/1000/(3.146/4*V73^2), "-")</f>
        <v>-</v>
      </c>
      <c r="Y73" s="318">
        <v>1</v>
      </c>
      <c r="Z73" s="318">
        <f>V73*1000</f>
        <v>0</v>
      </c>
      <c r="AA73" s="318" t="str">
        <f t="shared" ref="AA73" si="149">IFERROR(66.4*X73*Z73,"-")</f>
        <v>-</v>
      </c>
      <c r="AB73" s="318" t="str">
        <f t="shared" ref="AB73" si="150">IFERROR(0.25/(LOG(Y73/Z73/3.7+5.74/AA73^0.9,10))^2,"-")</f>
        <v>-</v>
      </c>
      <c r="AC73" s="318" t="str">
        <f t="shared" si="145"/>
        <v>-</v>
      </c>
      <c r="AE73" s="69"/>
      <c r="AF73" s="157">
        <f>I73</f>
        <v>0</v>
      </c>
      <c r="AG73" s="158"/>
      <c r="AH73" s="158"/>
      <c r="AI73" s="158"/>
      <c r="AJ73" s="69"/>
      <c r="AK73" s="69"/>
    </row>
    <row r="74" spans="1:37" x14ac:dyDescent="0.2">
      <c r="A74" s="259"/>
      <c r="B74" s="259"/>
      <c r="C74" s="259"/>
      <c r="D74" s="259"/>
      <c r="E74" s="245"/>
      <c r="F74" s="245"/>
      <c r="G74" s="245"/>
      <c r="H74" s="260">
        <f>D74*F74*G74</f>
        <v>0</v>
      </c>
      <c r="I74" s="261"/>
      <c r="J74" s="261"/>
      <c r="K74" s="262"/>
      <c r="L74" s="262"/>
      <c r="M74" s="228" t="str">
        <f>IFERROR(H74/K74/L74/1000,"-")</f>
        <v>-</v>
      </c>
      <c r="N74" s="263">
        <f t="shared" si="141"/>
        <v>0.15</v>
      </c>
      <c r="O74" s="264" t="str">
        <f t="shared" si="142"/>
        <v>-</v>
      </c>
      <c r="P74" s="265" t="str">
        <f t="shared" si="143"/>
        <v>-</v>
      </c>
      <c r="Q74" s="266" t="str">
        <f t="shared" ref="Q74" si="151">IFERROR(0.25/(LOG(N74/O74/3.7+5.74/P74^0.9,10))^2,"-")</f>
        <v>-</v>
      </c>
      <c r="R74" s="228" t="str">
        <f t="shared" si="144"/>
        <v>-</v>
      </c>
      <c r="T74" s="259"/>
      <c r="U74" s="314" t="str">
        <f>IFERROR(H74/T74,"-")</f>
        <v>-</v>
      </c>
      <c r="V74" s="262"/>
      <c r="W74" s="262"/>
      <c r="X74" s="228" t="str">
        <f>IFERROR(U74/V74/W74/1000,"-")</f>
        <v>-</v>
      </c>
      <c r="Y74" s="268">
        <f>$W$7</f>
        <v>0.15</v>
      </c>
      <c r="Z74" s="264" t="str">
        <f>IFERROR(4*V74*W74/(2*(V74+W74))*1000,"-")</f>
        <v>-</v>
      </c>
      <c r="AA74" s="265" t="str">
        <f>IFERROR(66.4*Z74*X74,"-")</f>
        <v>-</v>
      </c>
      <c r="AB74" s="266" t="str">
        <f>IFERROR(0.25/(LOG(Y74/Z74/3.7+5.74/AA74^0.9,10))^2,"-")</f>
        <v>-</v>
      </c>
      <c r="AC74" s="228" t="str">
        <f t="shared" si="145"/>
        <v>-</v>
      </c>
      <c r="AE74" s="231"/>
      <c r="AF74" s="272">
        <f>H74</f>
        <v>0</v>
      </c>
      <c r="AG74" s="262">
        <v>0</v>
      </c>
      <c r="AH74" s="262">
        <v>0</v>
      </c>
      <c r="AI74" s="273">
        <v>0.5</v>
      </c>
      <c r="AJ74" s="228" t="str">
        <f>IFERROR(AF74/1000/AG74/AH74,"-")</f>
        <v>-</v>
      </c>
      <c r="AK74" s="228" t="str">
        <f>IFERROR(AJ74/AI74,"-")</f>
        <v>-</v>
      </c>
    </row>
    <row r="75" spans="1:37" x14ac:dyDescent="0.2">
      <c r="A75" s="69"/>
      <c r="B75" s="159"/>
      <c r="C75" s="71"/>
      <c r="D75" s="71"/>
      <c r="E75" s="69"/>
      <c r="F75" s="69"/>
      <c r="G75" s="69"/>
      <c r="H75" s="153"/>
      <c r="I75" s="153">
        <f>H74*0.85</f>
        <v>0</v>
      </c>
      <c r="J75" s="153"/>
      <c r="K75" s="154"/>
      <c r="L75" s="154"/>
      <c r="M75" s="155" t="str">
        <f>IFERROR(I75/K75/L75/1000,"-")</f>
        <v>-</v>
      </c>
      <c r="N75" s="165">
        <f t="shared" si="141"/>
        <v>0.15</v>
      </c>
      <c r="O75" s="87" t="str">
        <f t="shared" si="142"/>
        <v>-</v>
      </c>
      <c r="P75" s="166" t="str">
        <f t="shared" si="143"/>
        <v>-</v>
      </c>
      <c r="Q75" s="167" t="str">
        <f>IFERROR(0.25/(LOG(N75/O75/3.7+5.74/P75^0.9,10))^2,"-")</f>
        <v>-</v>
      </c>
      <c r="R75" s="68" t="str">
        <f t="shared" si="144"/>
        <v>-</v>
      </c>
      <c r="T75" s="312"/>
      <c r="U75" s="315" t="str">
        <f>IFERROR(I75/T75,"-")</f>
        <v>-</v>
      </c>
      <c r="V75" s="316"/>
      <c r="W75" s="316"/>
      <c r="X75" s="317" t="str">
        <f>IFERROR(U75/1000/(3.146/4*V75^2), "-")</f>
        <v>-</v>
      </c>
      <c r="Y75" s="318">
        <v>1</v>
      </c>
      <c r="Z75" s="318">
        <f>V75*1000</f>
        <v>0</v>
      </c>
      <c r="AA75" s="318" t="str">
        <f t="shared" ref="AA75" si="152">IFERROR(66.4*X75*Z75,"-")</f>
        <v>-</v>
      </c>
      <c r="AB75" s="318" t="str">
        <f t="shared" ref="AB75" si="153">IFERROR(0.25/(LOG(Y75/Z75/3.7+5.74/AA75^0.9,10))^2,"-")</f>
        <v>-</v>
      </c>
      <c r="AC75" s="318" t="str">
        <f t="shared" si="145"/>
        <v>-</v>
      </c>
      <c r="AE75" s="69"/>
      <c r="AF75" s="157">
        <f>I75</f>
        <v>0</v>
      </c>
      <c r="AG75" s="158"/>
      <c r="AH75" s="158"/>
      <c r="AI75" s="158"/>
      <c r="AJ75" s="69"/>
      <c r="AK75" s="69"/>
    </row>
    <row r="76" spans="1:37" x14ac:dyDescent="0.2">
      <c r="A76" s="259"/>
      <c r="B76" s="259"/>
      <c r="C76" s="259"/>
      <c r="D76" s="259"/>
      <c r="E76" s="245"/>
      <c r="F76" s="245"/>
      <c r="G76" s="245"/>
      <c r="H76" s="260">
        <f>D76*F76*G76</f>
        <v>0</v>
      </c>
      <c r="I76" s="261"/>
      <c r="J76" s="261"/>
      <c r="K76" s="262"/>
      <c r="L76" s="262"/>
      <c r="M76" s="228" t="str">
        <f>IFERROR(H76/K76/L76/1000,"-")</f>
        <v>-</v>
      </c>
      <c r="N76" s="263">
        <f t="shared" si="141"/>
        <v>0.15</v>
      </c>
      <c r="O76" s="264" t="str">
        <f t="shared" si="142"/>
        <v>-</v>
      </c>
      <c r="P76" s="265" t="str">
        <f t="shared" si="143"/>
        <v>-</v>
      </c>
      <c r="Q76" s="266" t="str">
        <f t="shared" ref="Q76" si="154">IFERROR(0.25/(LOG(N76/O76/3.7+5.74/P76^0.9,10))^2,"-")</f>
        <v>-</v>
      </c>
      <c r="R76" s="228" t="str">
        <f t="shared" si="144"/>
        <v>-</v>
      </c>
      <c r="T76" s="259"/>
      <c r="U76" s="314" t="str">
        <f>IFERROR(H76/T76,"-")</f>
        <v>-</v>
      </c>
      <c r="V76" s="262"/>
      <c r="W76" s="262"/>
      <c r="X76" s="228" t="str">
        <f>IFERROR(U76/V76/W76/1000,"-")</f>
        <v>-</v>
      </c>
      <c r="Y76" s="268">
        <f>$W$7</f>
        <v>0.15</v>
      </c>
      <c r="Z76" s="264" t="str">
        <f>IFERROR(4*V76*W76/(2*(V76+W76))*1000,"-")</f>
        <v>-</v>
      </c>
      <c r="AA76" s="265" t="str">
        <f>IFERROR(66.4*Z76*X76,"-")</f>
        <v>-</v>
      </c>
      <c r="AB76" s="266" t="str">
        <f>IFERROR(0.25/(LOG(Y76/Z76/3.7+5.74/AA76^0.9,10))^2,"-")</f>
        <v>-</v>
      </c>
      <c r="AC76" s="228" t="str">
        <f t="shared" si="145"/>
        <v>-</v>
      </c>
      <c r="AE76" s="231"/>
      <c r="AF76" s="272">
        <f>H76</f>
        <v>0</v>
      </c>
      <c r="AG76" s="262">
        <v>0</v>
      </c>
      <c r="AH76" s="262">
        <v>0</v>
      </c>
      <c r="AI76" s="273">
        <v>0.5</v>
      </c>
      <c r="AJ76" s="228" t="str">
        <f>IFERROR(AF76/1000/AG76/AH76,"-")</f>
        <v>-</v>
      </c>
      <c r="AK76" s="228" t="str">
        <f>IFERROR(AJ76/AI76,"-")</f>
        <v>-</v>
      </c>
    </row>
    <row r="77" spans="1:37" x14ac:dyDescent="0.2">
      <c r="A77" s="69"/>
      <c r="B77" s="159"/>
      <c r="C77" s="71"/>
      <c r="D77" s="71"/>
      <c r="E77" s="69"/>
      <c r="F77" s="69"/>
      <c r="G77" s="69"/>
      <c r="H77" s="153"/>
      <c r="I77" s="153">
        <f>H76*0.85</f>
        <v>0</v>
      </c>
      <c r="J77" s="153"/>
      <c r="K77" s="154"/>
      <c r="L77" s="154"/>
      <c r="M77" s="155" t="str">
        <f>IFERROR(I77/K77/L77/1000,"-")</f>
        <v>-</v>
      </c>
      <c r="N77" s="165">
        <f t="shared" si="141"/>
        <v>0.15</v>
      </c>
      <c r="O77" s="87" t="str">
        <f t="shared" si="142"/>
        <v>-</v>
      </c>
      <c r="P77" s="166" t="str">
        <f t="shared" si="143"/>
        <v>-</v>
      </c>
      <c r="Q77" s="167" t="str">
        <f>IFERROR(0.25/(LOG(N77/O77/3.7+5.74/P77^0.9,10))^2,"-")</f>
        <v>-</v>
      </c>
      <c r="R77" s="68" t="str">
        <f t="shared" si="144"/>
        <v>-</v>
      </c>
      <c r="T77" s="312"/>
      <c r="U77" s="315" t="str">
        <f>IFERROR(I77/T77,"-")</f>
        <v>-</v>
      </c>
      <c r="V77" s="316"/>
      <c r="W77" s="316"/>
      <c r="X77" s="317" t="str">
        <f>IFERROR(U77/1000/(3.146/4*V77^2), "-")</f>
        <v>-</v>
      </c>
      <c r="Y77" s="318">
        <v>1</v>
      </c>
      <c r="Z77" s="318">
        <f>V77*1000</f>
        <v>0</v>
      </c>
      <c r="AA77" s="318" t="str">
        <f t="shared" ref="AA77" si="155">IFERROR(66.4*X77*Z77,"-")</f>
        <v>-</v>
      </c>
      <c r="AB77" s="318" t="str">
        <f t="shared" ref="AB77" si="156">IFERROR(0.25/(LOG(Y77/Z77/3.7+5.74/AA77^0.9,10))^2,"-")</f>
        <v>-</v>
      </c>
      <c r="AC77" s="318" t="str">
        <f t="shared" si="145"/>
        <v>-</v>
      </c>
      <c r="AE77" s="69"/>
      <c r="AF77" s="157">
        <f>I77</f>
        <v>0</v>
      </c>
      <c r="AG77" s="158"/>
      <c r="AH77" s="158"/>
      <c r="AI77" s="158"/>
      <c r="AJ77" s="69"/>
      <c r="AK77" s="69"/>
    </row>
    <row r="78" spans="1:37" x14ac:dyDescent="0.2">
      <c r="A78" s="259"/>
      <c r="B78" s="259"/>
      <c r="C78" s="259"/>
      <c r="D78" s="259"/>
      <c r="E78" s="245"/>
      <c r="F78" s="245"/>
      <c r="G78" s="245"/>
      <c r="H78" s="260">
        <f>D78*F78*G78</f>
        <v>0</v>
      </c>
      <c r="I78" s="261"/>
      <c r="J78" s="261"/>
      <c r="K78" s="262"/>
      <c r="L78" s="262"/>
      <c r="M78" s="228" t="str">
        <f>IFERROR(H78/K78/L78/1000,"-")</f>
        <v>-</v>
      </c>
      <c r="N78" s="263">
        <f t="shared" si="141"/>
        <v>0.15</v>
      </c>
      <c r="O78" s="264" t="str">
        <f t="shared" si="142"/>
        <v>-</v>
      </c>
      <c r="P78" s="265" t="str">
        <f t="shared" si="143"/>
        <v>-</v>
      </c>
      <c r="Q78" s="266" t="str">
        <f t="shared" ref="Q78" si="157">IFERROR(0.25/(LOG(N78/O78/3.7+5.74/P78^0.9,10))^2,"-")</f>
        <v>-</v>
      </c>
      <c r="R78" s="228" t="str">
        <f t="shared" si="144"/>
        <v>-</v>
      </c>
      <c r="T78" s="259"/>
      <c r="U78" s="314" t="str">
        <f>IFERROR(H78/T78,"-")</f>
        <v>-</v>
      </c>
      <c r="V78" s="262"/>
      <c r="W78" s="262"/>
      <c r="X78" s="228" t="str">
        <f>IFERROR(U78/V78/W78/1000,"-")</f>
        <v>-</v>
      </c>
      <c r="Y78" s="268">
        <f>$W$7</f>
        <v>0.15</v>
      </c>
      <c r="Z78" s="264" t="str">
        <f>IFERROR(4*V78*W78/(2*(V78+W78))*1000,"-")</f>
        <v>-</v>
      </c>
      <c r="AA78" s="265" t="str">
        <f>IFERROR(66.4*Z78*X78,"-")</f>
        <v>-</v>
      </c>
      <c r="AB78" s="266" t="str">
        <f>IFERROR(0.25/(LOG(Y78/Z78/3.7+5.74/AA78^0.9,10))^2,"-")</f>
        <v>-</v>
      </c>
      <c r="AC78" s="228" t="str">
        <f t="shared" si="145"/>
        <v>-</v>
      </c>
      <c r="AE78" s="231"/>
      <c r="AF78" s="272">
        <f>H78</f>
        <v>0</v>
      </c>
      <c r="AG78" s="262">
        <v>0</v>
      </c>
      <c r="AH78" s="262">
        <v>0</v>
      </c>
      <c r="AI78" s="273">
        <v>0.5</v>
      </c>
      <c r="AJ78" s="228" t="str">
        <f>IFERROR(AF78/1000/AG78/AH78,"-")</f>
        <v>-</v>
      </c>
      <c r="AK78" s="228" t="str">
        <f>IFERROR(AJ78/AI78,"-")</f>
        <v>-</v>
      </c>
    </row>
    <row r="79" spans="1:37" x14ac:dyDescent="0.2">
      <c r="A79" s="71"/>
      <c r="B79" s="159"/>
      <c r="C79" s="71"/>
      <c r="D79" s="71"/>
      <c r="E79" s="69"/>
      <c r="F79" s="69"/>
      <c r="G79" s="69"/>
      <c r="H79" s="153"/>
      <c r="I79" s="153">
        <f>H78*0.85</f>
        <v>0</v>
      </c>
      <c r="J79" s="153"/>
      <c r="K79" s="154"/>
      <c r="L79" s="154"/>
      <c r="M79" s="155" t="str">
        <f>IFERROR(I79/K79/L79/1000,"-")</f>
        <v>-</v>
      </c>
      <c r="N79" s="165">
        <f t="shared" si="141"/>
        <v>0.15</v>
      </c>
      <c r="O79" s="87" t="str">
        <f t="shared" si="142"/>
        <v>-</v>
      </c>
      <c r="P79" s="166" t="str">
        <f t="shared" si="143"/>
        <v>-</v>
      </c>
      <c r="Q79" s="167" t="str">
        <f>IFERROR(0.25/(LOG(N79/O79/3.7+5.74/P79^0.9,10))^2,"-")</f>
        <v>-</v>
      </c>
      <c r="R79" s="68" t="str">
        <f t="shared" si="144"/>
        <v>-</v>
      </c>
      <c r="T79" s="312"/>
      <c r="U79" s="315" t="str">
        <f>IFERROR(I79/T79,"-")</f>
        <v>-</v>
      </c>
      <c r="V79" s="316"/>
      <c r="W79" s="316"/>
      <c r="X79" s="317" t="str">
        <f>IFERROR(U79/1000/(3.146/4*V79^2), "-")</f>
        <v>-</v>
      </c>
      <c r="Y79" s="318">
        <v>1</v>
      </c>
      <c r="Z79" s="318">
        <f>V79*1000</f>
        <v>0</v>
      </c>
      <c r="AA79" s="318" t="str">
        <f t="shared" ref="AA79" si="158">IFERROR(66.4*X79*Z79,"-")</f>
        <v>-</v>
      </c>
      <c r="AB79" s="318" t="str">
        <f t="shared" ref="AB79" si="159">IFERROR(0.25/(LOG(Y79/Z79/3.7+5.74/AA79^0.9,10))^2,"-")</f>
        <v>-</v>
      </c>
      <c r="AC79" s="318" t="str">
        <f t="shared" si="145"/>
        <v>-</v>
      </c>
      <c r="AE79" s="69"/>
      <c r="AF79" s="157">
        <f>I79</f>
        <v>0</v>
      </c>
      <c r="AG79" s="158"/>
      <c r="AH79" s="158"/>
      <c r="AI79" s="158"/>
      <c r="AJ79" s="69"/>
      <c r="AK79" s="69"/>
    </row>
    <row r="80" spans="1:37" x14ac:dyDescent="0.2">
      <c r="A80" s="259"/>
      <c r="B80" s="259"/>
      <c r="C80" s="259"/>
      <c r="D80" s="259"/>
      <c r="E80" s="245"/>
      <c r="F80" s="245"/>
      <c r="G80" s="245"/>
      <c r="H80" s="260">
        <f>D80*F80*G80</f>
        <v>0</v>
      </c>
      <c r="I80" s="261"/>
      <c r="J80" s="231"/>
      <c r="K80" s="267"/>
      <c r="L80" s="267"/>
      <c r="M80" s="228" t="str">
        <f>IFERROR(H80/K80/L80/1000,"-")</f>
        <v>-</v>
      </c>
      <c r="N80" s="263">
        <f t="shared" si="141"/>
        <v>0.15</v>
      </c>
      <c r="O80" s="264" t="str">
        <f t="shared" si="142"/>
        <v>-</v>
      </c>
      <c r="P80" s="265" t="str">
        <f t="shared" si="143"/>
        <v>-</v>
      </c>
      <c r="Q80" s="266" t="str">
        <f t="shared" ref="Q80:Q85" si="160">IFERROR(0.25/(LOG(N80/O80/3.7+5.74/P80^0.9,10))^2,"-")</f>
        <v>-</v>
      </c>
      <c r="R80" s="228" t="str">
        <f t="shared" si="144"/>
        <v>-</v>
      </c>
      <c r="T80" s="259"/>
      <c r="U80" s="314" t="str">
        <f>IFERROR(H80/T80,"-")</f>
        <v>-</v>
      </c>
      <c r="V80" s="262"/>
      <c r="W80" s="262"/>
      <c r="X80" s="228" t="str">
        <f>IFERROR(U80/V80/W80/1000,"-")</f>
        <v>-</v>
      </c>
      <c r="Y80" s="268">
        <f>$W$7</f>
        <v>0.15</v>
      </c>
      <c r="Z80" s="264" t="str">
        <f>IFERROR(4*V80*W80/(2*(V80+W80))*1000,"-")</f>
        <v>-</v>
      </c>
      <c r="AA80" s="265" t="str">
        <f>IFERROR(66.4*Z80*X80,"-")</f>
        <v>-</v>
      </c>
      <c r="AB80" s="266" t="str">
        <f>IFERROR(0.25/(LOG(Y80/Z80/3.7+5.74/AA80^0.9,10))^2,"-")</f>
        <v>-</v>
      </c>
      <c r="AC80" s="228" t="str">
        <f t="shared" si="145"/>
        <v>-</v>
      </c>
      <c r="AE80" s="231"/>
      <c r="AF80" s="272">
        <f>H80</f>
        <v>0</v>
      </c>
      <c r="AG80" s="262">
        <v>0</v>
      </c>
      <c r="AH80" s="262">
        <v>0</v>
      </c>
      <c r="AI80" s="273">
        <v>0.5</v>
      </c>
      <c r="AJ80" s="228" t="str">
        <f>IFERROR(AF80/1000/AG80/AH80,"-")</f>
        <v>-</v>
      </c>
      <c r="AK80" s="228" t="str">
        <f>IFERROR(AJ80/AI80,"-")</f>
        <v>-</v>
      </c>
    </row>
    <row r="81" spans="1:37" x14ac:dyDescent="0.2">
      <c r="A81" s="69"/>
      <c r="B81" s="69"/>
      <c r="C81" s="69"/>
      <c r="D81" s="69"/>
      <c r="E81" s="69"/>
      <c r="F81" s="69"/>
      <c r="G81" s="69"/>
      <c r="H81" s="153"/>
      <c r="I81" s="153">
        <f>H80*0.85</f>
        <v>0</v>
      </c>
      <c r="J81" s="153"/>
      <c r="K81" s="160"/>
      <c r="L81" s="160"/>
      <c r="M81" s="155" t="str">
        <f>IFERROR(I81/K81/L81/1000,"-")</f>
        <v>-</v>
      </c>
      <c r="N81" s="165">
        <f t="shared" si="141"/>
        <v>0.15</v>
      </c>
      <c r="O81" s="87" t="str">
        <f t="shared" si="142"/>
        <v>-</v>
      </c>
      <c r="P81" s="166" t="str">
        <f t="shared" si="143"/>
        <v>-</v>
      </c>
      <c r="Q81" s="167" t="str">
        <f t="shared" si="160"/>
        <v>-</v>
      </c>
      <c r="R81" s="68" t="str">
        <f t="shared" si="144"/>
        <v>-</v>
      </c>
      <c r="T81" s="312"/>
      <c r="U81" s="315" t="str">
        <f>IFERROR(I81/T81,"-")</f>
        <v>-</v>
      </c>
      <c r="V81" s="316"/>
      <c r="W81" s="316"/>
      <c r="X81" s="317" t="str">
        <f>IFERROR(U81/1000/(3.146/4*V81^2), "-")</f>
        <v>-</v>
      </c>
      <c r="Y81" s="318">
        <v>1</v>
      </c>
      <c r="Z81" s="318">
        <f>V81*1000</f>
        <v>0</v>
      </c>
      <c r="AA81" s="318" t="str">
        <f t="shared" ref="AA81" si="161">IFERROR(66.4*X81*Z81,"-")</f>
        <v>-</v>
      </c>
      <c r="AB81" s="318" t="str">
        <f t="shared" ref="AB81" si="162">IFERROR(0.25/(LOG(Y81/Z81/3.7+5.74/AA81^0.9,10))^2,"-")</f>
        <v>-</v>
      </c>
      <c r="AC81" s="318" t="str">
        <f t="shared" si="145"/>
        <v>-</v>
      </c>
      <c r="AE81" s="69"/>
      <c r="AF81" s="157">
        <f>I81</f>
        <v>0</v>
      </c>
      <c r="AG81" s="158"/>
      <c r="AH81" s="158"/>
      <c r="AI81" s="158"/>
      <c r="AJ81" s="69"/>
      <c r="AK81" s="69"/>
    </row>
    <row r="82" spans="1:37" x14ac:dyDescent="0.2">
      <c r="A82" s="259"/>
      <c r="B82" s="259"/>
      <c r="C82" s="259"/>
      <c r="D82" s="259"/>
      <c r="E82" s="245"/>
      <c r="F82" s="245"/>
      <c r="G82" s="245"/>
      <c r="H82" s="260">
        <f>D82*F82*G82</f>
        <v>0</v>
      </c>
      <c r="I82" s="261"/>
      <c r="J82" s="231"/>
      <c r="K82" s="267"/>
      <c r="L82" s="267"/>
      <c r="M82" s="228" t="str">
        <f>IFERROR(H82/K82/L82/1000,"-")</f>
        <v>-</v>
      </c>
      <c r="N82" s="263">
        <f t="shared" si="141"/>
        <v>0.15</v>
      </c>
      <c r="O82" s="264" t="str">
        <f t="shared" si="142"/>
        <v>-</v>
      </c>
      <c r="P82" s="265" t="str">
        <f t="shared" si="143"/>
        <v>-</v>
      </c>
      <c r="Q82" s="266" t="str">
        <f t="shared" si="160"/>
        <v>-</v>
      </c>
      <c r="R82" s="228" t="str">
        <f t="shared" si="144"/>
        <v>-</v>
      </c>
      <c r="T82" s="259"/>
      <c r="U82" s="314" t="str">
        <f>IFERROR(H82/T82,"-")</f>
        <v>-</v>
      </c>
      <c r="V82" s="262"/>
      <c r="W82" s="262"/>
      <c r="X82" s="228" t="str">
        <f>IFERROR(U82/V82/W82/1000,"-")</f>
        <v>-</v>
      </c>
      <c r="Y82" s="268">
        <f>$W$7</f>
        <v>0.15</v>
      </c>
      <c r="Z82" s="264" t="str">
        <f>IFERROR(4*V82*W82/(2*(V82+W82))*1000,"-")</f>
        <v>-</v>
      </c>
      <c r="AA82" s="265" t="str">
        <f>IFERROR(66.4*Z82*X82,"-")</f>
        <v>-</v>
      </c>
      <c r="AB82" s="266" t="str">
        <f>IFERROR(0.25/(LOG(Y82/Z82/3.7+5.74/AA82^0.9,10))^2,"-")</f>
        <v>-</v>
      </c>
      <c r="AC82" s="228" t="str">
        <f t="shared" si="145"/>
        <v>-</v>
      </c>
      <c r="AE82" s="231"/>
      <c r="AF82" s="272">
        <f>H82</f>
        <v>0</v>
      </c>
      <c r="AG82" s="262">
        <v>0</v>
      </c>
      <c r="AH82" s="262">
        <v>0</v>
      </c>
      <c r="AI82" s="273">
        <v>0.5</v>
      </c>
      <c r="AJ82" s="228" t="str">
        <f>IFERROR(AF82/1000/AG82/AH82,"-")</f>
        <v>-</v>
      </c>
      <c r="AK82" s="228" t="str">
        <f>IFERROR(AJ82/AI82,"-")</f>
        <v>-</v>
      </c>
    </row>
    <row r="83" spans="1:37" x14ac:dyDescent="0.2">
      <c r="A83" s="69"/>
      <c r="B83" s="159"/>
      <c r="C83" s="71"/>
      <c r="D83" s="71"/>
      <c r="E83" s="69"/>
      <c r="F83" s="69"/>
      <c r="G83" s="69"/>
      <c r="H83" s="153"/>
      <c r="I83" s="153">
        <f>H82*0.85</f>
        <v>0</v>
      </c>
      <c r="J83" s="153"/>
      <c r="K83" s="158"/>
      <c r="L83" s="158"/>
      <c r="M83" s="155" t="str">
        <f>IFERROR(I83/K83/L83/1000,"-")</f>
        <v>-</v>
      </c>
      <c r="N83" s="165">
        <f t="shared" si="141"/>
        <v>0.15</v>
      </c>
      <c r="O83" s="87" t="str">
        <f t="shared" si="142"/>
        <v>-</v>
      </c>
      <c r="P83" s="166" t="str">
        <f t="shared" si="143"/>
        <v>-</v>
      </c>
      <c r="Q83" s="167" t="str">
        <f t="shared" si="160"/>
        <v>-</v>
      </c>
      <c r="R83" s="68" t="str">
        <f t="shared" si="144"/>
        <v>-</v>
      </c>
      <c r="T83" s="312"/>
      <c r="U83" s="315" t="str">
        <f>IFERROR(I83/T83,"-")</f>
        <v>-</v>
      </c>
      <c r="V83" s="316"/>
      <c r="W83" s="316"/>
      <c r="X83" s="317" t="str">
        <f>IFERROR(U83/1000/(3.146/4*V83^2), "-")</f>
        <v>-</v>
      </c>
      <c r="Y83" s="318">
        <v>1</v>
      </c>
      <c r="Z83" s="318">
        <f>V83*1000</f>
        <v>0</v>
      </c>
      <c r="AA83" s="318" t="str">
        <f t="shared" ref="AA83" si="163">IFERROR(66.4*X83*Z83,"-")</f>
        <v>-</v>
      </c>
      <c r="AB83" s="318" t="str">
        <f t="shared" ref="AB83" si="164">IFERROR(0.25/(LOG(Y83/Z83/3.7+5.74/AA83^0.9,10))^2,"-")</f>
        <v>-</v>
      </c>
      <c r="AC83" s="318" t="str">
        <f t="shared" si="145"/>
        <v>-</v>
      </c>
      <c r="AE83" s="69"/>
      <c r="AF83" s="157">
        <f>I83</f>
        <v>0</v>
      </c>
      <c r="AG83" s="158"/>
      <c r="AH83" s="158"/>
      <c r="AI83" s="158"/>
      <c r="AJ83" s="69"/>
      <c r="AK83" s="69"/>
    </row>
    <row r="84" spans="1:37" x14ac:dyDescent="0.2">
      <c r="A84" s="259"/>
      <c r="B84" s="259"/>
      <c r="C84" s="259"/>
      <c r="D84" s="259"/>
      <c r="E84" s="245"/>
      <c r="F84" s="245"/>
      <c r="G84" s="245"/>
      <c r="H84" s="260">
        <f>D84*F84*G84</f>
        <v>0</v>
      </c>
      <c r="I84" s="261"/>
      <c r="J84" s="231"/>
      <c r="K84" s="245"/>
      <c r="L84" s="245"/>
      <c r="M84" s="228" t="str">
        <f>IFERROR(H84/K84/L84/1000,"-")</f>
        <v>-</v>
      </c>
      <c r="N84" s="263">
        <f t="shared" si="141"/>
        <v>0.15</v>
      </c>
      <c r="O84" s="264" t="str">
        <f t="shared" si="142"/>
        <v>-</v>
      </c>
      <c r="P84" s="265" t="str">
        <f t="shared" si="143"/>
        <v>-</v>
      </c>
      <c r="Q84" s="266" t="str">
        <f t="shared" si="160"/>
        <v>-</v>
      </c>
      <c r="R84" s="228" t="str">
        <f t="shared" si="144"/>
        <v>-</v>
      </c>
      <c r="T84" s="259"/>
      <c r="U84" s="314" t="str">
        <f>IFERROR(H84/T84,"-")</f>
        <v>-</v>
      </c>
      <c r="V84" s="262"/>
      <c r="W84" s="262"/>
      <c r="X84" s="228" t="str">
        <f>IFERROR(U84/V84/W84/1000,"-")</f>
        <v>-</v>
      </c>
      <c r="Y84" s="268">
        <f>$W$7</f>
        <v>0.15</v>
      </c>
      <c r="Z84" s="264" t="str">
        <f>IFERROR(4*V84*W84/(2*(V84+W84))*1000,"-")</f>
        <v>-</v>
      </c>
      <c r="AA84" s="265" t="str">
        <f>IFERROR(66.4*Z84*X84,"-")</f>
        <v>-</v>
      </c>
      <c r="AB84" s="266" t="str">
        <f>IFERROR(0.25/(LOG(Y84/Z84/3.7+5.74/AA84^0.9,10))^2,"-")</f>
        <v>-</v>
      </c>
      <c r="AC84" s="228" t="str">
        <f t="shared" si="145"/>
        <v>-</v>
      </c>
      <c r="AE84" s="231"/>
      <c r="AF84" s="272">
        <f>H84</f>
        <v>0</v>
      </c>
      <c r="AG84" s="262">
        <v>0</v>
      </c>
      <c r="AH84" s="262">
        <v>0</v>
      </c>
      <c r="AI84" s="273">
        <v>0.5</v>
      </c>
      <c r="AJ84" s="228" t="str">
        <f>IFERROR(AF84/1000/AG84/AH84,"-")</f>
        <v>-</v>
      </c>
      <c r="AK84" s="228" t="str">
        <f>IFERROR(AJ84/AI84,"-")</f>
        <v>-</v>
      </c>
    </row>
    <row r="85" spans="1:37" x14ac:dyDescent="0.2">
      <c r="A85" s="69"/>
      <c r="B85" s="159"/>
      <c r="C85" s="71"/>
      <c r="D85" s="71"/>
      <c r="E85" s="69"/>
      <c r="F85" s="69"/>
      <c r="G85" s="69"/>
      <c r="H85" s="153"/>
      <c r="I85" s="153">
        <f>H84*0.85</f>
        <v>0</v>
      </c>
      <c r="J85" s="153"/>
      <c r="K85" s="158"/>
      <c r="L85" s="158"/>
      <c r="M85" s="155" t="str">
        <f>IFERROR(I85/K85/L85/1000,"-")</f>
        <v>-</v>
      </c>
      <c r="N85" s="165">
        <f t="shared" si="141"/>
        <v>0.15</v>
      </c>
      <c r="O85" s="87" t="str">
        <f t="shared" si="142"/>
        <v>-</v>
      </c>
      <c r="P85" s="166" t="str">
        <f t="shared" si="143"/>
        <v>-</v>
      </c>
      <c r="Q85" s="167" t="str">
        <f t="shared" si="160"/>
        <v>-</v>
      </c>
      <c r="R85" s="68" t="str">
        <f t="shared" si="144"/>
        <v>-</v>
      </c>
      <c r="AE85" s="69"/>
      <c r="AF85" s="157">
        <f>I85</f>
        <v>0</v>
      </c>
      <c r="AG85" s="158"/>
      <c r="AH85" s="158"/>
      <c r="AI85" s="158"/>
      <c r="AJ85" s="69"/>
      <c r="AK85" s="69"/>
    </row>
    <row r="86" spans="1:37" x14ac:dyDescent="0.2">
      <c r="R86" s="161"/>
    </row>
    <row r="87" spans="1:37" x14ac:dyDescent="0.2">
      <c r="G87" s="231" t="s">
        <v>221</v>
      </c>
      <c r="H87" s="260">
        <f>SUM(H70:H86)</f>
        <v>1237.5</v>
      </c>
      <c r="I87" s="231"/>
      <c r="J87" s="231"/>
      <c r="K87" s="262">
        <v>1</v>
      </c>
      <c r="L87" s="262">
        <v>1</v>
      </c>
      <c r="M87" s="228">
        <f>IFERROR(H87/K87/L87/1000,"-")</f>
        <v>1.2375</v>
      </c>
      <c r="N87" s="268">
        <f>$W$7</f>
        <v>0.15</v>
      </c>
      <c r="O87" s="264">
        <f>IFERROR(4*K87*L87/(2*(K87+L87))*1000,"-")</f>
        <v>1000</v>
      </c>
      <c r="P87" s="265">
        <f>IFERROR(66.4*O87*M87,"-")</f>
        <v>82170</v>
      </c>
      <c r="Q87" s="266">
        <f>IFERROR(0.25/(LOG(N87/O87/3.7+5.74/P87^0.9,10))^2,"-")</f>
        <v>1.9399686745623604E-2</v>
      </c>
      <c r="R87" s="228">
        <f>IFERROR(Q87*$W$5/2*M87^2/(O87/1000),"-")</f>
        <v>1.7884698521234667E-2</v>
      </c>
      <c r="AE87" s="231" t="s">
        <v>284</v>
      </c>
      <c r="AF87" s="269">
        <f>SUM(AF70,AF72,AF74,AF76,AF78,AF80,AF82,AF84)</f>
        <v>1237.5</v>
      </c>
      <c r="AG87" s="262">
        <v>0</v>
      </c>
      <c r="AH87" s="262">
        <v>0</v>
      </c>
      <c r="AI87" s="273">
        <v>0.5</v>
      </c>
      <c r="AJ87" s="228" t="str">
        <f>IFERROR(AF87/1000/AG87/AH87,"-")</f>
        <v>-</v>
      </c>
      <c r="AK87" s="228" t="str">
        <f>IFERROR(AJ87/AI87,"-")</f>
        <v>-</v>
      </c>
    </row>
    <row r="88" spans="1:37" x14ac:dyDescent="0.2">
      <c r="G88" s="69" t="s">
        <v>295</v>
      </c>
      <c r="H88" s="88"/>
      <c r="I88" s="88">
        <f>SUM(I70:I87)</f>
        <v>1051.875</v>
      </c>
      <c r="J88" s="88"/>
      <c r="K88" s="163">
        <v>0</v>
      </c>
      <c r="L88" s="163">
        <v>0</v>
      </c>
      <c r="M88" s="155" t="str">
        <f>IFERROR(I88/K88/L88/1000,"-")</f>
        <v>-</v>
      </c>
      <c r="N88" s="168">
        <f>$W$7</f>
        <v>0.15</v>
      </c>
      <c r="O88" s="87" t="str">
        <f>IFERROR(4*K88*L88/(2*(K88+L88))*1000,"-")</f>
        <v>-</v>
      </c>
      <c r="P88" s="166" t="str">
        <f>IFERROR(66.4*O88*M88,"-")</f>
        <v>-</v>
      </c>
      <c r="Q88" s="167" t="str">
        <f t="shared" ref="Q88" si="165">IFERROR(0.25/(LOG(N88/O88/3.7+5.74/P88^0.9,10))^2,"-")</f>
        <v>-</v>
      </c>
      <c r="R88" s="68" t="str">
        <f>IFERROR(Q88*$W$5/2*M88^2/(O88/1000),"-")</f>
        <v>-</v>
      </c>
      <c r="AE88" s="69" t="s">
        <v>285</v>
      </c>
      <c r="AF88" s="162">
        <f>SUM(AF71,AF73,AF75,AF77,AF79,AF81,AF83,AF85)</f>
        <v>1051.875</v>
      </c>
      <c r="AG88" s="163">
        <v>0</v>
      </c>
      <c r="AH88" s="163">
        <v>0</v>
      </c>
      <c r="AI88" s="164">
        <v>0.5</v>
      </c>
      <c r="AJ88" s="68" t="str">
        <f>IFERROR(AF88/1000/AG88/AH88,"-")</f>
        <v>-</v>
      </c>
      <c r="AK88" s="68" t="str">
        <f>IFERROR(AJ88/AI88,"-")</f>
        <v>-</v>
      </c>
    </row>
  </sheetData>
  <mergeCells count="21">
    <mergeCell ref="AZ23:BI23"/>
    <mergeCell ref="BB24:BC24"/>
    <mergeCell ref="V48:W48"/>
    <mergeCell ref="AG22:AK22"/>
    <mergeCell ref="U22:U23"/>
    <mergeCell ref="T47:AC47"/>
    <mergeCell ref="AE47:AM47"/>
    <mergeCell ref="AF66:AF67"/>
    <mergeCell ref="AG66:AK66"/>
    <mergeCell ref="AO23:AX23"/>
    <mergeCell ref="AQ24:AR24"/>
    <mergeCell ref="K66:R66"/>
    <mergeCell ref="T66:T67"/>
    <mergeCell ref="U66:U67"/>
    <mergeCell ref="V66:AC66"/>
    <mergeCell ref="AE66:AE67"/>
    <mergeCell ref="T22:T23"/>
    <mergeCell ref="V22:AC22"/>
    <mergeCell ref="K22:R22"/>
    <mergeCell ref="AF22:AF23"/>
    <mergeCell ref="AE22:AE23"/>
  </mergeCells>
  <phoneticPr fontId="20" type="noConversion"/>
  <dataValidations disablePrompts="1" count="1">
    <dataValidation type="list" allowBlank="1" showInputMessage="1" showErrorMessage="1" sqref="W6" xr:uid="{8F572479-3257-4F5E-847C-BCCC430BF596}">
      <formula1>$U$10:$U$15</formula1>
    </dataValidation>
  </dataValidations>
  <pageMargins left="0.7" right="0.7" top="0.75" bottom="0.75" header="0.3" footer="0.3"/>
  <pageSetup paperSize="9" orientation="portrait" r:id="rId1"/>
  <drawing r:id="rId2"/>
  <legacyDrawing r:id="rId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EC8C51E-B10F-4EE0-8118-027D78FAE3A0}">
  <dimension ref="A1:N66"/>
  <sheetViews>
    <sheetView topLeftCell="A37" zoomScale="124" zoomScaleNormal="124" workbookViewId="0">
      <selection activeCell="B53" sqref="B53"/>
    </sheetView>
  </sheetViews>
  <sheetFormatPr defaultColWidth="8.85546875" defaultRowHeight="11.25" x14ac:dyDescent="0.2"/>
  <cols>
    <col min="1" max="1" width="6.7109375" style="323" customWidth="1"/>
    <col min="2" max="2" width="91.85546875" style="323" customWidth="1"/>
    <col min="3" max="14" width="8.7109375" style="323" customWidth="1"/>
    <col min="15" max="16384" width="8.85546875" style="323"/>
  </cols>
  <sheetData>
    <row r="1" spans="1:14" s="319" customFormat="1" x14ac:dyDescent="0.2">
      <c r="B1" s="320" t="s">
        <v>342</v>
      </c>
      <c r="C1" s="321"/>
      <c r="D1" s="321"/>
      <c r="E1" s="321"/>
      <c r="F1" s="321"/>
      <c r="G1" s="321"/>
      <c r="H1" s="321"/>
      <c r="I1" s="321"/>
    </row>
    <row r="2" spans="1:14" s="319" customFormat="1" x14ac:dyDescent="0.2">
      <c r="B2" s="320" t="s">
        <v>343</v>
      </c>
      <c r="C2" s="321"/>
      <c r="D2" s="321"/>
      <c r="E2" s="321"/>
      <c r="F2" s="321"/>
      <c r="G2" s="321"/>
      <c r="H2" s="321"/>
      <c r="I2" s="321"/>
    </row>
    <row r="3" spans="1:14" ht="18.75" x14ac:dyDescent="0.3">
      <c r="A3" s="322" t="s">
        <v>344</v>
      </c>
    </row>
    <row r="4" spans="1:14" x14ac:dyDescent="0.2">
      <c r="B4" s="320"/>
    </row>
    <row r="5" spans="1:14" s="324" customFormat="1" x14ac:dyDescent="0.2">
      <c r="A5" s="476" t="s">
        <v>345</v>
      </c>
      <c r="B5" s="476" t="s">
        <v>346</v>
      </c>
      <c r="C5" s="477" t="s">
        <v>347</v>
      </c>
      <c r="D5" s="477"/>
      <c r="E5" s="477"/>
      <c r="F5" s="477"/>
      <c r="G5" s="478" t="s">
        <v>348</v>
      </c>
      <c r="H5" s="478"/>
      <c r="I5" s="478"/>
      <c r="J5" s="478"/>
      <c r="K5" s="479" t="s">
        <v>349</v>
      </c>
      <c r="L5" s="479"/>
      <c r="M5" s="479"/>
      <c r="N5" s="479"/>
    </row>
    <row r="6" spans="1:14" s="324" customFormat="1" x14ac:dyDescent="0.2">
      <c r="A6" s="476"/>
      <c r="B6" s="476"/>
      <c r="C6" s="325" t="s">
        <v>350</v>
      </c>
      <c r="D6" s="334" t="s">
        <v>397</v>
      </c>
      <c r="E6" s="325" t="s">
        <v>153</v>
      </c>
      <c r="F6" s="334" t="s">
        <v>399</v>
      </c>
      <c r="G6" s="326" t="s">
        <v>350</v>
      </c>
      <c r="H6" s="326"/>
      <c r="I6" s="326" t="s">
        <v>153</v>
      </c>
      <c r="J6" s="326"/>
      <c r="K6" s="327" t="s">
        <v>350</v>
      </c>
      <c r="L6" s="327"/>
      <c r="M6" s="327" t="s">
        <v>153</v>
      </c>
      <c r="N6" s="327"/>
    </row>
    <row r="7" spans="1:14" s="324" customFormat="1" x14ac:dyDescent="0.2">
      <c r="A7" s="480" t="s">
        <v>386</v>
      </c>
      <c r="B7" s="481"/>
      <c r="C7" s="481"/>
      <c r="D7" s="481"/>
      <c r="E7" s="481"/>
      <c r="F7" s="481"/>
      <c r="G7" s="481"/>
      <c r="H7" s="481"/>
      <c r="I7" s="481"/>
      <c r="J7" s="481"/>
      <c r="K7" s="481"/>
      <c r="L7" s="481"/>
      <c r="M7" s="481"/>
      <c r="N7" s="482"/>
    </row>
    <row r="8" spans="1:14" s="324" customFormat="1" x14ac:dyDescent="0.2">
      <c r="A8" s="328">
        <v>1.1000000000000001</v>
      </c>
      <c r="B8" s="330" t="s">
        <v>392</v>
      </c>
      <c r="C8" s="472" t="s">
        <v>398</v>
      </c>
      <c r="D8" s="473"/>
      <c r="E8" s="473"/>
      <c r="F8" s="474"/>
      <c r="G8" s="472"/>
      <c r="H8" s="473"/>
      <c r="I8" s="473"/>
      <c r="J8" s="474"/>
      <c r="K8" s="472"/>
      <c r="L8" s="473"/>
      <c r="M8" s="473"/>
      <c r="N8" s="474"/>
    </row>
    <row r="9" spans="1:14" s="324" customFormat="1" x14ac:dyDescent="0.2">
      <c r="A9" s="328">
        <v>1.2</v>
      </c>
      <c r="B9" s="329" t="s">
        <v>365</v>
      </c>
      <c r="C9" s="472"/>
      <c r="D9" s="473"/>
      <c r="E9" s="473"/>
      <c r="F9" s="474"/>
      <c r="G9" s="472"/>
      <c r="H9" s="473"/>
      <c r="I9" s="473"/>
      <c r="J9" s="474"/>
      <c r="K9" s="472"/>
      <c r="L9" s="473"/>
      <c r="M9" s="473"/>
      <c r="N9" s="474"/>
    </row>
    <row r="10" spans="1:14" s="324" customFormat="1" x14ac:dyDescent="0.2">
      <c r="A10" s="328">
        <v>1.3</v>
      </c>
      <c r="B10" s="329" t="s">
        <v>366</v>
      </c>
      <c r="C10" s="472"/>
      <c r="D10" s="473"/>
      <c r="E10" s="473"/>
      <c r="F10" s="474"/>
      <c r="G10" s="472"/>
      <c r="H10" s="473"/>
      <c r="I10" s="473"/>
      <c r="J10" s="474"/>
      <c r="K10" s="472"/>
      <c r="L10" s="473"/>
      <c r="M10" s="473"/>
      <c r="N10" s="474"/>
    </row>
    <row r="11" spans="1:14" s="324" customFormat="1" x14ac:dyDescent="0.2">
      <c r="A11" s="328">
        <v>1.4</v>
      </c>
      <c r="B11" s="331" t="s">
        <v>387</v>
      </c>
      <c r="C11" s="472"/>
      <c r="D11" s="473"/>
      <c r="E11" s="473"/>
      <c r="F11" s="474"/>
      <c r="G11" s="472"/>
      <c r="H11" s="473"/>
      <c r="I11" s="473"/>
      <c r="J11" s="474"/>
      <c r="K11" s="472"/>
      <c r="L11" s="473"/>
      <c r="M11" s="473"/>
      <c r="N11" s="474"/>
    </row>
    <row r="12" spans="1:14" s="324" customFormat="1" x14ac:dyDescent="0.2">
      <c r="A12" s="328">
        <v>1.5</v>
      </c>
      <c r="B12" s="331" t="s">
        <v>388</v>
      </c>
      <c r="C12" s="472"/>
      <c r="D12" s="473"/>
      <c r="E12" s="473"/>
      <c r="F12" s="474"/>
      <c r="G12" s="472"/>
      <c r="H12" s="473"/>
      <c r="I12" s="473"/>
      <c r="J12" s="474"/>
      <c r="K12" s="472"/>
      <c r="L12" s="473"/>
      <c r="M12" s="473"/>
      <c r="N12" s="474"/>
    </row>
    <row r="13" spans="1:14" s="324" customFormat="1" x14ac:dyDescent="0.2">
      <c r="A13" s="328">
        <v>1.6</v>
      </c>
      <c r="B13" s="331" t="s">
        <v>395</v>
      </c>
      <c r="C13" s="472"/>
      <c r="D13" s="473"/>
      <c r="E13" s="473"/>
      <c r="F13" s="474"/>
      <c r="G13" s="472"/>
      <c r="H13" s="473"/>
      <c r="I13" s="473"/>
      <c r="J13" s="474"/>
      <c r="K13" s="472"/>
      <c r="L13" s="473"/>
      <c r="M13" s="473"/>
      <c r="N13" s="474"/>
    </row>
    <row r="14" spans="1:14" s="324" customFormat="1" x14ac:dyDescent="0.2">
      <c r="A14" s="328">
        <v>1.7</v>
      </c>
      <c r="B14" s="330" t="s">
        <v>377</v>
      </c>
      <c r="C14" s="472"/>
      <c r="D14" s="473"/>
      <c r="E14" s="473"/>
      <c r="F14" s="474"/>
      <c r="G14" s="472"/>
      <c r="H14" s="473"/>
      <c r="I14" s="473"/>
      <c r="J14" s="474"/>
      <c r="K14" s="472"/>
      <c r="L14" s="473"/>
      <c r="M14" s="473"/>
      <c r="N14" s="474"/>
    </row>
    <row r="15" spans="1:14" s="324" customFormat="1" x14ac:dyDescent="0.2">
      <c r="A15" s="328">
        <v>1.8</v>
      </c>
      <c r="B15" s="331" t="s">
        <v>394</v>
      </c>
      <c r="C15" s="472"/>
      <c r="D15" s="473"/>
      <c r="E15" s="473"/>
      <c r="F15" s="474"/>
      <c r="G15" s="472"/>
      <c r="H15" s="473"/>
      <c r="I15" s="473"/>
      <c r="J15" s="474"/>
      <c r="K15" s="472"/>
      <c r="L15" s="473"/>
      <c r="M15" s="473"/>
      <c r="N15" s="474"/>
    </row>
    <row r="16" spans="1:14" s="324" customFormat="1" x14ac:dyDescent="0.2">
      <c r="A16" s="328"/>
      <c r="B16" s="331"/>
      <c r="C16" s="472"/>
      <c r="D16" s="472"/>
      <c r="E16" s="472"/>
      <c r="F16" s="472"/>
      <c r="G16" s="472"/>
      <c r="H16" s="472"/>
      <c r="I16" s="472"/>
      <c r="J16" s="472"/>
      <c r="K16" s="472"/>
      <c r="L16" s="472"/>
      <c r="M16" s="472"/>
      <c r="N16" s="472"/>
    </row>
    <row r="17" spans="1:14" s="324" customFormat="1" x14ac:dyDescent="0.2">
      <c r="A17" s="328"/>
      <c r="B17" s="331"/>
      <c r="C17" s="472"/>
      <c r="D17" s="472"/>
      <c r="E17" s="472"/>
      <c r="F17" s="472"/>
      <c r="G17" s="472"/>
      <c r="H17" s="472"/>
      <c r="I17" s="472"/>
      <c r="J17" s="472"/>
      <c r="K17" s="472"/>
      <c r="L17" s="472"/>
      <c r="M17" s="472"/>
      <c r="N17" s="472"/>
    </row>
    <row r="18" spans="1:14" s="324" customFormat="1" x14ac:dyDescent="0.2">
      <c r="A18" s="328"/>
      <c r="B18" s="331"/>
      <c r="C18" s="472"/>
      <c r="D18" s="472"/>
      <c r="E18" s="472"/>
      <c r="F18" s="472"/>
      <c r="G18" s="472"/>
      <c r="H18" s="472"/>
      <c r="I18" s="472"/>
      <c r="J18" s="472"/>
      <c r="K18" s="472"/>
      <c r="L18" s="472"/>
      <c r="M18" s="472"/>
      <c r="N18" s="472"/>
    </row>
    <row r="19" spans="1:14" s="324" customFormat="1" x14ac:dyDescent="0.2">
      <c r="A19" s="475" t="s">
        <v>361</v>
      </c>
      <c r="B19" s="475"/>
      <c r="C19" s="475"/>
      <c r="D19" s="475"/>
      <c r="E19" s="475"/>
      <c r="F19" s="475"/>
      <c r="G19" s="475"/>
      <c r="H19" s="475"/>
      <c r="I19" s="475"/>
      <c r="J19" s="475"/>
      <c r="K19" s="475"/>
      <c r="L19" s="475"/>
      <c r="M19" s="475"/>
      <c r="N19" s="475"/>
    </row>
    <row r="20" spans="1:14" s="324" customFormat="1" x14ac:dyDescent="0.2">
      <c r="A20" s="328">
        <v>2.1</v>
      </c>
      <c r="B20" s="329" t="s">
        <v>365</v>
      </c>
      <c r="C20" s="471"/>
      <c r="D20" s="471"/>
      <c r="E20" s="471"/>
      <c r="F20" s="471"/>
      <c r="G20" s="471"/>
      <c r="H20" s="471"/>
      <c r="I20" s="471"/>
      <c r="J20" s="471"/>
      <c r="K20" s="471"/>
      <c r="L20" s="471"/>
      <c r="M20" s="471"/>
      <c r="N20" s="471"/>
    </row>
    <row r="21" spans="1:14" s="324" customFormat="1" x14ac:dyDescent="0.2">
      <c r="A21" s="328">
        <v>2.2000000000000002</v>
      </c>
      <c r="B21" s="329" t="s">
        <v>366</v>
      </c>
      <c r="C21" s="471"/>
      <c r="D21" s="471"/>
      <c r="E21" s="471"/>
      <c r="F21" s="471"/>
      <c r="G21" s="471"/>
      <c r="H21" s="471"/>
      <c r="I21" s="471"/>
      <c r="J21" s="471"/>
      <c r="K21" s="471"/>
      <c r="L21" s="471"/>
      <c r="M21" s="471"/>
      <c r="N21" s="471"/>
    </row>
    <row r="22" spans="1:14" s="324" customFormat="1" x14ac:dyDescent="0.2">
      <c r="A22" s="328">
        <v>2.2999999999999998</v>
      </c>
      <c r="B22" s="329" t="s">
        <v>364</v>
      </c>
      <c r="C22" s="471"/>
      <c r="D22" s="471"/>
      <c r="E22" s="471"/>
      <c r="F22" s="471"/>
      <c r="G22" s="471"/>
      <c r="H22" s="471"/>
      <c r="I22" s="471"/>
      <c r="J22" s="471"/>
      <c r="K22" s="471"/>
      <c r="L22" s="471"/>
      <c r="M22" s="471"/>
      <c r="N22" s="471"/>
    </row>
    <row r="23" spans="1:14" s="324" customFormat="1" x14ac:dyDescent="0.2">
      <c r="A23" s="328">
        <v>2.4</v>
      </c>
      <c r="B23" s="329" t="s">
        <v>367</v>
      </c>
      <c r="C23" s="471"/>
      <c r="D23" s="471"/>
      <c r="E23" s="471"/>
      <c r="F23" s="471"/>
      <c r="G23" s="471"/>
      <c r="H23" s="471"/>
      <c r="I23" s="471"/>
      <c r="J23" s="471"/>
      <c r="K23" s="471"/>
      <c r="L23" s="471"/>
      <c r="M23" s="471"/>
      <c r="N23" s="471"/>
    </row>
    <row r="24" spans="1:14" s="324" customFormat="1" x14ac:dyDescent="0.2">
      <c r="A24" s="328">
        <v>2.5</v>
      </c>
      <c r="B24" s="330" t="s">
        <v>354</v>
      </c>
      <c r="C24" s="471"/>
      <c r="D24" s="471"/>
      <c r="E24" s="471"/>
      <c r="F24" s="471"/>
      <c r="G24" s="471"/>
      <c r="H24" s="471"/>
      <c r="I24" s="471"/>
      <c r="J24" s="471"/>
      <c r="K24" s="471"/>
      <c r="L24" s="471"/>
      <c r="M24" s="471"/>
      <c r="N24" s="471"/>
    </row>
    <row r="25" spans="1:14" s="324" customFormat="1" x14ac:dyDescent="0.2">
      <c r="A25" s="328">
        <v>2.6</v>
      </c>
      <c r="B25" s="331" t="s">
        <v>372</v>
      </c>
      <c r="C25" s="471"/>
      <c r="D25" s="471"/>
      <c r="E25" s="471"/>
      <c r="F25" s="471"/>
      <c r="G25" s="471"/>
      <c r="H25" s="471"/>
      <c r="I25" s="471"/>
      <c r="J25" s="471"/>
      <c r="K25" s="471"/>
      <c r="L25" s="471"/>
      <c r="M25" s="471"/>
      <c r="N25" s="471"/>
    </row>
    <row r="26" spans="1:14" s="324" customFormat="1" x14ac:dyDescent="0.2">
      <c r="A26" s="328">
        <v>2.7</v>
      </c>
      <c r="B26" s="331" t="s">
        <v>373</v>
      </c>
      <c r="C26" s="471"/>
      <c r="D26" s="471"/>
      <c r="E26" s="471"/>
      <c r="F26" s="471"/>
      <c r="G26" s="471"/>
      <c r="H26" s="471"/>
      <c r="I26" s="471"/>
      <c r="J26" s="471"/>
      <c r="K26" s="471"/>
      <c r="L26" s="471"/>
      <c r="M26" s="471"/>
      <c r="N26" s="471"/>
    </row>
    <row r="27" spans="1:14" s="324" customFormat="1" x14ac:dyDescent="0.2">
      <c r="A27" s="328">
        <v>2.8</v>
      </c>
      <c r="B27" s="331" t="s">
        <v>374</v>
      </c>
      <c r="C27" s="471"/>
      <c r="D27" s="471"/>
      <c r="E27" s="471"/>
      <c r="F27" s="471"/>
      <c r="G27" s="471"/>
      <c r="H27" s="471"/>
      <c r="I27" s="471"/>
      <c r="J27" s="471"/>
      <c r="K27" s="471"/>
      <c r="L27" s="471"/>
      <c r="M27" s="471"/>
      <c r="N27" s="471"/>
    </row>
    <row r="28" spans="1:14" s="324" customFormat="1" x14ac:dyDescent="0.2">
      <c r="A28" s="328"/>
      <c r="B28" s="331"/>
      <c r="C28" s="471"/>
      <c r="D28" s="471"/>
      <c r="E28" s="471"/>
      <c r="F28" s="471"/>
      <c r="G28" s="471"/>
      <c r="H28" s="471"/>
      <c r="I28" s="471"/>
      <c r="J28" s="471"/>
      <c r="K28" s="471"/>
      <c r="L28" s="471"/>
      <c r="M28" s="471"/>
      <c r="N28" s="471"/>
    </row>
    <row r="29" spans="1:14" s="324" customFormat="1" x14ac:dyDescent="0.2">
      <c r="A29" s="333"/>
      <c r="B29" s="331"/>
      <c r="C29" s="471"/>
      <c r="D29" s="471"/>
      <c r="E29" s="471"/>
      <c r="F29" s="471"/>
      <c r="G29" s="471"/>
      <c r="H29" s="471"/>
      <c r="I29" s="471"/>
      <c r="J29" s="471"/>
      <c r="K29" s="471"/>
      <c r="L29" s="471"/>
      <c r="M29" s="471"/>
      <c r="N29" s="471"/>
    </row>
    <row r="30" spans="1:14" s="324" customFormat="1" x14ac:dyDescent="0.2">
      <c r="A30" s="333"/>
      <c r="B30" s="331"/>
      <c r="C30" s="471"/>
      <c r="D30" s="471"/>
      <c r="E30" s="471"/>
      <c r="F30" s="471"/>
      <c r="G30" s="471"/>
      <c r="H30" s="471"/>
      <c r="I30" s="471"/>
      <c r="J30" s="471"/>
      <c r="K30" s="471"/>
      <c r="L30" s="471"/>
      <c r="M30" s="471"/>
      <c r="N30" s="471"/>
    </row>
    <row r="31" spans="1:14" s="324" customFormat="1" x14ac:dyDescent="0.2">
      <c r="A31" s="475" t="s">
        <v>355</v>
      </c>
      <c r="B31" s="475"/>
      <c r="C31" s="475"/>
      <c r="D31" s="475"/>
      <c r="E31" s="475"/>
      <c r="F31" s="475"/>
      <c r="G31" s="475"/>
      <c r="H31" s="475"/>
      <c r="I31" s="475"/>
      <c r="J31" s="475"/>
      <c r="K31" s="475"/>
      <c r="L31" s="475"/>
      <c r="M31" s="475"/>
      <c r="N31" s="475"/>
    </row>
    <row r="32" spans="1:14" s="324" customFormat="1" x14ac:dyDescent="0.2">
      <c r="A32" s="328">
        <v>3.1</v>
      </c>
      <c r="B32" s="330" t="s">
        <v>375</v>
      </c>
      <c r="C32" s="471"/>
      <c r="D32" s="471"/>
      <c r="E32" s="471"/>
      <c r="F32" s="471"/>
      <c r="G32" s="471"/>
      <c r="H32" s="471"/>
      <c r="I32" s="471"/>
      <c r="J32" s="471"/>
      <c r="K32" s="471"/>
      <c r="L32" s="471"/>
      <c r="M32" s="471"/>
      <c r="N32" s="471"/>
    </row>
    <row r="33" spans="1:14" s="324" customFormat="1" x14ac:dyDescent="0.2">
      <c r="A33" s="328">
        <v>3.2</v>
      </c>
      <c r="B33" s="330" t="s">
        <v>368</v>
      </c>
      <c r="C33" s="471"/>
      <c r="D33" s="471"/>
      <c r="E33" s="471"/>
      <c r="F33" s="471"/>
      <c r="G33" s="471"/>
      <c r="H33" s="471"/>
      <c r="I33" s="471"/>
      <c r="J33" s="471"/>
      <c r="K33" s="471"/>
      <c r="L33" s="471"/>
      <c r="M33" s="471"/>
      <c r="N33" s="471"/>
    </row>
    <row r="34" spans="1:14" s="324" customFormat="1" x14ac:dyDescent="0.2">
      <c r="A34" s="328">
        <v>3.2</v>
      </c>
      <c r="B34" s="331" t="s">
        <v>369</v>
      </c>
      <c r="C34" s="471"/>
      <c r="D34" s="471"/>
      <c r="E34" s="471"/>
      <c r="F34" s="471"/>
      <c r="G34" s="471"/>
      <c r="H34" s="471"/>
      <c r="I34" s="471"/>
      <c r="J34" s="471"/>
      <c r="K34" s="471"/>
      <c r="L34" s="471"/>
      <c r="M34" s="471"/>
      <c r="N34" s="471"/>
    </row>
    <row r="35" spans="1:14" s="324" customFormat="1" x14ac:dyDescent="0.2">
      <c r="A35" s="328">
        <v>3.3</v>
      </c>
      <c r="B35" s="331" t="s">
        <v>371</v>
      </c>
      <c r="C35" s="471"/>
      <c r="D35" s="471"/>
      <c r="E35" s="471"/>
      <c r="F35" s="471"/>
      <c r="G35" s="471"/>
      <c r="H35" s="471"/>
      <c r="I35" s="471"/>
      <c r="J35" s="471"/>
      <c r="K35" s="471"/>
      <c r="L35" s="471"/>
      <c r="M35" s="471"/>
      <c r="N35" s="471"/>
    </row>
    <row r="36" spans="1:14" s="324" customFormat="1" x14ac:dyDescent="0.2">
      <c r="A36" s="328">
        <v>3.4</v>
      </c>
      <c r="B36" s="331" t="s">
        <v>370</v>
      </c>
      <c r="C36" s="471"/>
      <c r="D36" s="471"/>
      <c r="E36" s="471"/>
      <c r="F36" s="471"/>
      <c r="G36" s="471"/>
      <c r="H36" s="471"/>
      <c r="I36" s="471"/>
      <c r="J36" s="471"/>
      <c r="K36" s="471"/>
      <c r="L36" s="471"/>
      <c r="M36" s="471"/>
      <c r="N36" s="471"/>
    </row>
    <row r="37" spans="1:14" s="324" customFormat="1" x14ac:dyDescent="0.2">
      <c r="A37" s="328">
        <v>3.5</v>
      </c>
      <c r="B37" s="331" t="s">
        <v>357</v>
      </c>
      <c r="C37" s="471"/>
      <c r="D37" s="471"/>
      <c r="E37" s="471"/>
      <c r="F37" s="471"/>
      <c r="G37" s="471"/>
      <c r="H37" s="471"/>
      <c r="I37" s="471"/>
      <c r="J37" s="471"/>
      <c r="K37" s="471"/>
      <c r="L37" s="471"/>
      <c r="M37" s="471"/>
      <c r="N37" s="471"/>
    </row>
    <row r="38" spans="1:14" s="324" customFormat="1" x14ac:dyDescent="0.2">
      <c r="A38" s="328">
        <v>3.6</v>
      </c>
      <c r="B38" s="331" t="s">
        <v>390</v>
      </c>
      <c r="C38" s="471"/>
      <c r="D38" s="471"/>
      <c r="E38" s="471"/>
      <c r="F38" s="471"/>
      <c r="G38" s="471"/>
      <c r="H38" s="471"/>
      <c r="I38" s="471"/>
      <c r="J38" s="471"/>
      <c r="K38" s="471"/>
      <c r="L38" s="471"/>
      <c r="M38" s="471"/>
      <c r="N38" s="471"/>
    </row>
    <row r="39" spans="1:14" s="324" customFormat="1" x14ac:dyDescent="0.2">
      <c r="A39" s="328">
        <v>3.7</v>
      </c>
      <c r="B39" s="331" t="s">
        <v>362</v>
      </c>
      <c r="C39" s="471"/>
      <c r="D39" s="471"/>
      <c r="E39" s="471"/>
      <c r="F39" s="471"/>
      <c r="G39" s="471"/>
      <c r="H39" s="471"/>
      <c r="I39" s="471"/>
      <c r="J39" s="471"/>
      <c r="K39" s="471"/>
      <c r="L39" s="471"/>
      <c r="M39" s="471"/>
      <c r="N39" s="471"/>
    </row>
    <row r="40" spans="1:14" s="324" customFormat="1" x14ac:dyDescent="0.2">
      <c r="A40" s="328"/>
      <c r="B40" s="331"/>
      <c r="C40" s="471"/>
      <c r="D40" s="471"/>
      <c r="E40" s="471"/>
      <c r="F40" s="471"/>
      <c r="G40" s="471"/>
      <c r="H40" s="471"/>
      <c r="I40" s="471"/>
      <c r="J40" s="471"/>
      <c r="K40" s="471"/>
      <c r="L40" s="471"/>
      <c r="M40" s="471"/>
      <c r="N40" s="471"/>
    </row>
    <row r="41" spans="1:14" s="324" customFormat="1" x14ac:dyDescent="0.2">
      <c r="A41" s="328"/>
      <c r="B41" s="331"/>
      <c r="C41" s="471"/>
      <c r="D41" s="471"/>
      <c r="E41" s="471"/>
      <c r="F41" s="471"/>
      <c r="G41" s="471"/>
      <c r="H41" s="471"/>
      <c r="I41" s="471"/>
      <c r="J41" s="471"/>
      <c r="K41" s="471"/>
      <c r="L41" s="471"/>
      <c r="M41" s="471"/>
      <c r="N41" s="471"/>
    </row>
    <row r="42" spans="1:14" s="324" customFormat="1" x14ac:dyDescent="0.2">
      <c r="A42" s="475" t="s">
        <v>356</v>
      </c>
      <c r="B42" s="475"/>
      <c r="C42" s="475"/>
      <c r="D42" s="475"/>
      <c r="E42" s="475"/>
      <c r="F42" s="475"/>
      <c r="G42" s="475"/>
      <c r="H42" s="475"/>
      <c r="I42" s="475"/>
      <c r="J42" s="475"/>
      <c r="K42" s="475"/>
      <c r="L42" s="475"/>
      <c r="M42" s="475"/>
      <c r="N42" s="475"/>
    </row>
    <row r="43" spans="1:14" s="324" customFormat="1" x14ac:dyDescent="0.2">
      <c r="A43" s="328">
        <v>4.0999999999999996</v>
      </c>
      <c r="B43" s="330" t="s">
        <v>377</v>
      </c>
      <c r="C43" s="471"/>
      <c r="D43" s="471"/>
      <c r="E43" s="471"/>
      <c r="F43" s="471"/>
      <c r="G43" s="471"/>
      <c r="H43" s="471"/>
      <c r="I43" s="471"/>
      <c r="J43" s="471"/>
      <c r="K43" s="471"/>
      <c r="L43" s="471"/>
      <c r="M43" s="471"/>
      <c r="N43" s="471"/>
    </row>
    <row r="44" spans="1:14" s="324" customFormat="1" x14ac:dyDescent="0.2">
      <c r="A44" s="328">
        <v>4.2</v>
      </c>
      <c r="B44" s="330" t="s">
        <v>376</v>
      </c>
      <c r="C44" s="471"/>
      <c r="D44" s="471"/>
      <c r="E44" s="471"/>
      <c r="F44" s="471"/>
      <c r="G44" s="471"/>
      <c r="H44" s="471"/>
      <c r="I44" s="471"/>
      <c r="J44" s="471"/>
      <c r="K44" s="471"/>
      <c r="L44" s="471"/>
      <c r="M44" s="471"/>
      <c r="N44" s="471"/>
    </row>
    <row r="45" spans="1:14" s="324" customFormat="1" x14ac:dyDescent="0.2">
      <c r="A45" s="328">
        <v>4.3</v>
      </c>
      <c r="B45" s="330" t="s">
        <v>378</v>
      </c>
      <c r="C45" s="471"/>
      <c r="D45" s="471"/>
      <c r="E45" s="471"/>
      <c r="F45" s="471"/>
      <c r="G45" s="471"/>
      <c r="H45" s="471"/>
      <c r="I45" s="471"/>
      <c r="J45" s="471"/>
      <c r="K45" s="471"/>
      <c r="L45" s="471"/>
      <c r="M45" s="471"/>
      <c r="N45" s="471"/>
    </row>
    <row r="46" spans="1:14" s="324" customFormat="1" x14ac:dyDescent="0.2">
      <c r="A46" s="328">
        <v>4.4000000000000004</v>
      </c>
      <c r="B46" s="330" t="s">
        <v>400</v>
      </c>
      <c r="C46" s="471"/>
      <c r="D46" s="471"/>
      <c r="E46" s="471"/>
      <c r="F46" s="471"/>
      <c r="G46" s="471"/>
      <c r="H46" s="471"/>
      <c r="I46" s="471"/>
      <c r="J46" s="471"/>
      <c r="K46" s="471"/>
      <c r="L46" s="471"/>
      <c r="M46" s="471"/>
      <c r="N46" s="471"/>
    </row>
    <row r="47" spans="1:14" s="324" customFormat="1" x14ac:dyDescent="0.2">
      <c r="A47" s="328">
        <v>4.5</v>
      </c>
      <c r="B47" s="330" t="s">
        <v>379</v>
      </c>
      <c r="C47" s="471"/>
      <c r="D47" s="471"/>
      <c r="E47" s="471"/>
      <c r="F47" s="471"/>
      <c r="G47" s="471"/>
      <c r="H47" s="471"/>
      <c r="I47" s="471"/>
      <c r="J47" s="471"/>
      <c r="K47" s="471"/>
      <c r="L47" s="471"/>
      <c r="M47" s="471"/>
      <c r="N47" s="471"/>
    </row>
    <row r="48" spans="1:14" s="324" customFormat="1" x14ac:dyDescent="0.2">
      <c r="A48" s="328">
        <v>4.5999999999999996</v>
      </c>
      <c r="B48" s="331" t="s">
        <v>383</v>
      </c>
      <c r="C48" s="471"/>
      <c r="D48" s="471"/>
      <c r="E48" s="471"/>
      <c r="F48" s="471"/>
      <c r="G48" s="471"/>
      <c r="H48" s="471"/>
      <c r="I48" s="471"/>
      <c r="J48" s="471"/>
      <c r="K48" s="471"/>
      <c r="L48" s="471"/>
      <c r="M48" s="471"/>
      <c r="N48" s="471"/>
    </row>
    <row r="49" spans="1:14" s="324" customFormat="1" x14ac:dyDescent="0.2">
      <c r="A49" s="328">
        <v>4.7</v>
      </c>
      <c r="B49" s="330" t="s">
        <v>380</v>
      </c>
      <c r="C49" s="471"/>
      <c r="D49" s="471"/>
      <c r="E49" s="471"/>
      <c r="F49" s="471"/>
      <c r="G49" s="471"/>
      <c r="H49" s="471"/>
      <c r="I49" s="471"/>
      <c r="J49" s="471"/>
      <c r="K49" s="471"/>
      <c r="L49" s="471"/>
      <c r="M49" s="471"/>
      <c r="N49" s="471"/>
    </row>
    <row r="50" spans="1:14" s="324" customFormat="1" x14ac:dyDescent="0.2">
      <c r="A50" s="328">
        <v>4.8</v>
      </c>
      <c r="B50" s="330" t="s">
        <v>382</v>
      </c>
      <c r="C50" s="471"/>
      <c r="D50" s="471"/>
      <c r="E50" s="471"/>
      <c r="F50" s="471"/>
      <c r="G50" s="471"/>
      <c r="H50" s="471"/>
      <c r="I50" s="471"/>
      <c r="J50" s="471"/>
      <c r="K50" s="471"/>
      <c r="L50" s="471"/>
      <c r="M50" s="471"/>
      <c r="N50" s="471"/>
    </row>
    <row r="51" spans="1:14" s="324" customFormat="1" x14ac:dyDescent="0.2">
      <c r="A51" s="328">
        <v>4.9000000000000004</v>
      </c>
      <c r="B51" s="330" t="s">
        <v>381</v>
      </c>
      <c r="C51" s="471"/>
      <c r="D51" s="471"/>
      <c r="E51" s="471"/>
      <c r="F51" s="471"/>
      <c r="G51" s="471"/>
      <c r="H51" s="471"/>
      <c r="I51" s="471"/>
      <c r="J51" s="471"/>
      <c r="K51" s="471"/>
      <c r="L51" s="471"/>
      <c r="M51" s="471"/>
      <c r="N51" s="471"/>
    </row>
    <row r="52" spans="1:14" s="324" customFormat="1" x14ac:dyDescent="0.2">
      <c r="A52" s="333">
        <v>4.0999999999999996</v>
      </c>
      <c r="B52" s="331" t="s">
        <v>384</v>
      </c>
      <c r="C52" s="471"/>
      <c r="D52" s="471"/>
      <c r="E52" s="471"/>
      <c r="F52" s="471"/>
      <c r="G52" s="471"/>
      <c r="H52" s="471"/>
      <c r="I52" s="471"/>
      <c r="J52" s="471"/>
      <c r="K52" s="471"/>
      <c r="L52" s="471"/>
      <c r="M52" s="471"/>
      <c r="N52" s="471"/>
    </row>
    <row r="53" spans="1:14" s="324" customFormat="1" x14ac:dyDescent="0.2">
      <c r="A53" s="333">
        <v>4.1100000000000003</v>
      </c>
      <c r="B53" s="330" t="s">
        <v>389</v>
      </c>
      <c r="C53" s="471"/>
      <c r="D53" s="471"/>
      <c r="E53" s="471"/>
      <c r="F53" s="471"/>
      <c r="G53" s="471"/>
      <c r="H53" s="471"/>
      <c r="I53" s="471"/>
      <c r="J53" s="471"/>
      <c r="K53" s="332"/>
      <c r="L53" s="332"/>
      <c r="M53" s="332"/>
      <c r="N53" s="332"/>
    </row>
    <row r="54" spans="1:14" s="324" customFormat="1" x14ac:dyDescent="0.2">
      <c r="A54" s="333">
        <v>4.12</v>
      </c>
      <c r="B54" s="330" t="s">
        <v>385</v>
      </c>
      <c r="C54" s="471"/>
      <c r="D54" s="471"/>
      <c r="E54" s="471"/>
      <c r="F54" s="471"/>
      <c r="G54" s="471"/>
      <c r="H54" s="471"/>
      <c r="I54" s="471"/>
      <c r="J54" s="471"/>
      <c r="K54" s="471"/>
      <c r="L54" s="471"/>
      <c r="M54" s="471"/>
      <c r="N54" s="471"/>
    </row>
    <row r="55" spans="1:14" s="324" customFormat="1" x14ac:dyDescent="0.2">
      <c r="A55" s="333">
        <v>4.13</v>
      </c>
      <c r="B55" s="331" t="s">
        <v>362</v>
      </c>
      <c r="C55" s="471"/>
      <c r="D55" s="471"/>
      <c r="E55" s="471"/>
      <c r="F55" s="471"/>
      <c r="G55" s="471"/>
      <c r="H55" s="471"/>
      <c r="I55" s="471"/>
      <c r="J55" s="471"/>
      <c r="K55" s="471"/>
      <c r="L55" s="471"/>
      <c r="M55" s="471"/>
      <c r="N55" s="471"/>
    </row>
    <row r="56" spans="1:14" s="324" customFormat="1" x14ac:dyDescent="0.2">
      <c r="A56" s="328"/>
      <c r="B56" s="331"/>
      <c r="C56" s="471"/>
      <c r="D56" s="471"/>
      <c r="E56" s="471"/>
      <c r="F56" s="471"/>
      <c r="G56" s="471"/>
      <c r="H56" s="471"/>
      <c r="I56" s="471"/>
      <c r="J56" s="471"/>
      <c r="K56" s="471"/>
      <c r="L56" s="471"/>
      <c r="M56" s="471"/>
      <c r="N56" s="471"/>
    </row>
    <row r="57" spans="1:14" s="324" customFormat="1" x14ac:dyDescent="0.2">
      <c r="A57" s="475" t="s">
        <v>391</v>
      </c>
      <c r="B57" s="475"/>
      <c r="C57" s="475"/>
      <c r="D57" s="475"/>
      <c r="E57" s="475"/>
      <c r="F57" s="475"/>
      <c r="G57" s="475"/>
      <c r="H57" s="475"/>
      <c r="I57" s="475"/>
      <c r="J57" s="475"/>
      <c r="K57" s="475"/>
      <c r="L57" s="475"/>
      <c r="M57" s="475"/>
      <c r="N57" s="475"/>
    </row>
    <row r="58" spans="1:14" x14ac:dyDescent="0.2">
      <c r="A58" s="328">
        <v>5.0999999999999996</v>
      </c>
      <c r="B58" s="331" t="s">
        <v>359</v>
      </c>
      <c r="C58" s="472"/>
      <c r="D58" s="473"/>
      <c r="E58" s="473"/>
      <c r="F58" s="474"/>
      <c r="G58" s="472"/>
      <c r="H58" s="473"/>
      <c r="I58" s="473"/>
      <c r="J58" s="474"/>
      <c r="K58" s="472"/>
      <c r="L58" s="473"/>
      <c r="M58" s="473"/>
      <c r="N58" s="474"/>
    </row>
    <row r="59" spans="1:14" x14ac:dyDescent="0.2">
      <c r="A59" s="328">
        <v>5.2</v>
      </c>
      <c r="B59" s="331" t="s">
        <v>360</v>
      </c>
      <c r="C59" s="472"/>
      <c r="D59" s="473"/>
      <c r="E59" s="473"/>
      <c r="F59" s="474"/>
      <c r="G59" s="472"/>
      <c r="H59" s="473"/>
      <c r="I59" s="473"/>
      <c r="J59" s="474"/>
      <c r="K59" s="472"/>
      <c r="L59" s="473"/>
      <c r="M59" s="473"/>
      <c r="N59" s="474"/>
    </row>
    <row r="60" spans="1:14" x14ac:dyDescent="0.2">
      <c r="A60" s="328">
        <v>5.3</v>
      </c>
      <c r="B60" s="331" t="s">
        <v>358</v>
      </c>
      <c r="C60" s="472"/>
      <c r="D60" s="473"/>
      <c r="E60" s="473"/>
      <c r="F60" s="474"/>
      <c r="G60" s="472"/>
      <c r="H60" s="473"/>
      <c r="I60" s="473"/>
      <c r="J60" s="474"/>
      <c r="K60" s="472"/>
      <c r="L60" s="473"/>
      <c r="M60" s="473"/>
      <c r="N60" s="474"/>
    </row>
    <row r="61" spans="1:14" x14ac:dyDescent="0.2">
      <c r="A61" s="328">
        <v>5.4</v>
      </c>
      <c r="B61" s="323" t="s">
        <v>393</v>
      </c>
      <c r="C61" s="472"/>
      <c r="D61" s="472"/>
      <c r="E61" s="472"/>
      <c r="F61" s="472"/>
      <c r="G61" s="472"/>
      <c r="H61" s="472"/>
      <c r="I61" s="472"/>
      <c r="J61" s="472"/>
      <c r="K61" s="472"/>
      <c r="L61" s="472"/>
      <c r="M61" s="472"/>
      <c r="N61" s="472"/>
    </row>
    <row r="62" spans="1:14" x14ac:dyDescent="0.2">
      <c r="A62" s="328">
        <v>5.5</v>
      </c>
      <c r="B62" s="331" t="s">
        <v>363</v>
      </c>
      <c r="C62" s="472"/>
      <c r="D62" s="472"/>
      <c r="E62" s="472"/>
      <c r="F62" s="472"/>
      <c r="G62" s="472"/>
      <c r="H62" s="472"/>
      <c r="I62" s="472"/>
      <c r="J62" s="472"/>
      <c r="K62" s="472"/>
      <c r="L62" s="472"/>
      <c r="M62" s="472"/>
      <c r="N62" s="472"/>
    </row>
    <row r="63" spans="1:14" x14ac:dyDescent="0.2">
      <c r="A63" s="328">
        <v>5.6</v>
      </c>
      <c r="B63" s="331" t="s">
        <v>396</v>
      </c>
      <c r="C63" s="472"/>
      <c r="D63" s="473"/>
      <c r="E63" s="473"/>
      <c r="F63" s="474"/>
      <c r="G63" s="472"/>
      <c r="H63" s="473"/>
      <c r="I63" s="473"/>
      <c r="J63" s="474"/>
      <c r="K63" s="472"/>
      <c r="L63" s="473"/>
      <c r="M63" s="473"/>
      <c r="N63" s="474"/>
    </row>
    <row r="64" spans="1:14" x14ac:dyDescent="0.2">
      <c r="A64" s="328"/>
      <c r="B64" s="331"/>
      <c r="C64" s="472"/>
      <c r="D64" s="473"/>
      <c r="E64" s="473"/>
      <c r="F64" s="474"/>
      <c r="G64" s="472"/>
      <c r="H64" s="473"/>
      <c r="I64" s="473"/>
      <c r="J64" s="474"/>
      <c r="K64" s="472"/>
      <c r="L64" s="473"/>
      <c r="M64" s="473"/>
      <c r="N64" s="474"/>
    </row>
    <row r="65" spans="1:14" x14ac:dyDescent="0.2">
      <c r="A65" s="328"/>
      <c r="B65" s="331"/>
      <c r="C65" s="472"/>
      <c r="D65" s="473"/>
      <c r="E65" s="473"/>
      <c r="F65" s="474"/>
      <c r="G65" s="472"/>
      <c r="H65" s="473"/>
      <c r="I65" s="473"/>
      <c r="J65" s="474"/>
      <c r="K65" s="472"/>
      <c r="L65" s="473"/>
      <c r="M65" s="473"/>
      <c r="N65" s="474"/>
    </row>
    <row r="66" spans="1:14" x14ac:dyDescent="0.2">
      <c r="A66" s="328"/>
      <c r="B66" s="331"/>
      <c r="C66" s="472"/>
      <c r="D66" s="472"/>
      <c r="E66" s="472"/>
      <c r="F66" s="472"/>
      <c r="G66" s="472"/>
      <c r="H66" s="472"/>
      <c r="I66" s="472"/>
      <c r="J66" s="472"/>
      <c r="K66" s="472"/>
      <c r="L66" s="472"/>
      <c r="M66" s="472"/>
      <c r="N66" s="472"/>
    </row>
  </sheetData>
  <mergeCells count="174">
    <mergeCell ref="K51:N51"/>
    <mergeCell ref="C52:F52"/>
    <mergeCell ref="G52:J52"/>
    <mergeCell ref="K52:N52"/>
    <mergeCell ref="C10:F10"/>
    <mergeCell ref="G10:J10"/>
    <mergeCell ref="K10:N10"/>
    <mergeCell ref="C14:F14"/>
    <mergeCell ref="G14:J14"/>
    <mergeCell ref="K14:N14"/>
    <mergeCell ref="C11:F11"/>
    <mergeCell ref="G11:J11"/>
    <mergeCell ref="K11:N11"/>
    <mergeCell ref="C12:F12"/>
    <mergeCell ref="G12:J12"/>
    <mergeCell ref="K12:N12"/>
    <mergeCell ref="C13:F13"/>
    <mergeCell ref="G13:J13"/>
    <mergeCell ref="K13:N13"/>
    <mergeCell ref="C15:F15"/>
    <mergeCell ref="G15:J15"/>
    <mergeCell ref="K15:N15"/>
    <mergeCell ref="C16:F16"/>
    <mergeCell ref="G16:J16"/>
    <mergeCell ref="C45:F45"/>
    <mergeCell ref="G45:J45"/>
    <mergeCell ref="K45:N45"/>
    <mergeCell ref="C21:F21"/>
    <mergeCell ref="G21:J21"/>
    <mergeCell ref="K21:N21"/>
    <mergeCell ref="C25:F25"/>
    <mergeCell ref="G25:J25"/>
    <mergeCell ref="K25:N25"/>
    <mergeCell ref="C24:F24"/>
    <mergeCell ref="G24:J24"/>
    <mergeCell ref="K24:N24"/>
    <mergeCell ref="C28:F28"/>
    <mergeCell ref="G28:J28"/>
    <mergeCell ref="K28:N28"/>
    <mergeCell ref="A31:N31"/>
    <mergeCell ref="C32:F32"/>
    <mergeCell ref="G32:J32"/>
    <mergeCell ref="K32:N32"/>
    <mergeCell ref="C26:F26"/>
    <mergeCell ref="G26:J26"/>
    <mergeCell ref="K26:N26"/>
    <mergeCell ref="C27:F27"/>
    <mergeCell ref="G27:J27"/>
    <mergeCell ref="A5:A6"/>
    <mergeCell ref="B5:B6"/>
    <mergeCell ref="C5:F5"/>
    <mergeCell ref="G5:J5"/>
    <mergeCell ref="K5:N5"/>
    <mergeCell ref="A19:N19"/>
    <mergeCell ref="C23:F23"/>
    <mergeCell ref="G23:J23"/>
    <mergeCell ref="K23:N23"/>
    <mergeCell ref="C20:F20"/>
    <mergeCell ref="G20:J20"/>
    <mergeCell ref="K20:N20"/>
    <mergeCell ref="C22:F22"/>
    <mergeCell ref="G22:J22"/>
    <mergeCell ref="K22:N22"/>
    <mergeCell ref="A7:N7"/>
    <mergeCell ref="C8:F8"/>
    <mergeCell ref="G8:J8"/>
    <mergeCell ref="K8:N8"/>
    <mergeCell ref="C9:F9"/>
    <mergeCell ref="K16:N16"/>
    <mergeCell ref="C17:F17"/>
    <mergeCell ref="G17:J17"/>
    <mergeCell ref="K17:N17"/>
    <mergeCell ref="K27:N27"/>
    <mergeCell ref="C30:F30"/>
    <mergeCell ref="G30:J30"/>
    <mergeCell ref="K30:N30"/>
    <mergeCell ref="C29:F29"/>
    <mergeCell ref="G29:J29"/>
    <mergeCell ref="K29:N29"/>
    <mergeCell ref="C35:F35"/>
    <mergeCell ref="G35:J35"/>
    <mergeCell ref="K35:N35"/>
    <mergeCell ref="G44:J44"/>
    <mergeCell ref="C36:F36"/>
    <mergeCell ref="G36:J36"/>
    <mergeCell ref="K36:N36"/>
    <mergeCell ref="C33:F33"/>
    <mergeCell ref="G33:J33"/>
    <mergeCell ref="K33:N33"/>
    <mergeCell ref="C34:F34"/>
    <mergeCell ref="G34:J34"/>
    <mergeCell ref="K34:N34"/>
    <mergeCell ref="K44:N44"/>
    <mergeCell ref="G9:J9"/>
    <mergeCell ref="K9:N9"/>
    <mergeCell ref="C47:F47"/>
    <mergeCell ref="G47:J47"/>
    <mergeCell ref="K47:N47"/>
    <mergeCell ref="C54:F54"/>
    <mergeCell ref="G54:J54"/>
    <mergeCell ref="K54:N54"/>
    <mergeCell ref="C48:F48"/>
    <mergeCell ref="G48:J48"/>
    <mergeCell ref="K48:N48"/>
    <mergeCell ref="C49:F49"/>
    <mergeCell ref="G49:J49"/>
    <mergeCell ref="K49:N49"/>
    <mergeCell ref="C50:F50"/>
    <mergeCell ref="G50:J50"/>
    <mergeCell ref="K50:N50"/>
    <mergeCell ref="C51:F51"/>
    <mergeCell ref="G51:J51"/>
    <mergeCell ref="C39:F39"/>
    <mergeCell ref="G39:J39"/>
    <mergeCell ref="K39:N39"/>
    <mergeCell ref="A42:N42"/>
    <mergeCell ref="C46:F46"/>
    <mergeCell ref="C55:F55"/>
    <mergeCell ref="G55:J55"/>
    <mergeCell ref="K55:N55"/>
    <mergeCell ref="K18:N18"/>
    <mergeCell ref="G18:J18"/>
    <mergeCell ref="C18:F18"/>
    <mergeCell ref="G46:J46"/>
    <mergeCell ref="K46:N46"/>
    <mergeCell ref="C37:F37"/>
    <mergeCell ref="G37:J37"/>
    <mergeCell ref="K37:N37"/>
    <mergeCell ref="C38:F38"/>
    <mergeCell ref="G38:J38"/>
    <mergeCell ref="K38:N38"/>
    <mergeCell ref="C40:F40"/>
    <mergeCell ref="G40:J40"/>
    <mergeCell ref="K40:N40"/>
    <mergeCell ref="C41:F41"/>
    <mergeCell ref="G41:J41"/>
    <mergeCell ref="K41:N41"/>
    <mergeCell ref="C43:F43"/>
    <mergeCell ref="G43:J43"/>
    <mergeCell ref="K43:N43"/>
    <mergeCell ref="C44:F44"/>
    <mergeCell ref="G59:J59"/>
    <mergeCell ref="K59:N59"/>
    <mergeCell ref="C60:F60"/>
    <mergeCell ref="G60:J60"/>
    <mergeCell ref="K60:N60"/>
    <mergeCell ref="C56:F56"/>
    <mergeCell ref="G56:J56"/>
    <mergeCell ref="K56:N56"/>
    <mergeCell ref="A57:N57"/>
    <mergeCell ref="C53:F53"/>
    <mergeCell ref="G53:J53"/>
    <mergeCell ref="C64:F64"/>
    <mergeCell ref="G64:J64"/>
    <mergeCell ref="K64:N64"/>
    <mergeCell ref="C65:F65"/>
    <mergeCell ref="G65:J65"/>
    <mergeCell ref="K65:N65"/>
    <mergeCell ref="C66:F66"/>
    <mergeCell ref="G66:J66"/>
    <mergeCell ref="K66:N66"/>
    <mergeCell ref="C61:F61"/>
    <mergeCell ref="G61:J61"/>
    <mergeCell ref="K61:N61"/>
    <mergeCell ref="C62:F62"/>
    <mergeCell ref="G62:J62"/>
    <mergeCell ref="K62:N62"/>
    <mergeCell ref="C63:F63"/>
    <mergeCell ref="G63:J63"/>
    <mergeCell ref="K63:N63"/>
    <mergeCell ref="C58:F58"/>
    <mergeCell ref="G58:J58"/>
    <mergeCell ref="K58:N58"/>
    <mergeCell ref="C59:F59"/>
  </mergeCells>
  <pageMargins left="0.7" right="0.7" top="0.75" bottom="0.75" header="0.3" footer="0.3"/>
  <pageSetup paperSize="0" orientation="portrait" r:id="rId1"/>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3DC7F42-6CEA-4677-8BA4-05EB315EDFA4}">
  <dimension ref="A1:AM48"/>
  <sheetViews>
    <sheetView topLeftCell="A12" zoomScaleNormal="100" workbookViewId="0">
      <selection activeCell="X40" sqref="X40"/>
    </sheetView>
  </sheetViews>
  <sheetFormatPr defaultColWidth="8.85546875" defaultRowHeight="12.75" outlineLevelRow="1" outlineLevelCol="1" x14ac:dyDescent="0.2"/>
  <cols>
    <col min="1" max="5" width="8.85546875" style="170"/>
    <col min="6" max="7" width="10.5703125" style="170" hidden="1" customWidth="1" outlineLevel="1"/>
    <col min="8" max="8" width="10.28515625" style="170" hidden="1" customWidth="1" outlineLevel="1"/>
    <col min="9" max="9" width="14.140625" style="170" hidden="1" customWidth="1" outlineLevel="1"/>
    <col min="10" max="10" width="10.5703125" style="170" customWidth="1" collapsed="1"/>
    <col min="11" max="15" width="8.85546875" style="170"/>
    <col min="16" max="16" width="11.42578125" style="170" bestFit="1" customWidth="1"/>
    <col min="17" max="17" width="8.85546875" style="170" hidden="1" customWidth="1" outlineLevel="1"/>
    <col min="18" max="18" width="16.42578125" style="170" hidden="1" customWidth="1" outlineLevel="1"/>
    <col min="19" max="19" width="11.42578125" style="170" hidden="1" customWidth="1" outlineLevel="1"/>
    <col min="20" max="20" width="8.85546875" style="170" hidden="1" customWidth="1" outlineLevel="1"/>
    <col min="21" max="21" width="13.140625" style="170" bestFit="1" customWidth="1" collapsed="1"/>
    <col min="22" max="22" width="9" style="170" customWidth="1"/>
    <col min="23" max="26" width="8.85546875" style="170"/>
    <col min="27" max="28" width="8.85546875" style="170" hidden="1" customWidth="1" outlineLevel="1"/>
    <col min="29" max="29" width="9.42578125" style="170" hidden="1" customWidth="1" outlineLevel="1"/>
    <col min="30" max="30" width="8.85546875" style="170" hidden="1" customWidth="1" outlineLevel="1"/>
    <col min="31" max="31" width="8.85546875" style="170" collapsed="1"/>
    <col min="32" max="38" width="8.85546875" style="170"/>
    <col min="39" max="39" width="10.42578125" style="170" customWidth="1"/>
    <col min="40" max="16384" width="8.85546875" style="170"/>
  </cols>
  <sheetData>
    <row r="1" spans="1:39" hidden="1" outlineLevel="1" x14ac:dyDescent="0.2"/>
    <row r="2" spans="1:39" hidden="1" outlineLevel="1" x14ac:dyDescent="0.2">
      <c r="N2" s="99"/>
      <c r="O2" s="100"/>
      <c r="P2" s="100"/>
      <c r="Q2" s="100"/>
      <c r="R2" s="100" t="s">
        <v>141</v>
      </c>
      <c r="S2" s="100"/>
      <c r="T2" s="100"/>
      <c r="U2" s="100"/>
    </row>
    <row r="3" spans="1:39" hidden="1" outlineLevel="1" x14ac:dyDescent="0.2">
      <c r="N3" s="102" t="s">
        <v>144</v>
      </c>
      <c r="O3" s="102"/>
      <c r="P3" s="103">
        <v>1.204</v>
      </c>
      <c r="Q3" s="104"/>
      <c r="R3" s="102" t="s">
        <v>137</v>
      </c>
      <c r="S3" s="102">
        <v>0.15</v>
      </c>
      <c r="T3" s="102" t="s">
        <v>103</v>
      </c>
    </row>
    <row r="4" spans="1:39" hidden="1" outlineLevel="1" x14ac:dyDescent="0.2">
      <c r="N4" s="102" t="s">
        <v>136</v>
      </c>
      <c r="O4" s="102"/>
      <c r="P4" s="106" t="s">
        <v>138</v>
      </c>
      <c r="Q4" s="107"/>
      <c r="R4" s="102" t="s">
        <v>138</v>
      </c>
      <c r="S4" s="102">
        <v>0.3</v>
      </c>
      <c r="T4" s="102" t="s">
        <v>103</v>
      </c>
    </row>
    <row r="5" spans="1:39" hidden="1" outlineLevel="1" x14ac:dyDescent="0.2">
      <c r="N5" s="102" t="s">
        <v>145</v>
      </c>
      <c r="O5" s="102"/>
      <c r="P5" s="108">
        <f>VLOOKUP(P4,R3:S8,2, FALSE)</f>
        <v>0.3</v>
      </c>
      <c r="Q5" s="104"/>
      <c r="R5" s="102" t="s">
        <v>142</v>
      </c>
      <c r="S5" s="102">
        <v>0.375</v>
      </c>
      <c r="T5" s="102" t="s">
        <v>103</v>
      </c>
    </row>
    <row r="6" spans="1:39" hidden="1" outlineLevel="1" x14ac:dyDescent="0.2">
      <c r="N6" s="99"/>
      <c r="O6" s="99"/>
      <c r="P6" s="99"/>
      <c r="Q6" s="99"/>
      <c r="R6" s="102" t="s">
        <v>139</v>
      </c>
      <c r="S6" s="108">
        <v>1</v>
      </c>
      <c r="T6" s="102" t="s">
        <v>103</v>
      </c>
    </row>
    <row r="7" spans="1:39" hidden="1" outlineLevel="1" x14ac:dyDescent="0.2">
      <c r="N7" s="99"/>
      <c r="O7" s="99"/>
      <c r="P7" s="99"/>
      <c r="Q7" s="99"/>
      <c r="R7" s="102" t="s">
        <v>140</v>
      </c>
      <c r="S7" s="108">
        <v>5</v>
      </c>
      <c r="T7" s="102" t="s">
        <v>103</v>
      </c>
    </row>
    <row r="8" spans="1:39" hidden="1" outlineLevel="1" x14ac:dyDescent="0.2">
      <c r="N8" s="99"/>
      <c r="O8" s="99"/>
      <c r="P8" s="99"/>
      <c r="Q8" s="99"/>
      <c r="R8" s="102" t="s">
        <v>143</v>
      </c>
      <c r="S8" s="102">
        <v>6.0000000000000001E-3</v>
      </c>
      <c r="T8" s="102" t="s">
        <v>103</v>
      </c>
    </row>
    <row r="9" spans="1:39" hidden="1" outlineLevel="1" x14ac:dyDescent="0.2"/>
    <row r="10" spans="1:39" hidden="1" outlineLevel="1" x14ac:dyDescent="0.2"/>
    <row r="11" spans="1:39" hidden="1" outlineLevel="1" x14ac:dyDescent="0.2"/>
    <row r="12" spans="1:39" collapsed="1" x14ac:dyDescent="0.2"/>
    <row r="13" spans="1:39" ht="18.75" x14ac:dyDescent="0.3">
      <c r="A13" s="456" t="s">
        <v>304</v>
      </c>
      <c r="B13" s="457"/>
      <c r="C13" s="457"/>
      <c r="D13" s="457"/>
      <c r="E13" s="457"/>
      <c r="F13" s="457"/>
      <c r="G13" s="457"/>
      <c r="H13" s="457"/>
      <c r="I13" s="457"/>
      <c r="J13" s="457"/>
      <c r="L13" s="456" t="s">
        <v>303</v>
      </c>
      <c r="M13" s="457"/>
      <c r="N13" s="457"/>
      <c r="O13" s="457"/>
      <c r="P13" s="457"/>
      <c r="Q13" s="457"/>
      <c r="R13" s="457"/>
      <c r="S13" s="457"/>
      <c r="T13" s="457"/>
      <c r="U13" s="457"/>
      <c r="V13" s="169"/>
      <c r="W13" s="456" t="s">
        <v>305</v>
      </c>
      <c r="X13" s="457"/>
      <c r="Y13" s="457"/>
      <c r="Z13" s="457"/>
      <c r="AA13" s="457"/>
      <c r="AB13" s="457"/>
      <c r="AC13" s="457"/>
      <c r="AD13" s="457"/>
      <c r="AE13" s="457"/>
      <c r="AG13" s="456" t="s">
        <v>306</v>
      </c>
      <c r="AH13" s="457"/>
      <c r="AI13" s="457"/>
      <c r="AJ13" s="457"/>
      <c r="AK13" s="457"/>
      <c r="AL13" s="457"/>
      <c r="AM13" s="457"/>
    </row>
    <row r="14" spans="1:39" ht="15.75" x14ac:dyDescent="0.3">
      <c r="A14" s="172"/>
      <c r="B14" s="172" t="s">
        <v>222</v>
      </c>
      <c r="C14" s="458" t="s">
        <v>223</v>
      </c>
      <c r="D14" s="459"/>
      <c r="E14" s="172" t="s">
        <v>224</v>
      </c>
      <c r="F14" s="105" t="s">
        <v>150</v>
      </c>
      <c r="G14" s="105" t="s">
        <v>293</v>
      </c>
      <c r="H14" s="105" t="s">
        <v>130</v>
      </c>
      <c r="I14" s="105" t="s">
        <v>131</v>
      </c>
      <c r="J14" s="105" t="s">
        <v>151</v>
      </c>
      <c r="L14" s="172"/>
      <c r="M14" s="172" t="s">
        <v>222</v>
      </c>
      <c r="N14" s="458" t="s">
        <v>223</v>
      </c>
      <c r="O14" s="459"/>
      <c r="P14" s="172" t="s">
        <v>224</v>
      </c>
      <c r="Q14" s="105" t="s">
        <v>150</v>
      </c>
      <c r="R14" s="105" t="s">
        <v>293</v>
      </c>
      <c r="S14" s="105" t="s">
        <v>130</v>
      </c>
      <c r="T14" s="105" t="s">
        <v>131</v>
      </c>
      <c r="U14" s="105" t="s">
        <v>151</v>
      </c>
      <c r="W14" s="172"/>
      <c r="X14" s="172" t="s">
        <v>222</v>
      </c>
      <c r="Y14" s="172" t="s">
        <v>226</v>
      </c>
      <c r="Z14" s="172" t="s">
        <v>224</v>
      </c>
      <c r="AA14" s="105" t="s">
        <v>150</v>
      </c>
      <c r="AB14" s="105" t="s">
        <v>293</v>
      </c>
      <c r="AC14" s="105" t="s">
        <v>130</v>
      </c>
      <c r="AD14" s="105" t="s">
        <v>131</v>
      </c>
      <c r="AE14" s="105" t="s">
        <v>151</v>
      </c>
      <c r="AG14" s="172"/>
      <c r="AH14" s="172" t="s">
        <v>222</v>
      </c>
      <c r="AI14" s="174" t="s">
        <v>225</v>
      </c>
      <c r="AJ14" s="174"/>
      <c r="AK14" s="71" t="s">
        <v>146</v>
      </c>
      <c r="AL14" s="69" t="s">
        <v>149</v>
      </c>
      <c r="AM14" s="69" t="s">
        <v>148</v>
      </c>
    </row>
    <row r="15" spans="1:39" x14ac:dyDescent="0.2">
      <c r="A15" s="172"/>
      <c r="B15" s="172" t="s">
        <v>33</v>
      </c>
      <c r="C15" s="172" t="s">
        <v>322</v>
      </c>
      <c r="D15" s="172" t="s">
        <v>323</v>
      </c>
      <c r="E15" s="172" t="s">
        <v>35</v>
      </c>
      <c r="F15" s="110" t="s">
        <v>103</v>
      </c>
      <c r="G15" s="110" t="s">
        <v>103</v>
      </c>
      <c r="H15" s="109"/>
      <c r="I15" s="109"/>
      <c r="J15" s="105" t="s">
        <v>108</v>
      </c>
      <c r="L15" s="172"/>
      <c r="M15" s="172" t="s">
        <v>33</v>
      </c>
      <c r="N15" s="172" t="s">
        <v>322</v>
      </c>
      <c r="O15" s="172" t="s">
        <v>323</v>
      </c>
      <c r="P15" s="172" t="s">
        <v>35</v>
      </c>
      <c r="Q15" s="110" t="s">
        <v>103</v>
      </c>
      <c r="R15" s="110" t="s">
        <v>103</v>
      </c>
      <c r="S15" s="109"/>
      <c r="T15" s="109"/>
      <c r="U15" s="105" t="s">
        <v>108</v>
      </c>
      <c r="W15" s="172"/>
      <c r="X15" s="172" t="s">
        <v>33</v>
      </c>
      <c r="Y15" s="172" t="s">
        <v>324</v>
      </c>
      <c r="Z15" s="172" t="s">
        <v>35</v>
      </c>
      <c r="AA15" s="110" t="s">
        <v>103</v>
      </c>
      <c r="AB15" s="110" t="s">
        <v>103</v>
      </c>
      <c r="AC15" s="109"/>
      <c r="AD15" s="109"/>
      <c r="AE15" s="105" t="s">
        <v>108</v>
      </c>
      <c r="AG15" s="172"/>
      <c r="AH15" s="172" t="s">
        <v>33</v>
      </c>
      <c r="AI15" s="174" t="s">
        <v>322</v>
      </c>
      <c r="AJ15" s="174" t="s">
        <v>323</v>
      </c>
      <c r="AK15" s="69"/>
      <c r="AL15" s="71" t="s">
        <v>35</v>
      </c>
      <c r="AM15" s="71" t="s">
        <v>35</v>
      </c>
    </row>
    <row r="16" spans="1:39" x14ac:dyDescent="0.2">
      <c r="A16" s="274">
        <v>1</v>
      </c>
      <c r="B16" s="300">
        <v>50</v>
      </c>
      <c r="C16" s="301">
        <v>0.2</v>
      </c>
      <c r="D16" s="301">
        <v>0.15</v>
      </c>
      <c r="E16" s="275">
        <f t="shared" ref="E16:E23" si="0">IFERROR(B16/1000/C16/D16,"-")</f>
        <v>1.6666666666666667</v>
      </c>
      <c r="F16" s="275">
        <v>0.15</v>
      </c>
      <c r="G16" s="275">
        <f t="shared" ref="G16:G23" si="1">IFERROR(4*C16*D16/(2*(C16+D16))*1000,"-")</f>
        <v>171.42857142857142</v>
      </c>
      <c r="H16" s="275">
        <f t="shared" ref="H16" si="2">IFERROR(66.4*G16*E16,"-")</f>
        <v>18971.428571428572</v>
      </c>
      <c r="I16" s="275">
        <f t="shared" ref="I16" si="3">IFERROR(0.25/(LOG(F16/G16/3.7+5.74/H16^0.9,10))^2,"-")</f>
        <v>2.8148853707262552E-2</v>
      </c>
      <c r="J16" s="275">
        <f>IFERROR($I16*$P$3/2*$E16^2/($G16/1000),"-")</f>
        <v>0.27458164241297317</v>
      </c>
      <c r="L16" s="274">
        <v>1</v>
      </c>
      <c r="M16" s="300">
        <v>5000</v>
      </c>
      <c r="N16" s="301">
        <v>0.8</v>
      </c>
      <c r="O16" s="301">
        <v>0.8</v>
      </c>
      <c r="P16" s="275">
        <f>IFERROR(M16/1000/N16/O16,"-")</f>
        <v>7.8125</v>
      </c>
      <c r="Q16" s="275">
        <v>1</v>
      </c>
      <c r="R16" s="275">
        <f t="shared" ref="R16:R23" si="4">IFERROR(4*N16*O16/(2*(N16+O16))*1000,"-")</f>
        <v>800.00000000000011</v>
      </c>
      <c r="S16" s="275">
        <f>IFERROR(66.4*R16*P16,"-")</f>
        <v>415000.00000000012</v>
      </c>
      <c r="T16" s="275">
        <f>IFERROR(0.25/(LOG(Q16/R16/3.7+5.74/S16^0.9,10))^2,"-")</f>
        <v>2.1488661343840233E-2</v>
      </c>
      <c r="U16" s="275">
        <f>IFERROR($T16*$P$3/2*$P16^2/($R16/1000),"-")</f>
        <v>0.98695176155027908</v>
      </c>
      <c r="W16" s="274">
        <v>1</v>
      </c>
      <c r="X16" s="300">
        <v>300</v>
      </c>
      <c r="Y16" s="301">
        <v>0.3</v>
      </c>
      <c r="Z16" s="275">
        <f>IFERROR(X16/1000/(3.146/4*Y16^2),"-")</f>
        <v>4.2381860563678746</v>
      </c>
      <c r="AA16" s="275">
        <v>1</v>
      </c>
      <c r="AB16" s="275">
        <f t="shared" ref="AB16:AB23" si="5">Y16*1000</f>
        <v>300</v>
      </c>
      <c r="AC16" s="275">
        <f t="shared" ref="AC16" si="6">IFERROR(66.4*Z16*AB16,"-")</f>
        <v>84424.666242848078</v>
      </c>
      <c r="AD16" s="275">
        <f t="shared" ref="AD16" si="7">IFERROR(0.25/(LOG(AA16/AB16/3.7+5.74/AC16^0.9,10))^2,"-")</f>
        <v>2.8653885686295625E-2</v>
      </c>
      <c r="AE16" s="275">
        <f t="shared" ref="AE16" si="8">IFERROR(AD16*$P$3/2*Z16^2/(AB16/1000),"-")</f>
        <v>1.0328061067090926</v>
      </c>
      <c r="AG16" s="274">
        <v>1</v>
      </c>
      <c r="AH16" s="300">
        <v>100</v>
      </c>
      <c r="AI16" s="301">
        <v>0.4</v>
      </c>
      <c r="AJ16" s="301">
        <v>0.4</v>
      </c>
      <c r="AK16" s="273">
        <v>0.5</v>
      </c>
      <c r="AL16" s="275">
        <f>IFERROR(AH16/1000/AI16/AJ16,"-")</f>
        <v>0.625</v>
      </c>
      <c r="AM16" s="228">
        <f t="shared" ref="AM16:AM23" si="9">IFERROR(AL16/AK16,"-")</f>
        <v>1.25</v>
      </c>
    </row>
    <row r="17" spans="1:39" x14ac:dyDescent="0.2">
      <c r="A17" s="174">
        <v>2</v>
      </c>
      <c r="B17" s="302"/>
      <c r="C17" s="303"/>
      <c r="D17" s="303"/>
      <c r="E17" s="196" t="str">
        <f t="shared" si="0"/>
        <v>-</v>
      </c>
      <c r="F17" s="196">
        <v>0.15</v>
      </c>
      <c r="G17" s="196" t="str">
        <f t="shared" si="1"/>
        <v>-</v>
      </c>
      <c r="H17" s="196" t="str">
        <f t="shared" ref="H17:H23" si="10">IFERROR(66.4*E17*G17,"-")</f>
        <v>-</v>
      </c>
      <c r="I17" s="196" t="str">
        <f t="shared" ref="I17:I23" si="11">IFERROR(0.25/(LOG(F17/G17/3.7+5.74/H17^0.9,10))^2,"-")</f>
        <v>-</v>
      </c>
      <c r="J17" s="196" t="str">
        <f t="shared" ref="J17:J23" si="12">IFERROR(I17*$P$3/2*E17^2/(G17/1000),"-")</f>
        <v>-</v>
      </c>
      <c r="L17" s="174">
        <v>2</v>
      </c>
      <c r="M17" s="302"/>
      <c r="N17" s="303"/>
      <c r="O17" s="303"/>
      <c r="P17" s="196" t="str">
        <f t="shared" ref="P17:P23" si="13">IFERROR(M17/1000/N17/O17,"-")</f>
        <v>-</v>
      </c>
      <c r="Q17" s="196">
        <v>1</v>
      </c>
      <c r="R17" s="196" t="str">
        <f t="shared" si="4"/>
        <v>-</v>
      </c>
      <c r="S17" s="196" t="str">
        <f t="shared" ref="S17:S23" si="14">IFERROR(66.4*$P17*$R17,"-")</f>
        <v>-</v>
      </c>
      <c r="T17" s="196" t="str">
        <f t="shared" ref="T17:T23" si="15">IFERROR(0.25/(LOG($Q17/$R17/3.7+5.74/$S17^0.9,10))^2,"-")</f>
        <v>-</v>
      </c>
      <c r="U17" s="196" t="str">
        <f t="shared" ref="U17:U23" si="16">IFERROR($T17*$P$3/2*$P17^2/($R17/1000),"-")</f>
        <v>-</v>
      </c>
      <c r="W17" s="174">
        <v>2</v>
      </c>
      <c r="X17" s="302"/>
      <c r="Y17" s="303"/>
      <c r="Z17" s="196" t="str">
        <f t="shared" ref="Z17:Z23" si="17">IFERROR(X17/1000/(3.146/4*Y17^2),"-")</f>
        <v>-</v>
      </c>
      <c r="AA17" s="196">
        <v>1</v>
      </c>
      <c r="AB17" s="196">
        <f t="shared" si="5"/>
        <v>0</v>
      </c>
      <c r="AC17" s="196" t="str">
        <f t="shared" ref="AC17:AC23" si="18">IFERROR(66.4*Z17*AB17,"-")</f>
        <v>-</v>
      </c>
      <c r="AD17" s="196" t="str">
        <f t="shared" ref="AD17:AD23" si="19">IFERROR(0.25/(LOG(AA17/AB17/3.7+5.74/AC17^0.9,10))^2,"-")</f>
        <v>-</v>
      </c>
      <c r="AE17" s="196" t="str">
        <f t="shared" ref="AE17:AE23" si="20">IFERROR(AD17*$P$3/2*Z17^2/(AB17/1000),"-")</f>
        <v>-</v>
      </c>
      <c r="AG17" s="174">
        <v>2</v>
      </c>
      <c r="AH17" s="302"/>
      <c r="AI17" s="303"/>
      <c r="AJ17" s="303"/>
      <c r="AK17" s="195"/>
      <c r="AL17" s="196" t="str">
        <f>IFERROR(AH17/1000/AI17/AJ17,"-")</f>
        <v>-</v>
      </c>
      <c r="AM17" s="196" t="str">
        <f t="shared" si="9"/>
        <v>-</v>
      </c>
    </row>
    <row r="18" spans="1:39" x14ac:dyDescent="0.2">
      <c r="A18" s="274">
        <v>3</v>
      </c>
      <c r="B18" s="300"/>
      <c r="C18" s="301"/>
      <c r="D18" s="301"/>
      <c r="E18" s="275" t="str">
        <f t="shared" si="0"/>
        <v>-</v>
      </c>
      <c r="F18" s="275">
        <v>0.15</v>
      </c>
      <c r="G18" s="275" t="str">
        <f t="shared" si="1"/>
        <v>-</v>
      </c>
      <c r="H18" s="275" t="str">
        <f t="shared" si="10"/>
        <v>-</v>
      </c>
      <c r="I18" s="275" t="str">
        <f t="shared" si="11"/>
        <v>-</v>
      </c>
      <c r="J18" s="275" t="str">
        <f t="shared" si="12"/>
        <v>-</v>
      </c>
      <c r="L18" s="274">
        <v>3</v>
      </c>
      <c r="M18" s="300"/>
      <c r="N18" s="301"/>
      <c r="O18" s="301"/>
      <c r="P18" s="275" t="str">
        <f t="shared" si="13"/>
        <v>-</v>
      </c>
      <c r="Q18" s="275">
        <v>1</v>
      </c>
      <c r="R18" s="275" t="str">
        <f t="shared" si="4"/>
        <v>-</v>
      </c>
      <c r="S18" s="275" t="str">
        <f t="shared" si="14"/>
        <v>-</v>
      </c>
      <c r="T18" s="275" t="str">
        <f t="shared" si="15"/>
        <v>-</v>
      </c>
      <c r="U18" s="275" t="str">
        <f t="shared" si="16"/>
        <v>-</v>
      </c>
      <c r="W18" s="274">
        <v>3</v>
      </c>
      <c r="X18" s="300"/>
      <c r="Y18" s="301"/>
      <c r="Z18" s="275" t="str">
        <f t="shared" si="17"/>
        <v>-</v>
      </c>
      <c r="AA18" s="275">
        <v>1</v>
      </c>
      <c r="AB18" s="275">
        <f t="shared" si="5"/>
        <v>0</v>
      </c>
      <c r="AC18" s="275" t="str">
        <f t="shared" si="18"/>
        <v>-</v>
      </c>
      <c r="AD18" s="275" t="str">
        <f t="shared" si="19"/>
        <v>-</v>
      </c>
      <c r="AE18" s="275" t="str">
        <f t="shared" si="20"/>
        <v>-</v>
      </c>
      <c r="AG18" s="274">
        <v>3</v>
      </c>
      <c r="AH18" s="300"/>
      <c r="AI18" s="301"/>
      <c r="AJ18" s="301"/>
      <c r="AK18" s="273"/>
      <c r="AL18" s="275" t="str">
        <f t="shared" ref="AL18:AL23" si="21">IFERROR(AH18/1000/AI18/AJ18,"-")</f>
        <v>-</v>
      </c>
      <c r="AM18" s="228" t="str">
        <f t="shared" si="9"/>
        <v>-</v>
      </c>
    </row>
    <row r="19" spans="1:39" x14ac:dyDescent="0.2">
      <c r="A19" s="174">
        <v>4</v>
      </c>
      <c r="B19" s="302"/>
      <c r="C19" s="303"/>
      <c r="D19" s="303"/>
      <c r="E19" s="196" t="str">
        <f t="shared" si="0"/>
        <v>-</v>
      </c>
      <c r="F19" s="196">
        <v>0.15</v>
      </c>
      <c r="G19" s="196" t="str">
        <f t="shared" si="1"/>
        <v>-</v>
      </c>
      <c r="H19" s="196" t="str">
        <f t="shared" si="10"/>
        <v>-</v>
      </c>
      <c r="I19" s="196" t="str">
        <f t="shared" si="11"/>
        <v>-</v>
      </c>
      <c r="J19" s="196" t="str">
        <f t="shared" si="12"/>
        <v>-</v>
      </c>
      <c r="L19" s="174">
        <v>4</v>
      </c>
      <c r="M19" s="302"/>
      <c r="N19" s="303"/>
      <c r="O19" s="303"/>
      <c r="P19" s="196" t="str">
        <f t="shared" si="13"/>
        <v>-</v>
      </c>
      <c r="Q19" s="196">
        <v>1</v>
      </c>
      <c r="R19" s="196" t="str">
        <f t="shared" si="4"/>
        <v>-</v>
      </c>
      <c r="S19" s="196" t="str">
        <f t="shared" si="14"/>
        <v>-</v>
      </c>
      <c r="T19" s="196" t="str">
        <f t="shared" si="15"/>
        <v>-</v>
      </c>
      <c r="U19" s="196" t="str">
        <f t="shared" si="16"/>
        <v>-</v>
      </c>
      <c r="W19" s="174">
        <v>4</v>
      </c>
      <c r="X19" s="302"/>
      <c r="Y19" s="303"/>
      <c r="Z19" s="196" t="str">
        <f t="shared" si="17"/>
        <v>-</v>
      </c>
      <c r="AA19" s="196">
        <v>1</v>
      </c>
      <c r="AB19" s="196">
        <f t="shared" si="5"/>
        <v>0</v>
      </c>
      <c r="AC19" s="196" t="str">
        <f t="shared" si="18"/>
        <v>-</v>
      </c>
      <c r="AD19" s="196" t="str">
        <f t="shared" si="19"/>
        <v>-</v>
      </c>
      <c r="AE19" s="196" t="str">
        <f t="shared" si="20"/>
        <v>-</v>
      </c>
      <c r="AG19" s="174">
        <v>4</v>
      </c>
      <c r="AH19" s="302"/>
      <c r="AI19" s="303"/>
      <c r="AJ19" s="303"/>
      <c r="AK19" s="195"/>
      <c r="AL19" s="196" t="str">
        <f t="shared" si="21"/>
        <v>-</v>
      </c>
      <c r="AM19" s="196" t="str">
        <f t="shared" si="9"/>
        <v>-</v>
      </c>
    </row>
    <row r="20" spans="1:39" x14ac:dyDescent="0.2">
      <c r="A20" s="274">
        <v>5</v>
      </c>
      <c r="B20" s="300"/>
      <c r="C20" s="301"/>
      <c r="D20" s="301"/>
      <c r="E20" s="275" t="str">
        <f t="shared" si="0"/>
        <v>-</v>
      </c>
      <c r="F20" s="275">
        <v>0.15</v>
      </c>
      <c r="G20" s="275" t="str">
        <f t="shared" si="1"/>
        <v>-</v>
      </c>
      <c r="H20" s="275" t="str">
        <f t="shared" si="10"/>
        <v>-</v>
      </c>
      <c r="I20" s="275" t="str">
        <f t="shared" si="11"/>
        <v>-</v>
      </c>
      <c r="J20" s="275" t="str">
        <f t="shared" si="12"/>
        <v>-</v>
      </c>
      <c r="L20" s="274">
        <v>5</v>
      </c>
      <c r="M20" s="300"/>
      <c r="N20" s="301"/>
      <c r="O20" s="301"/>
      <c r="P20" s="275" t="str">
        <f t="shared" si="13"/>
        <v>-</v>
      </c>
      <c r="Q20" s="275">
        <v>1</v>
      </c>
      <c r="R20" s="275" t="str">
        <f t="shared" si="4"/>
        <v>-</v>
      </c>
      <c r="S20" s="275" t="str">
        <f t="shared" si="14"/>
        <v>-</v>
      </c>
      <c r="T20" s="275" t="str">
        <f t="shared" si="15"/>
        <v>-</v>
      </c>
      <c r="U20" s="275" t="str">
        <f t="shared" si="16"/>
        <v>-</v>
      </c>
      <c r="W20" s="274">
        <v>5</v>
      </c>
      <c r="X20" s="300"/>
      <c r="Y20" s="301"/>
      <c r="Z20" s="275" t="str">
        <f t="shared" si="17"/>
        <v>-</v>
      </c>
      <c r="AA20" s="275">
        <v>1</v>
      </c>
      <c r="AB20" s="275">
        <f t="shared" si="5"/>
        <v>0</v>
      </c>
      <c r="AC20" s="275" t="str">
        <f t="shared" si="18"/>
        <v>-</v>
      </c>
      <c r="AD20" s="275" t="str">
        <f t="shared" si="19"/>
        <v>-</v>
      </c>
      <c r="AE20" s="275" t="str">
        <f t="shared" si="20"/>
        <v>-</v>
      </c>
      <c r="AG20" s="274">
        <v>5</v>
      </c>
      <c r="AH20" s="300"/>
      <c r="AI20" s="301"/>
      <c r="AJ20" s="301"/>
      <c r="AK20" s="273"/>
      <c r="AL20" s="275" t="str">
        <f t="shared" si="21"/>
        <v>-</v>
      </c>
      <c r="AM20" s="228" t="str">
        <f t="shared" si="9"/>
        <v>-</v>
      </c>
    </row>
    <row r="21" spans="1:39" x14ac:dyDescent="0.2">
      <c r="A21" s="174">
        <v>6</v>
      </c>
      <c r="B21" s="302"/>
      <c r="C21" s="303"/>
      <c r="D21" s="303"/>
      <c r="E21" s="196" t="str">
        <f t="shared" si="0"/>
        <v>-</v>
      </c>
      <c r="F21" s="196">
        <v>0.15</v>
      </c>
      <c r="G21" s="196" t="str">
        <f t="shared" si="1"/>
        <v>-</v>
      </c>
      <c r="H21" s="196" t="str">
        <f t="shared" si="10"/>
        <v>-</v>
      </c>
      <c r="I21" s="196" t="str">
        <f t="shared" si="11"/>
        <v>-</v>
      </c>
      <c r="J21" s="196" t="str">
        <f t="shared" si="12"/>
        <v>-</v>
      </c>
      <c r="L21" s="174">
        <v>6</v>
      </c>
      <c r="M21" s="302"/>
      <c r="N21" s="303"/>
      <c r="O21" s="303"/>
      <c r="P21" s="196" t="str">
        <f t="shared" si="13"/>
        <v>-</v>
      </c>
      <c r="Q21" s="196">
        <v>1</v>
      </c>
      <c r="R21" s="196" t="str">
        <f t="shared" si="4"/>
        <v>-</v>
      </c>
      <c r="S21" s="196" t="str">
        <f t="shared" si="14"/>
        <v>-</v>
      </c>
      <c r="T21" s="196" t="str">
        <f t="shared" si="15"/>
        <v>-</v>
      </c>
      <c r="U21" s="196" t="str">
        <f t="shared" si="16"/>
        <v>-</v>
      </c>
      <c r="W21" s="174">
        <v>6</v>
      </c>
      <c r="X21" s="302"/>
      <c r="Y21" s="303"/>
      <c r="Z21" s="196" t="str">
        <f t="shared" si="17"/>
        <v>-</v>
      </c>
      <c r="AA21" s="196">
        <v>1</v>
      </c>
      <c r="AB21" s="196">
        <f t="shared" si="5"/>
        <v>0</v>
      </c>
      <c r="AC21" s="196" t="str">
        <f t="shared" si="18"/>
        <v>-</v>
      </c>
      <c r="AD21" s="196" t="str">
        <f t="shared" si="19"/>
        <v>-</v>
      </c>
      <c r="AE21" s="196" t="str">
        <f t="shared" si="20"/>
        <v>-</v>
      </c>
      <c r="AG21" s="174">
        <v>6</v>
      </c>
      <c r="AH21" s="302"/>
      <c r="AI21" s="303"/>
      <c r="AJ21" s="303"/>
      <c r="AK21" s="195"/>
      <c r="AL21" s="196" t="str">
        <f t="shared" si="21"/>
        <v>-</v>
      </c>
      <c r="AM21" s="196" t="str">
        <f t="shared" si="9"/>
        <v>-</v>
      </c>
    </row>
    <row r="22" spans="1:39" x14ac:dyDescent="0.2">
      <c r="A22" s="274">
        <v>7</v>
      </c>
      <c r="B22" s="300"/>
      <c r="C22" s="301"/>
      <c r="D22" s="301"/>
      <c r="E22" s="275" t="str">
        <f t="shared" si="0"/>
        <v>-</v>
      </c>
      <c r="F22" s="275">
        <v>0.15</v>
      </c>
      <c r="G22" s="275" t="str">
        <f t="shared" si="1"/>
        <v>-</v>
      </c>
      <c r="H22" s="275" t="str">
        <f t="shared" si="10"/>
        <v>-</v>
      </c>
      <c r="I22" s="275" t="str">
        <f t="shared" si="11"/>
        <v>-</v>
      </c>
      <c r="J22" s="275" t="str">
        <f t="shared" si="12"/>
        <v>-</v>
      </c>
      <c r="L22" s="274">
        <v>7</v>
      </c>
      <c r="M22" s="300"/>
      <c r="N22" s="301"/>
      <c r="O22" s="301"/>
      <c r="P22" s="275" t="str">
        <f t="shared" si="13"/>
        <v>-</v>
      </c>
      <c r="Q22" s="275">
        <v>1</v>
      </c>
      <c r="R22" s="275" t="str">
        <f t="shared" si="4"/>
        <v>-</v>
      </c>
      <c r="S22" s="275" t="str">
        <f t="shared" si="14"/>
        <v>-</v>
      </c>
      <c r="T22" s="275" t="str">
        <f t="shared" si="15"/>
        <v>-</v>
      </c>
      <c r="U22" s="275" t="str">
        <f t="shared" si="16"/>
        <v>-</v>
      </c>
      <c r="W22" s="274">
        <v>7</v>
      </c>
      <c r="X22" s="300"/>
      <c r="Y22" s="301"/>
      <c r="Z22" s="275" t="str">
        <f t="shared" si="17"/>
        <v>-</v>
      </c>
      <c r="AA22" s="275">
        <v>1</v>
      </c>
      <c r="AB22" s="275">
        <f t="shared" si="5"/>
        <v>0</v>
      </c>
      <c r="AC22" s="275" t="str">
        <f t="shared" si="18"/>
        <v>-</v>
      </c>
      <c r="AD22" s="275" t="str">
        <f t="shared" si="19"/>
        <v>-</v>
      </c>
      <c r="AE22" s="275" t="str">
        <f t="shared" si="20"/>
        <v>-</v>
      </c>
      <c r="AG22" s="274">
        <v>7</v>
      </c>
      <c r="AH22" s="300"/>
      <c r="AI22" s="301"/>
      <c r="AJ22" s="301"/>
      <c r="AK22" s="273"/>
      <c r="AL22" s="275" t="str">
        <f t="shared" si="21"/>
        <v>-</v>
      </c>
      <c r="AM22" s="228" t="str">
        <f t="shared" si="9"/>
        <v>-</v>
      </c>
    </row>
    <row r="23" spans="1:39" x14ac:dyDescent="0.2">
      <c r="A23" s="174">
        <v>8</v>
      </c>
      <c r="B23" s="302"/>
      <c r="C23" s="303"/>
      <c r="D23" s="303"/>
      <c r="E23" s="196" t="str">
        <f t="shared" si="0"/>
        <v>-</v>
      </c>
      <c r="F23" s="196">
        <v>0.15</v>
      </c>
      <c r="G23" s="196" t="str">
        <f t="shared" si="1"/>
        <v>-</v>
      </c>
      <c r="H23" s="196" t="str">
        <f t="shared" si="10"/>
        <v>-</v>
      </c>
      <c r="I23" s="196" t="str">
        <f t="shared" si="11"/>
        <v>-</v>
      </c>
      <c r="J23" s="196" t="str">
        <f t="shared" si="12"/>
        <v>-</v>
      </c>
      <c r="L23" s="174">
        <v>8</v>
      </c>
      <c r="M23" s="302"/>
      <c r="N23" s="303"/>
      <c r="O23" s="303"/>
      <c r="P23" s="196" t="str">
        <f t="shared" si="13"/>
        <v>-</v>
      </c>
      <c r="Q23" s="196">
        <v>1</v>
      </c>
      <c r="R23" s="196" t="str">
        <f t="shared" si="4"/>
        <v>-</v>
      </c>
      <c r="S23" s="196" t="str">
        <f t="shared" si="14"/>
        <v>-</v>
      </c>
      <c r="T23" s="196" t="str">
        <f t="shared" si="15"/>
        <v>-</v>
      </c>
      <c r="U23" s="196" t="str">
        <f t="shared" si="16"/>
        <v>-</v>
      </c>
      <c r="W23" s="174">
        <v>8</v>
      </c>
      <c r="X23" s="302"/>
      <c r="Y23" s="303"/>
      <c r="Z23" s="196" t="str">
        <f t="shared" si="17"/>
        <v>-</v>
      </c>
      <c r="AA23" s="196">
        <v>1</v>
      </c>
      <c r="AB23" s="196">
        <f t="shared" si="5"/>
        <v>0</v>
      </c>
      <c r="AC23" s="196" t="str">
        <f t="shared" si="18"/>
        <v>-</v>
      </c>
      <c r="AD23" s="196" t="str">
        <f t="shared" si="19"/>
        <v>-</v>
      </c>
      <c r="AE23" s="196" t="str">
        <f t="shared" si="20"/>
        <v>-</v>
      </c>
      <c r="AG23" s="174">
        <v>8</v>
      </c>
      <c r="AH23" s="302"/>
      <c r="AI23" s="303"/>
      <c r="AJ23" s="303"/>
      <c r="AK23" s="195"/>
      <c r="AL23" s="196" t="str">
        <f t="shared" si="21"/>
        <v>-</v>
      </c>
      <c r="AM23" s="196" t="str">
        <f t="shared" si="9"/>
        <v>-</v>
      </c>
    </row>
    <row r="33" spans="1:39" ht="18.75" x14ac:dyDescent="0.3">
      <c r="A33" s="456" t="s">
        <v>301</v>
      </c>
      <c r="B33" s="457"/>
      <c r="C33" s="457"/>
      <c r="D33" s="457"/>
      <c r="E33" s="457"/>
      <c r="F33" s="457"/>
      <c r="G33" s="457"/>
      <c r="H33" s="457"/>
      <c r="I33" s="457"/>
      <c r="J33" s="457"/>
      <c r="L33" s="456" t="s">
        <v>300</v>
      </c>
      <c r="M33" s="457"/>
      <c r="N33" s="457"/>
      <c r="O33" s="457"/>
      <c r="P33" s="457"/>
      <c r="Q33" s="457"/>
      <c r="R33" s="457"/>
      <c r="S33" s="457"/>
      <c r="T33" s="457"/>
      <c r="U33" s="457"/>
      <c r="V33" s="169"/>
      <c r="W33" s="456" t="s">
        <v>302</v>
      </c>
      <c r="X33" s="457"/>
      <c r="Y33" s="457"/>
      <c r="Z33" s="457"/>
      <c r="AA33" s="457"/>
      <c r="AB33" s="457"/>
      <c r="AC33" s="457"/>
      <c r="AD33" s="457"/>
      <c r="AE33" s="457"/>
      <c r="AG33" s="456" t="s">
        <v>274</v>
      </c>
      <c r="AH33" s="457"/>
      <c r="AI33" s="457"/>
      <c r="AJ33" s="457"/>
      <c r="AK33" s="457"/>
      <c r="AL33" s="457"/>
      <c r="AM33" s="457"/>
    </row>
    <row r="34" spans="1:39" ht="15.75" x14ac:dyDescent="0.3">
      <c r="A34" s="172"/>
      <c r="B34" s="172" t="s">
        <v>222</v>
      </c>
      <c r="C34" s="172" t="s">
        <v>223</v>
      </c>
      <c r="D34" s="172"/>
      <c r="E34" s="172" t="s">
        <v>224</v>
      </c>
      <c r="F34" s="105" t="s">
        <v>150</v>
      </c>
      <c r="G34" s="105" t="s">
        <v>293</v>
      </c>
      <c r="H34" s="105" t="s">
        <v>130</v>
      </c>
      <c r="I34" s="105" t="s">
        <v>131</v>
      </c>
      <c r="J34" s="105" t="s">
        <v>151</v>
      </c>
      <c r="L34" s="172"/>
      <c r="M34" s="172" t="s">
        <v>222</v>
      </c>
      <c r="N34" s="172" t="s">
        <v>223</v>
      </c>
      <c r="O34" s="172"/>
      <c r="P34" s="172" t="s">
        <v>224</v>
      </c>
      <c r="Q34" s="105" t="s">
        <v>150</v>
      </c>
      <c r="R34" s="105" t="s">
        <v>293</v>
      </c>
      <c r="S34" s="105" t="s">
        <v>130</v>
      </c>
      <c r="T34" s="105" t="s">
        <v>131</v>
      </c>
      <c r="U34" s="105" t="s">
        <v>151</v>
      </c>
      <c r="W34" s="172"/>
      <c r="X34" s="172" t="s">
        <v>222</v>
      </c>
      <c r="Y34" s="172" t="s">
        <v>226</v>
      </c>
      <c r="Z34" s="172" t="s">
        <v>224</v>
      </c>
      <c r="AA34" s="105" t="s">
        <v>150</v>
      </c>
      <c r="AB34" s="105" t="s">
        <v>293</v>
      </c>
      <c r="AC34" s="105" t="s">
        <v>130</v>
      </c>
      <c r="AD34" s="105" t="s">
        <v>131</v>
      </c>
      <c r="AE34" s="105" t="s">
        <v>151</v>
      </c>
      <c r="AG34" s="172"/>
      <c r="AH34" s="172" t="s">
        <v>222</v>
      </c>
      <c r="AI34" s="174" t="s">
        <v>225</v>
      </c>
      <c r="AJ34" s="174"/>
      <c r="AK34" s="71" t="s">
        <v>146</v>
      </c>
      <c r="AL34" s="69" t="s">
        <v>149</v>
      </c>
      <c r="AM34" s="69" t="s">
        <v>148</v>
      </c>
    </row>
    <row r="35" spans="1:39" x14ac:dyDescent="0.2">
      <c r="A35" s="172"/>
      <c r="B35" s="172" t="s">
        <v>33</v>
      </c>
      <c r="C35" s="172" t="s">
        <v>322</v>
      </c>
      <c r="D35" s="172" t="s">
        <v>323</v>
      </c>
      <c r="E35" s="172" t="s">
        <v>35</v>
      </c>
      <c r="F35" s="110" t="s">
        <v>103</v>
      </c>
      <c r="G35" s="110" t="s">
        <v>103</v>
      </c>
      <c r="H35" s="109"/>
      <c r="I35" s="109"/>
      <c r="J35" s="105" t="s">
        <v>108</v>
      </c>
      <c r="L35" s="172"/>
      <c r="M35" s="172" t="s">
        <v>33</v>
      </c>
      <c r="N35" s="172" t="s">
        <v>322</v>
      </c>
      <c r="O35" s="172" t="s">
        <v>323</v>
      </c>
      <c r="P35" s="172" t="s">
        <v>35</v>
      </c>
      <c r="Q35" s="110" t="s">
        <v>103</v>
      </c>
      <c r="R35" s="110" t="s">
        <v>103</v>
      </c>
      <c r="S35" s="109"/>
      <c r="T35" s="109"/>
      <c r="U35" s="105" t="s">
        <v>108</v>
      </c>
      <c r="W35" s="172"/>
      <c r="X35" s="172" t="s">
        <v>33</v>
      </c>
      <c r="Y35" s="172" t="s">
        <v>324</v>
      </c>
      <c r="Z35" s="172" t="s">
        <v>35</v>
      </c>
      <c r="AA35" s="110" t="s">
        <v>103</v>
      </c>
      <c r="AB35" s="110" t="s">
        <v>103</v>
      </c>
      <c r="AC35" s="109"/>
      <c r="AD35" s="109"/>
      <c r="AE35" s="105" t="s">
        <v>108</v>
      </c>
      <c r="AG35" s="172"/>
      <c r="AH35" s="172" t="s">
        <v>33</v>
      </c>
      <c r="AI35" s="174" t="s">
        <v>322</v>
      </c>
      <c r="AJ35" s="174" t="s">
        <v>323</v>
      </c>
      <c r="AK35" s="69"/>
      <c r="AL35" s="71" t="s">
        <v>35</v>
      </c>
      <c r="AM35" s="71" t="s">
        <v>35</v>
      </c>
    </row>
    <row r="36" spans="1:39" x14ac:dyDescent="0.2">
      <c r="A36" s="274">
        <v>1</v>
      </c>
      <c r="B36" s="300">
        <v>100</v>
      </c>
      <c r="C36" s="301">
        <v>0.25</v>
      </c>
      <c r="D36" s="301">
        <v>0.15</v>
      </c>
      <c r="E36" s="276">
        <f t="shared" ref="E36:E43" si="22">IFERROR(B36/1000/C36/D36,"-")</f>
        <v>2.666666666666667</v>
      </c>
      <c r="F36" s="276">
        <v>0.15</v>
      </c>
      <c r="G36" s="276">
        <f t="shared" ref="G36:G43" si="23">IFERROR(4*C36*D36/(2*(C36+D36))*1000,"-")</f>
        <v>187.49999999999997</v>
      </c>
      <c r="H36" s="276">
        <f t="shared" ref="H36:H43" si="24">IFERROR(66.4*G36*E36,"-")</f>
        <v>33200.000000000007</v>
      </c>
      <c r="I36" s="276">
        <f t="shared" ref="I36:I43" si="25">IFERROR(0.25/(LOG(F36/G36/3.7+5.74/H36^0.9,10))^2,"-")</f>
        <v>2.5174858498406127E-2</v>
      </c>
      <c r="J36" s="276">
        <f t="shared" ref="J36:J43" si="26">IFERROR($I36*$P$3/2*$E36^2/($G36/1000),"-")</f>
        <v>0.57477745080094322</v>
      </c>
      <c r="L36" s="274">
        <v>1</v>
      </c>
      <c r="M36" s="300">
        <v>200</v>
      </c>
      <c r="N36" s="301">
        <v>0.25</v>
      </c>
      <c r="O36" s="301">
        <v>0.25</v>
      </c>
      <c r="P36" s="276">
        <f>IFERROR(M36/1000/N36/O36,"-")</f>
        <v>3.2</v>
      </c>
      <c r="Q36" s="276">
        <v>1</v>
      </c>
      <c r="R36" s="276">
        <f t="shared" ref="R36" si="27">IFERROR(4*N36*O36/(2*(N36+O36))*1000,"-")</f>
        <v>250</v>
      </c>
      <c r="S36" s="276">
        <f>IFERROR(66.4*R36*P36,"-")</f>
        <v>53120</v>
      </c>
      <c r="T36" s="276">
        <f>IFERROR(0.25/(LOG(Q36/R36/3.7+5.74/S36^0.9,10))^2,"-")</f>
        <v>3.0707518737281031E-2</v>
      </c>
      <c r="U36" s="276">
        <f>IFERROR($T36*$P$3/2*$P36^2/($R36/1000),"-")</f>
        <v>0.75718354042237679</v>
      </c>
      <c r="V36" s="173"/>
      <c r="W36" s="274">
        <v>1</v>
      </c>
      <c r="X36" s="300">
        <v>55</v>
      </c>
      <c r="Y36" s="301">
        <v>0.15</v>
      </c>
      <c r="Z36" s="275">
        <f>X36/1000/(3.146/4*Y36^2)</f>
        <v>3.1080031080031079</v>
      </c>
      <c r="AA36" s="275">
        <v>1</v>
      </c>
      <c r="AB36" s="275">
        <f>Y36*1000</f>
        <v>150</v>
      </c>
      <c r="AC36" s="275">
        <f>IFERROR(66.4*Z36*AB36,"-")</f>
        <v>30955.710955710958</v>
      </c>
      <c r="AD36" s="275">
        <f>IFERROR(0.25/(LOG(AA36/AB36/3.7+5.74/AC36^0.9,10))^2,"-")</f>
        <v>3.6036501739845718E-2</v>
      </c>
      <c r="AE36" s="275">
        <f>IFERROR(AD36*$P$3/2*Z36^2/(AB36/1000),"-")</f>
        <v>1.3970461282407236</v>
      </c>
      <c r="AF36" s="171"/>
      <c r="AG36" s="274">
        <v>1</v>
      </c>
      <c r="AH36" s="300">
        <v>20</v>
      </c>
      <c r="AI36" s="301">
        <v>0.15</v>
      </c>
      <c r="AJ36" s="301">
        <v>0.15</v>
      </c>
      <c r="AK36" s="273">
        <v>0.5</v>
      </c>
      <c r="AL36" s="271">
        <f>IFERROR(AH36/1000/AI36/AJ36,"-")</f>
        <v>0.88888888888888895</v>
      </c>
      <c r="AM36" s="271">
        <f t="shared" ref="AM36" si="28">IFERROR(AL36/AK36,"-")</f>
        <v>1.7777777777777779</v>
      </c>
    </row>
    <row r="37" spans="1:39" x14ac:dyDescent="0.2">
      <c r="A37" s="174">
        <v>2</v>
      </c>
      <c r="B37" s="302">
        <v>200</v>
      </c>
      <c r="C37" s="303">
        <v>0.4</v>
      </c>
      <c r="D37" s="303">
        <v>0.15</v>
      </c>
      <c r="E37" s="189">
        <f t="shared" si="22"/>
        <v>3.3333333333333335</v>
      </c>
      <c r="F37" s="189">
        <v>0.15</v>
      </c>
      <c r="G37" s="189">
        <f t="shared" si="23"/>
        <v>218.18181818181813</v>
      </c>
      <c r="H37" s="189">
        <f t="shared" si="24"/>
        <v>48290.909090909081</v>
      </c>
      <c r="I37" s="189">
        <f t="shared" si="25"/>
        <v>2.3359947224787212E-2</v>
      </c>
      <c r="J37" s="189">
        <f t="shared" si="26"/>
        <v>0.7161554190858378</v>
      </c>
      <c r="L37" s="174">
        <v>2</v>
      </c>
      <c r="M37" s="302">
        <v>500</v>
      </c>
      <c r="N37" s="303">
        <v>0.35</v>
      </c>
      <c r="O37" s="303">
        <v>0.35</v>
      </c>
      <c r="P37" s="189">
        <f t="shared" ref="P37:P43" si="29">IFERROR(M37/1000/N37/O37,"-")</f>
        <v>4.0816326530612246</v>
      </c>
      <c r="Q37" s="189">
        <v>1</v>
      </c>
      <c r="R37" s="189">
        <f t="shared" ref="R37:R43" si="30">IFERROR(4*N37*O37/(2*(N37+O37))*1000,"-")</f>
        <v>350</v>
      </c>
      <c r="S37" s="189">
        <f t="shared" ref="S37:S43" si="31">IFERROR(66.4*R37*P37,"-")</f>
        <v>94857.14285714287</v>
      </c>
      <c r="T37" s="189">
        <f t="shared" ref="T37:T43" si="32">IFERROR(0.25/(LOG(Q37/R37/3.7+5.74/S37^0.9,10))^2,"-")</f>
        <v>2.7473319380005665E-2</v>
      </c>
      <c r="U37" s="189">
        <f t="shared" ref="U37:U43" si="33">IFERROR($T37*$P$3/2*$P37^2/($R37/1000),"-")</f>
        <v>0.78724047203014991</v>
      </c>
      <c r="V37" s="173"/>
      <c r="W37" s="174">
        <v>2</v>
      </c>
      <c r="X37" s="302">
        <v>120</v>
      </c>
      <c r="Y37" s="303">
        <v>0.2</v>
      </c>
      <c r="Z37" s="196">
        <f t="shared" ref="Z37:Z42" si="34">X37/1000/(3.146/4*Y37^2)</f>
        <v>3.8143674507310865</v>
      </c>
      <c r="AA37" s="196">
        <v>1</v>
      </c>
      <c r="AB37" s="196">
        <f t="shared" ref="AB37:AB42" si="35">Y37*1000</f>
        <v>200</v>
      </c>
      <c r="AC37" s="196">
        <f t="shared" ref="AC37:AC42" si="36">IFERROR(66.4*Z37*AB37,"-")</f>
        <v>50654.799745708835</v>
      </c>
      <c r="AD37" s="196">
        <f t="shared" ref="AD37:AD42" si="37">IFERROR(0.25/(LOG(AA37/AB37/3.7+5.74/AC37^0.9,10))^2,"-")</f>
        <v>3.2509169259574436E-2</v>
      </c>
      <c r="AE37" s="196">
        <f t="shared" ref="AE37:AE42" si="38">IFERROR(AD37*$P$3/2*Z37^2/(AB37/1000),"-")</f>
        <v>1.4236965177094414</v>
      </c>
      <c r="AF37" s="171"/>
      <c r="AG37" s="174">
        <v>2</v>
      </c>
      <c r="AH37" s="302">
        <v>40</v>
      </c>
      <c r="AI37" s="303">
        <v>0.2</v>
      </c>
      <c r="AJ37" s="303">
        <v>0.2</v>
      </c>
      <c r="AK37" s="195">
        <v>0.5</v>
      </c>
      <c r="AL37" s="189">
        <f t="shared" ref="AL37:AL43" si="39">IFERROR(AH37/1000/AI37/AJ37,"-")</f>
        <v>0.99999999999999989</v>
      </c>
      <c r="AM37" s="189">
        <f t="shared" ref="AM37:AM43" si="40">IFERROR(AL37/AK37,"-")</f>
        <v>1.9999999999999998</v>
      </c>
    </row>
    <row r="38" spans="1:39" x14ac:dyDescent="0.2">
      <c r="A38" s="274">
        <v>3</v>
      </c>
      <c r="B38" s="300">
        <v>400</v>
      </c>
      <c r="C38" s="301">
        <v>0.5</v>
      </c>
      <c r="D38" s="301">
        <v>0.2</v>
      </c>
      <c r="E38" s="276">
        <f t="shared" si="22"/>
        <v>4</v>
      </c>
      <c r="F38" s="276">
        <v>0.15</v>
      </c>
      <c r="G38" s="276">
        <f t="shared" si="23"/>
        <v>285.71428571428578</v>
      </c>
      <c r="H38" s="276">
        <f t="shared" si="24"/>
        <v>75885.714285714304</v>
      </c>
      <c r="I38" s="276">
        <f t="shared" si="25"/>
        <v>2.1293587823904472E-2</v>
      </c>
      <c r="J38" s="276">
        <f t="shared" si="26"/>
        <v>0.71784943271946744</v>
      </c>
      <c r="L38" s="274">
        <v>3</v>
      </c>
      <c r="M38" s="300">
        <v>1000</v>
      </c>
      <c r="N38" s="301">
        <v>0.45</v>
      </c>
      <c r="O38" s="301">
        <v>0.45</v>
      </c>
      <c r="P38" s="276">
        <f t="shared" si="29"/>
        <v>4.9382716049382713</v>
      </c>
      <c r="Q38" s="276">
        <v>1</v>
      </c>
      <c r="R38" s="276">
        <f t="shared" si="30"/>
        <v>450</v>
      </c>
      <c r="S38" s="276">
        <f t="shared" si="31"/>
        <v>147555.55555555556</v>
      </c>
      <c r="T38" s="276">
        <f t="shared" si="32"/>
        <v>2.5395234665820717E-2</v>
      </c>
      <c r="U38" s="276">
        <f t="shared" si="33"/>
        <v>0.82848786702970456</v>
      </c>
      <c r="V38" s="173"/>
      <c r="W38" s="274">
        <v>3</v>
      </c>
      <c r="X38" s="300">
        <v>195</v>
      </c>
      <c r="Y38" s="301">
        <v>0.25</v>
      </c>
      <c r="Z38" s="275">
        <f t="shared" si="34"/>
        <v>3.9669421487603307</v>
      </c>
      <c r="AA38" s="275">
        <v>1</v>
      </c>
      <c r="AB38" s="275">
        <f t="shared" si="35"/>
        <v>250</v>
      </c>
      <c r="AC38" s="275">
        <f t="shared" si="36"/>
        <v>65851.239669421484</v>
      </c>
      <c r="AD38" s="275">
        <f t="shared" si="37"/>
        <v>3.0327261561847986E-2</v>
      </c>
      <c r="AE38" s="275">
        <f t="shared" si="38"/>
        <v>1.1492153378696988</v>
      </c>
      <c r="AF38" s="171"/>
      <c r="AG38" s="274">
        <v>3</v>
      </c>
      <c r="AH38" s="300">
        <v>60</v>
      </c>
      <c r="AI38" s="301">
        <v>0.25</v>
      </c>
      <c r="AJ38" s="301">
        <v>0.25</v>
      </c>
      <c r="AK38" s="273">
        <v>0.5</v>
      </c>
      <c r="AL38" s="276">
        <f t="shared" si="39"/>
        <v>0.96</v>
      </c>
      <c r="AM38" s="271">
        <f t="shared" si="40"/>
        <v>1.92</v>
      </c>
    </row>
    <row r="39" spans="1:39" x14ac:dyDescent="0.2">
      <c r="A39" s="174">
        <v>4</v>
      </c>
      <c r="B39" s="302">
        <v>600</v>
      </c>
      <c r="C39" s="303">
        <v>0.5</v>
      </c>
      <c r="D39" s="303">
        <v>0.25</v>
      </c>
      <c r="E39" s="189">
        <f t="shared" si="22"/>
        <v>4.8</v>
      </c>
      <c r="F39" s="189">
        <v>0.15</v>
      </c>
      <c r="G39" s="189">
        <f t="shared" si="23"/>
        <v>333.33333333333331</v>
      </c>
      <c r="H39" s="189">
        <f t="shared" si="24"/>
        <v>106240.00000000001</v>
      </c>
      <c r="I39" s="189">
        <f t="shared" si="25"/>
        <v>2.0035803773006115E-2</v>
      </c>
      <c r="J39" s="189">
        <f t="shared" si="26"/>
        <v>0.83369460358768999</v>
      </c>
      <c r="L39" s="174">
        <v>4</v>
      </c>
      <c r="M39" s="302">
        <v>2000</v>
      </c>
      <c r="N39" s="303">
        <v>0.6</v>
      </c>
      <c r="O39" s="303">
        <v>0.6</v>
      </c>
      <c r="P39" s="189">
        <f t="shared" si="29"/>
        <v>5.5555555555555562</v>
      </c>
      <c r="Q39" s="189">
        <v>1</v>
      </c>
      <c r="R39" s="189">
        <f t="shared" si="30"/>
        <v>600</v>
      </c>
      <c r="S39" s="189">
        <f t="shared" si="31"/>
        <v>221333.33333333337</v>
      </c>
      <c r="T39" s="189">
        <f t="shared" si="32"/>
        <v>2.3405522771009473E-2</v>
      </c>
      <c r="U39" s="189">
        <f t="shared" si="33"/>
        <v>0.72480065371130187</v>
      </c>
      <c r="V39" s="173"/>
      <c r="W39" s="174">
        <v>4</v>
      </c>
      <c r="X39" s="302">
        <v>250</v>
      </c>
      <c r="Y39" s="303">
        <v>0.3</v>
      </c>
      <c r="Z39" s="196">
        <f t="shared" si="34"/>
        <v>3.5318217136398955</v>
      </c>
      <c r="AA39" s="196">
        <v>1</v>
      </c>
      <c r="AB39" s="196">
        <f t="shared" si="35"/>
        <v>300</v>
      </c>
      <c r="AC39" s="196">
        <f t="shared" si="36"/>
        <v>70353.888535706719</v>
      </c>
      <c r="AD39" s="196">
        <f t="shared" si="37"/>
        <v>2.8936785777003239E-2</v>
      </c>
      <c r="AE39" s="196">
        <f t="shared" si="38"/>
        <v>0.72430764680323056</v>
      </c>
      <c r="AF39" s="171"/>
      <c r="AG39" s="174">
        <v>4</v>
      </c>
      <c r="AH39" s="302">
        <v>70</v>
      </c>
      <c r="AI39" s="303">
        <v>0.3</v>
      </c>
      <c r="AJ39" s="303">
        <v>0.3</v>
      </c>
      <c r="AK39" s="195">
        <v>0.5</v>
      </c>
      <c r="AL39" s="189">
        <f t="shared" si="39"/>
        <v>0.7777777777777779</v>
      </c>
      <c r="AM39" s="189">
        <f t="shared" si="40"/>
        <v>1.5555555555555558</v>
      </c>
    </row>
    <row r="40" spans="1:39" x14ac:dyDescent="0.2">
      <c r="A40" s="274">
        <v>5</v>
      </c>
      <c r="B40" s="300">
        <v>800</v>
      </c>
      <c r="C40" s="301">
        <v>0.6</v>
      </c>
      <c r="D40" s="301">
        <v>0.25</v>
      </c>
      <c r="E40" s="276">
        <f t="shared" si="22"/>
        <v>5.3333333333333339</v>
      </c>
      <c r="F40" s="276">
        <v>0.15</v>
      </c>
      <c r="G40" s="276">
        <f t="shared" si="23"/>
        <v>352.94117647058823</v>
      </c>
      <c r="H40" s="276">
        <f t="shared" si="24"/>
        <v>124988.23529411767</v>
      </c>
      <c r="I40" s="276">
        <f t="shared" si="25"/>
        <v>1.9512357732234739E-2</v>
      </c>
      <c r="J40" s="276">
        <f t="shared" si="26"/>
        <v>0.94667600133542096</v>
      </c>
      <c r="L40" s="274">
        <v>5</v>
      </c>
      <c r="M40" s="300">
        <v>5000</v>
      </c>
      <c r="N40" s="301">
        <v>0.85</v>
      </c>
      <c r="O40" s="301">
        <v>0.85</v>
      </c>
      <c r="P40" s="276">
        <f t="shared" si="29"/>
        <v>6.9204152249134951</v>
      </c>
      <c r="Q40" s="276">
        <v>1</v>
      </c>
      <c r="R40" s="276">
        <f t="shared" si="30"/>
        <v>850</v>
      </c>
      <c r="S40" s="276">
        <f t="shared" si="31"/>
        <v>390588.23529411771</v>
      </c>
      <c r="T40" s="276">
        <f t="shared" si="32"/>
        <v>2.1245090492477803E-2</v>
      </c>
      <c r="U40" s="276">
        <f t="shared" si="33"/>
        <v>0.72061028548489814</v>
      </c>
      <c r="V40" s="173"/>
      <c r="W40" s="274">
        <v>5</v>
      </c>
      <c r="X40" s="300">
        <v>355</v>
      </c>
      <c r="Y40" s="301">
        <v>0.35</v>
      </c>
      <c r="Z40" s="275">
        <f t="shared" si="34"/>
        <v>3.6846270612504384</v>
      </c>
      <c r="AA40" s="275">
        <v>1</v>
      </c>
      <c r="AB40" s="275">
        <f t="shared" si="35"/>
        <v>350</v>
      </c>
      <c r="AC40" s="275">
        <f t="shared" si="36"/>
        <v>85630.732903460201</v>
      </c>
      <c r="AD40" s="275">
        <f t="shared" si="37"/>
        <v>2.7623422515467125E-2</v>
      </c>
      <c r="AE40" s="275">
        <f t="shared" si="38"/>
        <v>0.64504944802968733</v>
      </c>
      <c r="AF40" s="171"/>
      <c r="AG40" s="274">
        <v>5</v>
      </c>
      <c r="AH40" s="300">
        <v>80</v>
      </c>
      <c r="AI40" s="301">
        <v>0.3</v>
      </c>
      <c r="AJ40" s="301">
        <v>0.3</v>
      </c>
      <c r="AK40" s="273">
        <v>0.5</v>
      </c>
      <c r="AL40" s="276">
        <f t="shared" si="39"/>
        <v>0.88888888888888895</v>
      </c>
      <c r="AM40" s="271">
        <f t="shared" si="40"/>
        <v>1.7777777777777779</v>
      </c>
    </row>
    <row r="41" spans="1:39" x14ac:dyDescent="0.2">
      <c r="A41" s="174">
        <v>6</v>
      </c>
      <c r="B41" s="302">
        <v>1000</v>
      </c>
      <c r="C41" s="303">
        <v>0.8</v>
      </c>
      <c r="D41" s="303">
        <v>0.25</v>
      </c>
      <c r="E41" s="189">
        <f t="shared" si="22"/>
        <v>5</v>
      </c>
      <c r="F41" s="189">
        <v>0.15</v>
      </c>
      <c r="G41" s="189">
        <f t="shared" si="23"/>
        <v>380.95238095238091</v>
      </c>
      <c r="H41" s="189">
        <f t="shared" si="24"/>
        <v>126476.19047619047</v>
      </c>
      <c r="I41" s="189">
        <f t="shared" si="25"/>
        <v>1.9330001007947933E-2</v>
      </c>
      <c r="J41" s="189">
        <f t="shared" si="26"/>
        <v>0.76365585232024302</v>
      </c>
      <c r="L41" s="174">
        <v>6</v>
      </c>
      <c r="M41" s="302">
        <v>10000</v>
      </c>
      <c r="N41" s="303">
        <v>1.1000000000000001</v>
      </c>
      <c r="O41" s="303">
        <v>1.1000000000000001</v>
      </c>
      <c r="P41" s="189">
        <f t="shared" si="29"/>
        <v>8.2644628099173545</v>
      </c>
      <c r="Q41" s="189">
        <v>1</v>
      </c>
      <c r="R41" s="189">
        <f t="shared" si="30"/>
        <v>1100</v>
      </c>
      <c r="S41" s="189">
        <f t="shared" si="31"/>
        <v>603636.36363636353</v>
      </c>
      <c r="T41" s="189">
        <f t="shared" si="32"/>
        <v>1.9834829807543222E-2</v>
      </c>
      <c r="U41" s="189">
        <f t="shared" si="33"/>
        <v>0.74141529975852472</v>
      </c>
      <c r="V41" s="173"/>
      <c r="W41" s="174">
        <v>6</v>
      </c>
      <c r="X41" s="302">
        <v>500</v>
      </c>
      <c r="Y41" s="303">
        <v>0.4</v>
      </c>
      <c r="Z41" s="196">
        <f t="shared" si="34"/>
        <v>3.9732994278448821</v>
      </c>
      <c r="AA41" s="196">
        <v>1</v>
      </c>
      <c r="AB41" s="196">
        <f t="shared" si="35"/>
        <v>400</v>
      </c>
      <c r="AC41" s="196">
        <f t="shared" si="36"/>
        <v>105530.83280356009</v>
      </c>
      <c r="AD41" s="196">
        <f t="shared" si="37"/>
        <v>2.650313287002818E-2</v>
      </c>
      <c r="AE41" s="196">
        <f t="shared" si="38"/>
        <v>0.62970378423479278</v>
      </c>
      <c r="AF41" s="171"/>
      <c r="AG41" s="174">
        <v>6</v>
      </c>
      <c r="AH41" s="302">
        <v>90</v>
      </c>
      <c r="AI41" s="303">
        <v>0.35</v>
      </c>
      <c r="AJ41" s="303">
        <v>0.35</v>
      </c>
      <c r="AK41" s="195">
        <v>0.5</v>
      </c>
      <c r="AL41" s="189">
        <f t="shared" si="39"/>
        <v>0.73469387755102056</v>
      </c>
      <c r="AM41" s="189">
        <f t="shared" si="40"/>
        <v>1.4693877551020411</v>
      </c>
    </row>
    <row r="42" spans="1:39" x14ac:dyDescent="0.2">
      <c r="A42" s="274">
        <v>7</v>
      </c>
      <c r="B42" s="300">
        <v>1500</v>
      </c>
      <c r="C42" s="301">
        <v>1</v>
      </c>
      <c r="D42" s="301">
        <v>0.3</v>
      </c>
      <c r="E42" s="276">
        <f t="shared" si="22"/>
        <v>5</v>
      </c>
      <c r="F42" s="276">
        <v>0.15</v>
      </c>
      <c r="G42" s="276">
        <f t="shared" si="23"/>
        <v>461.53846153846149</v>
      </c>
      <c r="H42" s="276">
        <f t="shared" si="24"/>
        <v>153230.76923076922</v>
      </c>
      <c r="I42" s="276">
        <f t="shared" si="25"/>
        <v>1.8513129628073031E-2</v>
      </c>
      <c r="J42" s="276">
        <f t="shared" si="26"/>
        <v>0.60368230195541472</v>
      </c>
      <c r="L42" s="274">
        <v>7</v>
      </c>
      <c r="M42" s="300">
        <v>15000</v>
      </c>
      <c r="N42" s="301">
        <v>1.25</v>
      </c>
      <c r="O42" s="301">
        <v>1.25</v>
      </c>
      <c r="P42" s="276">
        <f t="shared" si="29"/>
        <v>9.6</v>
      </c>
      <c r="Q42" s="276">
        <v>1</v>
      </c>
      <c r="R42" s="276">
        <f t="shared" si="30"/>
        <v>1250</v>
      </c>
      <c r="S42" s="276">
        <f t="shared" si="31"/>
        <v>796800</v>
      </c>
      <c r="T42" s="276">
        <f t="shared" si="32"/>
        <v>1.9160426894097443E-2</v>
      </c>
      <c r="U42" s="276">
        <f t="shared" si="33"/>
        <v>0.85042129233690567</v>
      </c>
      <c r="V42" s="173"/>
      <c r="W42" s="274">
        <v>7</v>
      </c>
      <c r="X42" s="300">
        <v>600</v>
      </c>
      <c r="Y42" s="301">
        <v>0.45</v>
      </c>
      <c r="Z42" s="275">
        <f t="shared" si="34"/>
        <v>3.7672764945492219</v>
      </c>
      <c r="AA42" s="275">
        <v>1</v>
      </c>
      <c r="AB42" s="275">
        <f t="shared" si="35"/>
        <v>450</v>
      </c>
      <c r="AC42" s="275">
        <f t="shared" si="36"/>
        <v>112566.22165713077</v>
      </c>
      <c r="AD42" s="275">
        <f t="shared" si="37"/>
        <v>2.5730980290408354E-2</v>
      </c>
      <c r="AE42" s="275">
        <f t="shared" si="38"/>
        <v>0.48853457044262549</v>
      </c>
      <c r="AF42" s="171"/>
      <c r="AG42" s="274">
        <v>7</v>
      </c>
      <c r="AH42" s="300">
        <v>100</v>
      </c>
      <c r="AI42" s="301">
        <v>0.4</v>
      </c>
      <c r="AJ42" s="301">
        <v>0.4</v>
      </c>
      <c r="AK42" s="273">
        <v>0.5</v>
      </c>
      <c r="AL42" s="276">
        <f t="shared" si="39"/>
        <v>0.625</v>
      </c>
      <c r="AM42" s="271">
        <f t="shared" si="40"/>
        <v>1.25</v>
      </c>
    </row>
    <row r="43" spans="1:39" x14ac:dyDescent="0.2">
      <c r="A43" s="174">
        <v>8</v>
      </c>
      <c r="B43" s="302">
        <v>2000</v>
      </c>
      <c r="C43" s="303">
        <v>1.2</v>
      </c>
      <c r="D43" s="303">
        <v>0.3</v>
      </c>
      <c r="E43" s="189">
        <f t="shared" si="22"/>
        <v>5.5555555555555562</v>
      </c>
      <c r="F43" s="189">
        <v>0.15</v>
      </c>
      <c r="G43" s="189">
        <f t="shared" si="23"/>
        <v>480</v>
      </c>
      <c r="H43" s="189">
        <f t="shared" si="24"/>
        <v>177066.66666666672</v>
      </c>
      <c r="I43" s="189">
        <f t="shared" si="25"/>
        <v>1.8119752495081212E-2</v>
      </c>
      <c r="J43" s="189">
        <f t="shared" si="26"/>
        <v>0.70139474035743898</v>
      </c>
      <c r="L43" s="174">
        <v>8</v>
      </c>
      <c r="M43" s="302">
        <v>20000</v>
      </c>
      <c r="N43" s="303">
        <v>1.4</v>
      </c>
      <c r="O43" s="303">
        <v>1.4</v>
      </c>
      <c r="P43" s="189">
        <f t="shared" si="29"/>
        <v>10.204081632653063</v>
      </c>
      <c r="Q43" s="189">
        <v>1</v>
      </c>
      <c r="R43" s="189">
        <f t="shared" si="30"/>
        <v>1400</v>
      </c>
      <c r="S43" s="189">
        <f t="shared" si="31"/>
        <v>948571.42857142887</v>
      </c>
      <c r="T43" s="189">
        <f t="shared" si="32"/>
        <v>1.8627069325432663E-2</v>
      </c>
      <c r="U43" s="189">
        <f t="shared" si="33"/>
        <v>0.83398998437484873</v>
      </c>
      <c r="V43" s="173"/>
      <c r="W43" s="174">
        <v>8</v>
      </c>
      <c r="X43" s="191"/>
      <c r="Y43" s="192"/>
      <c r="Z43" s="196"/>
      <c r="AA43" s="196"/>
      <c r="AB43" s="196"/>
      <c r="AC43" s="196"/>
      <c r="AD43" s="196"/>
      <c r="AE43" s="196"/>
      <c r="AF43" s="171"/>
      <c r="AG43" s="174">
        <v>8</v>
      </c>
      <c r="AH43" s="302">
        <v>120</v>
      </c>
      <c r="AI43" s="303">
        <v>0.4</v>
      </c>
      <c r="AJ43" s="303">
        <v>0.4</v>
      </c>
      <c r="AK43" s="195">
        <v>0.5</v>
      </c>
      <c r="AL43" s="189">
        <f t="shared" si="39"/>
        <v>0.74999999999999989</v>
      </c>
      <c r="AM43" s="189">
        <f t="shared" si="40"/>
        <v>1.4999999999999998</v>
      </c>
    </row>
    <row r="44" spans="1:39" x14ac:dyDescent="0.2">
      <c r="C44" s="190"/>
      <c r="D44" s="190"/>
      <c r="N44" s="190"/>
      <c r="O44" s="190"/>
    </row>
    <row r="48" spans="1:39" ht="13.9" customHeight="1" x14ac:dyDescent="0.2"/>
  </sheetData>
  <mergeCells count="10">
    <mergeCell ref="AG33:AM33"/>
    <mergeCell ref="AG13:AM13"/>
    <mergeCell ref="L33:U33"/>
    <mergeCell ref="A33:J33"/>
    <mergeCell ref="L13:U13"/>
    <mergeCell ref="A13:J13"/>
    <mergeCell ref="W33:AE33"/>
    <mergeCell ref="W13:AE13"/>
    <mergeCell ref="C14:D14"/>
    <mergeCell ref="N14:O14"/>
  </mergeCells>
  <dataValidations disablePrompts="1" count="1">
    <dataValidation type="list" allowBlank="1" showInputMessage="1" showErrorMessage="1" sqref="P4" xr:uid="{3F0DCE88-EFAC-423A-A97D-74918174AA42}">
      <formula1>$R$3:$R$8</formula1>
    </dataValidation>
  </dataValidations>
  <pageMargins left="0.7" right="0.7" top="0.75" bottom="0.75" header="0.3" footer="0.3"/>
  <pageSetup paperSize="9" orientation="portrait" r:id="rId1"/>
  <legacyDrawing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ED59820-3A4E-4C65-926B-A362DC04C59A}">
  <dimension ref="A2:Z43"/>
  <sheetViews>
    <sheetView zoomScale="90" zoomScaleNormal="90" zoomScaleSheetLayoutView="95" workbookViewId="0">
      <selection activeCell="D9" sqref="D9"/>
    </sheetView>
  </sheetViews>
  <sheetFormatPr defaultColWidth="9.140625" defaultRowHeight="12.75" outlineLevelRow="1" outlineLevelCol="1" x14ac:dyDescent="0.2"/>
  <cols>
    <col min="1" max="1" width="4.28515625" style="23" customWidth="1"/>
    <col min="2" max="2" width="16.7109375" style="23" customWidth="1"/>
    <col min="3" max="4" width="12.7109375" style="23" customWidth="1"/>
    <col min="5" max="5" width="16.7109375" style="23" customWidth="1"/>
    <col min="6" max="7" width="12.7109375" style="23" customWidth="1"/>
    <col min="8" max="8" width="16.7109375" style="23" customWidth="1"/>
    <col min="9" max="10" width="12.7109375" style="23" customWidth="1"/>
    <col min="11" max="11" width="16.7109375" style="23" customWidth="1"/>
    <col min="12" max="12" width="12.7109375" style="23" customWidth="1"/>
    <col min="13" max="14" width="8.85546875" style="23"/>
    <col min="15" max="16" width="9.140625" style="23"/>
    <col min="17" max="18" width="20.7109375" style="23" hidden="1" customWidth="1" outlineLevel="1"/>
    <col min="19" max="19" width="9.140625" style="23" hidden="1" customWidth="1" outlineLevel="1"/>
    <col min="20" max="20" width="24.85546875" style="23" hidden="1" customWidth="1" outlineLevel="1"/>
    <col min="21" max="24" width="20.7109375" style="23" hidden="1" customWidth="1" outlineLevel="1"/>
    <col min="25" max="25" width="9.140625" style="23" hidden="1" customWidth="1" outlineLevel="1"/>
    <col min="26" max="26" width="9.140625" style="23" collapsed="1"/>
    <col min="27" max="16384" width="9.140625" style="23"/>
  </cols>
  <sheetData>
    <row r="2" spans="2:25" ht="48" customHeight="1" x14ac:dyDescent="0.3">
      <c r="B2" s="487" t="s">
        <v>310</v>
      </c>
      <c r="C2" s="487"/>
      <c r="E2" s="488" t="s">
        <v>352</v>
      </c>
      <c r="F2" s="488"/>
      <c r="H2" s="489" t="s">
        <v>311</v>
      </c>
      <c r="I2" s="489"/>
      <c r="K2" s="490" t="s">
        <v>312</v>
      </c>
      <c r="L2" s="490"/>
    </row>
    <row r="3" spans="2:25" x14ac:dyDescent="0.2">
      <c r="B3" s="69" t="s">
        <v>247</v>
      </c>
      <c r="C3" s="69" t="s">
        <v>239</v>
      </c>
      <c r="E3" s="69" t="s">
        <v>247</v>
      </c>
      <c r="F3" s="69" t="s">
        <v>239</v>
      </c>
      <c r="H3" s="69" t="s">
        <v>247</v>
      </c>
      <c r="I3" s="69" t="s">
        <v>239</v>
      </c>
      <c r="K3" s="69" t="s">
        <v>351</v>
      </c>
      <c r="L3" s="69" t="s">
        <v>239</v>
      </c>
    </row>
    <row r="4" spans="2:25" x14ac:dyDescent="0.2">
      <c r="B4" s="304">
        <v>2.25</v>
      </c>
      <c r="C4" s="304" cm="1">
        <f t="array" ref="C4">IFERROR(IF(AND(B4&lt;$B$15,B4&gt;0),$C$15,IF(B4&gt;=$B$34,"-",INDEX($C$15:$C$36,MATCH(B4,$B$15:$B$36)+1))),"-")</f>
        <v>65</v>
      </c>
      <c r="E4" s="304">
        <v>14</v>
      </c>
      <c r="F4" s="304" cm="1">
        <f t="array" ref="F4">IFERROR(IF(AND(E4&lt;$E$15,E4&gt;0),$F$15,IF(E4&gt;=$E$34,"-",INDEX($F$15:$F$36,MATCH(E4,$E$15:$E$36)+1))),"-")</f>
        <v>100</v>
      </c>
      <c r="H4" s="304">
        <v>0.01</v>
      </c>
      <c r="I4" s="304" cm="1">
        <f t="array" ref="I4">IFERROR(IF(AND(H4&lt;$H$15,H4&gt;0),$I$15,IF(H4&gt;=$H$34,"-",INDEX($I$15:$I$36,MATCH(H4,$H$15:$H$36)+1))),"-")</f>
        <v>15</v>
      </c>
      <c r="K4" s="304">
        <v>44.5</v>
      </c>
      <c r="L4" s="304" cm="1">
        <f t="array" ref="L4">IFERROR(IF(AND(K4&lt;$K$15,K4&gt;0),$L$15,IF(K4&gt;=$K$22,"-",INDEX($L$15:$L$23,MATCH(K4,$K$15:$K$23)+1))),"-")</f>
        <v>32</v>
      </c>
    </row>
    <row r="5" spans="2:25" x14ac:dyDescent="0.2">
      <c r="B5" s="305">
        <v>3.51</v>
      </c>
      <c r="C5" s="305" cm="1">
        <f t="array" ref="C5">IFERROR(IF(AND(B5&lt;$B$15,B5&gt;0),$C$15,IF(B5&gt;=$B$34,"-",INDEX($C$15:$C$36,MATCH(B5,$B$15:$B$36)+1))),"-")</f>
        <v>80</v>
      </c>
      <c r="E5" s="305">
        <v>14.01</v>
      </c>
      <c r="F5" s="305" cm="1">
        <f t="array" ref="F5">IFERROR(IF(AND(E5&lt;$E$15,E5&gt;0),$F$15,IF(E5&gt;=$E$34,"-",INDEX($F$15:$F$36,MATCH(E5,$E$15:$E$36)+1))),"-")</f>
        <v>125</v>
      </c>
      <c r="H5" s="305">
        <v>0.04</v>
      </c>
      <c r="I5" s="305" cm="1">
        <f t="array" ref="I5">IFERROR(IF(AND(H5&lt;$H$15,H5&gt;0),$I$15,IF(H5&gt;=$H$34,"-",INDEX($I$15:$I$36,MATCH(H5,$H$15:$H$36)+1))),"-")</f>
        <v>20</v>
      </c>
      <c r="K5" s="305">
        <v>100</v>
      </c>
      <c r="L5" s="305" cm="1">
        <f t="array" ref="L5">IFERROR(IF(AND(K5&lt;$K$15,K5&gt;0),$L$15,IF(K5&gt;=$K$22,"-",INDEX($L$15:$L$23,MATCH(K5,$K$15:$K$23)+1))),"-")</f>
        <v>40</v>
      </c>
    </row>
    <row r="6" spans="2:25" x14ac:dyDescent="0.2">
      <c r="B6" s="304">
        <v>5.8</v>
      </c>
      <c r="C6" s="304" cm="1">
        <f t="array" ref="C6">IFERROR(IF(AND(B6&lt;$B$15,B6&gt;0),$C$15,IF(B6&gt;=$B$34,"-",INDEX($C$15:$C$36,MATCH(B6,$B$15:$B$36)+1))),"-")</f>
        <v>80</v>
      </c>
      <c r="E6" s="304">
        <v>14.1</v>
      </c>
      <c r="F6" s="304" cm="1">
        <f t="array" ref="F6">IFERROR(IF(AND(E6&lt;$E$15,E6&gt;0),$F$15,IF(E6&gt;=$E$34,"-",INDEX($F$15:$F$36,MATCH(E6,$E$15:$E$36)+1))),"-")</f>
        <v>125</v>
      </c>
      <c r="H6" s="304" t="s">
        <v>297</v>
      </c>
      <c r="I6" s="304" t="str" cm="1">
        <f t="array" ref="I6">IFERROR(IF(AND(H6&lt;$H$15,H6&gt;0),$I$15,IF(H6&gt;=$H$34,"-",INDEX($I$15:$I$36,MATCH(H6,$H$15:$H$36)+1))),"-")</f>
        <v>-</v>
      </c>
      <c r="K6" s="304">
        <v>101</v>
      </c>
      <c r="L6" s="304" cm="1">
        <f t="array" ref="L6">IFERROR(IF(AND(K6&lt;$K$15,K6&gt;0),$L$15,IF(K6&gt;=$K$22,"-",INDEX($L$15:$L$23,MATCH(K6,$K$15:$K$23)+1))),"-")</f>
        <v>40</v>
      </c>
    </row>
    <row r="7" spans="2:25" x14ac:dyDescent="0.2">
      <c r="B7" s="305" t="s">
        <v>297</v>
      </c>
      <c r="C7" s="305" t="str" cm="1">
        <f t="array" ref="C7">IFERROR(IF(AND(B7&lt;$B$15,B7&gt;0),$C$15,IF(B7&gt;=$B$34,"-",INDEX($C$15:$C$36,MATCH(B7,$B$15:$B$36)+1))),"-")</f>
        <v>-</v>
      </c>
      <c r="E7" s="305">
        <v>25</v>
      </c>
      <c r="F7" s="305" cm="1">
        <f t="array" ref="F7">IFERROR(IF(AND(E7&lt;$E$15,E7&gt;0),$F$15,IF(E7&gt;=$E$34,"-",INDEX($F$15:$F$36,MATCH(E7,$E$15:$E$36)+1))),"-")</f>
        <v>125</v>
      </c>
      <c r="H7" s="305" t="s">
        <v>297</v>
      </c>
      <c r="I7" s="305" t="str" cm="1">
        <f t="array" ref="I7">IFERROR(IF(AND(H7&lt;$H$15,H7&gt;0),$I$15,IF(H7&gt;=$H$34,"-",INDEX($I$15:$I$36,MATCH(H7,$H$15:$H$36)+1))),"-")</f>
        <v>-</v>
      </c>
      <c r="K7" s="305" t="s">
        <v>297</v>
      </c>
      <c r="L7" s="305" t="str" cm="1">
        <f t="array" ref="L7">IFERROR(IF(AND(K7&lt;$K$15,K7&gt;0),$L$15,IF(K7&gt;=$K$22,"-",INDEX($L$15:$L$23,MATCH(K7,$K$15:$K$23)+1))),"-")</f>
        <v>-</v>
      </c>
    </row>
    <row r="8" spans="2:25" outlineLevel="1" x14ac:dyDescent="0.2">
      <c r="B8" s="304" t="s">
        <v>297</v>
      </c>
      <c r="C8" s="304" t="str" cm="1">
        <f t="array" ref="C8">IFERROR(IF(AND(B8&lt;$B$15,B8&gt;0),$C$15,IF(B8&gt;=$B$34,"-",INDEX($C$15:$C$36,MATCH(B8,$B$15:$B$36)+1))),"-")</f>
        <v>-</v>
      </c>
      <c r="E8" s="304" t="s">
        <v>297</v>
      </c>
      <c r="F8" s="304" t="str" cm="1">
        <f t="array" ref="F8">IFERROR(IF(AND(E8&lt;$E$15,E8&gt;0),$F$15,IF(E8&gt;=$E$34,"-",INDEX($F$15:$F$36,MATCH(E8,$E$15:$E$36)+1))),"-")</f>
        <v>-</v>
      </c>
      <c r="H8" s="304" t="s">
        <v>297</v>
      </c>
      <c r="I8" s="304" t="str" cm="1">
        <f t="array" ref="I8">IFERROR(IF(AND(H8&lt;$H$15,H8&gt;0),$I$15,IF(H8&gt;=$H$34,"-",INDEX($I$15:$I$36,MATCH(H8,$H$15:$H$36)+1))),"-")</f>
        <v>-</v>
      </c>
      <c r="K8" s="304" t="s">
        <v>297</v>
      </c>
      <c r="L8" s="304" t="str" cm="1">
        <f t="array" ref="L8">IFERROR(IF(AND(K8&lt;$K$15,K8&gt;0),$L$15,IF(K8&gt;=$K$22,"-",INDEX($L$15:$L$23,MATCH(K8,$K$15:$K$23)+1))),"-")</f>
        <v>-</v>
      </c>
      <c r="T8" s="152" t="s">
        <v>171</v>
      </c>
      <c r="U8" s="152" t="s">
        <v>279</v>
      </c>
      <c r="V8" s="152" t="s">
        <v>280</v>
      </c>
      <c r="W8" s="152" t="s">
        <v>281</v>
      </c>
      <c r="X8" s="152" t="s">
        <v>282</v>
      </c>
      <c r="Y8" s="152" t="s">
        <v>239</v>
      </c>
    </row>
    <row r="9" spans="2:25" ht="15" outlineLevel="1" x14ac:dyDescent="0.2">
      <c r="B9" s="305" t="s">
        <v>297</v>
      </c>
      <c r="C9" s="305" t="str" cm="1">
        <f t="array" ref="C9">IFERROR(IF(AND(B9&lt;$B$15,B9&gt;0),$C$15,IF(B9&gt;=$B$34,"-",INDEX($C$15:$C$36,MATCH(B9,$B$15:$B$36)+1))),"-")</f>
        <v>-</v>
      </c>
      <c r="E9" s="305" t="s">
        <v>297</v>
      </c>
      <c r="F9" s="305" t="str" cm="1">
        <f t="array" ref="F9">IFERROR(IF(AND(E9&lt;$E$15,E9&gt;0),$F$15,IF(E9&gt;=$E$34,"-",INDEX($F$15:$F$36,MATCH(E9,$E$15:$E$36)+1))),"-")</f>
        <v>-</v>
      </c>
      <c r="H9" s="305" t="s">
        <v>297</v>
      </c>
      <c r="I9" s="305" t="str" cm="1">
        <f t="array" ref="I9">IFERROR(IF(AND(H9&lt;$H$15,H9&gt;0),$I$15,IF(H9&gt;=$H$34,"-",INDEX($I$15:$I$36,MATCH(H9,$H$15:$H$36)+1))),"-")</f>
        <v>-</v>
      </c>
      <c r="K9" s="305" t="s">
        <v>297</v>
      </c>
      <c r="L9" s="305" t="str" cm="1">
        <f t="array" ref="L9">IFERROR(IF(AND(K9&lt;$K$15,K9&gt;0),$L$15,IF(K9&gt;=$K$22,"-",INDEX($L$15:$L$23,MATCH(K9,$K$15:$K$23)+1))),"-")</f>
        <v>-</v>
      </c>
      <c r="T9" s="175"/>
      <c r="U9" s="175"/>
      <c r="V9" s="71" t="s">
        <v>283</v>
      </c>
      <c r="W9" s="71" t="s">
        <v>33</v>
      </c>
      <c r="X9" s="71" t="s">
        <v>33</v>
      </c>
      <c r="Y9" s="176" t="s">
        <v>103</v>
      </c>
    </row>
    <row r="10" spans="2:25" ht="15" outlineLevel="1" x14ac:dyDescent="0.2">
      <c r="B10" s="304" t="s">
        <v>297</v>
      </c>
      <c r="C10" s="304" t="str" cm="1">
        <f t="array" ref="C10">IFERROR(IF(AND(B10&lt;$B$15,B10&gt;0),$C$15,IF(B10&gt;=$B$34,"-",INDEX($C$15:$C$36,MATCH(B10,$B$15:$B$36)+1))),"-")</f>
        <v>-</v>
      </c>
      <c r="D10" s="177"/>
      <c r="E10" s="304" t="s">
        <v>297</v>
      </c>
      <c r="F10" s="304" t="str" cm="1">
        <f t="array" ref="F10">IFERROR(IF(AND(E10&lt;$E$15,E10&gt;0),$F$15,IF(E10&gt;=$E$34,"-",INDEX($F$15:$F$36,MATCH(E10,$E$15:$E$36)+1))),"-")</f>
        <v>-</v>
      </c>
      <c r="H10" s="304" t="s">
        <v>297</v>
      </c>
      <c r="I10" s="304" t="str" cm="1">
        <f t="array" ref="I10">IFERROR(IF(AND(H10&lt;$H$15,H10&gt;0),$I$15,IF(H10&gt;=$H$34,"-",INDEX($I$15:$I$36,MATCH(H10,$H$15:$H$36)+1))),"-")</f>
        <v>-</v>
      </c>
      <c r="K10" s="304" t="s">
        <v>297</v>
      </c>
      <c r="L10" s="304" t="str" cm="1">
        <f t="array" ref="L10">IFERROR(IF(AND(K10&lt;$K$15,K10&gt;0),$L$15,IF(K10&gt;=$K$22,"-",INDEX($L$15:$L$23,MATCH(K10,$K$15:$K$23)+1))),"-")</f>
        <v>-</v>
      </c>
      <c r="T10" s="175"/>
      <c r="U10" s="175"/>
      <c r="V10" s="71"/>
      <c r="W10" s="71"/>
      <c r="X10" s="71"/>
      <c r="Y10" s="176"/>
    </row>
    <row r="11" spans="2:25" ht="15" outlineLevel="1" x14ac:dyDescent="0.2">
      <c r="B11" s="305" t="s">
        <v>297</v>
      </c>
      <c r="C11" s="305" t="str" cm="1">
        <f t="array" ref="C11">IFERROR(IF(AND(B11&lt;$B$15,B11&gt;0),$C$15,IF(B11&gt;=$B$34,"-",INDEX($C$15:$C$36,MATCH(B11,$B$15:$B$36)+1))),"-")</f>
        <v>-</v>
      </c>
      <c r="D11" s="177"/>
      <c r="E11" s="305" t="s">
        <v>297</v>
      </c>
      <c r="F11" s="305" t="str" cm="1">
        <f t="array" ref="F11">IFERROR(IF(AND(E11&lt;$E$15,E11&gt;0),$F$15,IF(E11&gt;=$E$34,"-",INDEX($F$15:$F$36,MATCH(E11,$E$15:$E$36)+1))),"-")</f>
        <v>-</v>
      </c>
      <c r="H11" s="305" t="s">
        <v>297</v>
      </c>
      <c r="I11" s="305" t="str" cm="1">
        <f t="array" ref="I11">IFERROR(IF(AND(H11&lt;$H$15,H11&gt;0),$I$15,IF(H11&gt;=$H$34,"-",INDEX($I$15:$I$36,MATCH(H11,$H$15:$H$36)+1))),"-")</f>
        <v>-</v>
      </c>
      <c r="K11" s="305" t="s">
        <v>297</v>
      </c>
      <c r="L11" s="305" t="str" cm="1">
        <f t="array" ref="L11">IFERROR(IF(AND(K11&lt;$K$15,K11&gt;0),$L$15,IF(K11&gt;=$K$22,"-",INDEX($L$15:$L$23,MATCH(K11,$K$15:$K$23)+1))),"-")</f>
        <v>-</v>
      </c>
      <c r="T11" s="175"/>
      <c r="U11" s="175"/>
      <c r="V11" s="71"/>
      <c r="W11" s="71"/>
      <c r="X11" s="71"/>
      <c r="Y11" s="176"/>
    </row>
    <row r="12" spans="2:25" ht="15" customHeight="1" x14ac:dyDescent="0.2">
      <c r="E12" s="178"/>
      <c r="F12" s="179"/>
      <c r="H12" s="178"/>
      <c r="I12" s="179"/>
      <c r="K12" s="156"/>
      <c r="T12" s="175" t="s">
        <v>240</v>
      </c>
      <c r="U12" s="175" t="s">
        <v>244</v>
      </c>
      <c r="V12" s="180">
        <v>12.51</v>
      </c>
      <c r="W12" s="71">
        <v>5.81</v>
      </c>
      <c r="X12" s="69">
        <v>12.5099999999999</v>
      </c>
      <c r="Y12" s="181">
        <v>100</v>
      </c>
    </row>
    <row r="13" spans="2:25" ht="48" customHeight="1" outlineLevel="1" x14ac:dyDescent="0.3">
      <c r="B13" s="483" t="s">
        <v>307</v>
      </c>
      <c r="C13" s="483"/>
      <c r="E13" s="484" t="s">
        <v>353</v>
      </c>
      <c r="F13" s="484"/>
      <c r="H13" s="485" t="s">
        <v>308</v>
      </c>
      <c r="I13" s="485"/>
      <c r="K13" s="486" t="s">
        <v>309</v>
      </c>
      <c r="L13" s="486"/>
      <c r="Q13" s="146" t="s">
        <v>275</v>
      </c>
      <c r="R13" s="146" t="s">
        <v>276</v>
      </c>
      <c r="T13" s="175" t="s">
        <v>240</v>
      </c>
      <c r="U13" s="175" t="s">
        <v>244</v>
      </c>
      <c r="V13" s="182">
        <v>23.01</v>
      </c>
      <c r="W13" s="71">
        <v>12.51</v>
      </c>
      <c r="X13" s="69">
        <v>23.009999999999899</v>
      </c>
      <c r="Y13" s="181">
        <v>125</v>
      </c>
    </row>
    <row r="14" spans="2:25" ht="30" customHeight="1" outlineLevel="1" x14ac:dyDescent="0.2">
      <c r="B14" s="67" t="s">
        <v>249</v>
      </c>
      <c r="C14" s="183" t="s">
        <v>227</v>
      </c>
      <c r="D14" s="59"/>
      <c r="E14" s="67" t="s">
        <v>249</v>
      </c>
      <c r="F14" s="183" t="s">
        <v>227</v>
      </c>
      <c r="G14" s="59"/>
      <c r="H14" s="67" t="s">
        <v>249</v>
      </c>
      <c r="I14" s="183" t="s">
        <v>227</v>
      </c>
      <c r="J14" s="59"/>
      <c r="K14" s="67" t="s">
        <v>268</v>
      </c>
      <c r="L14" s="183" t="s">
        <v>227</v>
      </c>
      <c r="Q14" s="69" t="s">
        <v>243</v>
      </c>
      <c r="R14" s="175" t="s">
        <v>244</v>
      </c>
      <c r="T14" s="175" t="s">
        <v>240</v>
      </c>
      <c r="U14" s="175" t="s">
        <v>244</v>
      </c>
      <c r="V14" s="180">
        <v>38.01</v>
      </c>
      <c r="W14" s="71">
        <v>23.01</v>
      </c>
      <c r="X14" s="69">
        <v>38.009999999999899</v>
      </c>
      <c r="Y14" s="181">
        <v>150</v>
      </c>
    </row>
    <row r="15" spans="2:25" ht="15" customHeight="1" outlineLevel="1" x14ac:dyDescent="0.2">
      <c r="B15" s="308">
        <v>0.04</v>
      </c>
      <c r="C15" s="71">
        <v>15</v>
      </c>
      <c r="E15" s="308">
        <v>0.04</v>
      </c>
      <c r="F15" s="69">
        <v>15</v>
      </c>
      <c r="H15" s="308">
        <v>0.04</v>
      </c>
      <c r="I15" s="69">
        <v>15</v>
      </c>
      <c r="K15" s="308">
        <v>7</v>
      </c>
      <c r="L15" s="310">
        <v>20</v>
      </c>
      <c r="Q15" s="69" t="s">
        <v>277</v>
      </c>
      <c r="R15" s="175" t="s">
        <v>245</v>
      </c>
      <c r="T15" s="175" t="s">
        <v>240</v>
      </c>
      <c r="U15" s="175" t="s">
        <v>244</v>
      </c>
      <c r="V15" s="180">
        <v>78.010000000000005</v>
      </c>
      <c r="W15" s="71">
        <v>38.01</v>
      </c>
      <c r="X15" s="69">
        <v>78.009999999999906</v>
      </c>
      <c r="Y15" s="181">
        <v>200</v>
      </c>
    </row>
    <row r="16" spans="2:25" ht="15" customHeight="1" outlineLevel="1" x14ac:dyDescent="0.2">
      <c r="B16" s="309">
        <v>0.12</v>
      </c>
      <c r="C16" s="277">
        <v>20</v>
      </c>
      <c r="E16" s="309">
        <v>0.12</v>
      </c>
      <c r="F16" s="231">
        <v>20</v>
      </c>
      <c r="H16" s="309">
        <v>0.12</v>
      </c>
      <c r="I16" s="231">
        <v>20</v>
      </c>
      <c r="K16" s="309">
        <v>17.600000000000001</v>
      </c>
      <c r="L16" s="311">
        <v>25</v>
      </c>
      <c r="Q16" s="69" t="s">
        <v>278</v>
      </c>
      <c r="R16" s="175" t="s">
        <v>246</v>
      </c>
      <c r="T16" s="175" t="s">
        <v>240</v>
      </c>
      <c r="U16" s="175" t="s">
        <v>244</v>
      </c>
      <c r="V16" s="180">
        <v>121.1</v>
      </c>
      <c r="W16" s="71">
        <v>78.010000000000005</v>
      </c>
      <c r="X16" s="69">
        <v>121.099999999999</v>
      </c>
      <c r="Y16" s="181">
        <v>250</v>
      </c>
    </row>
    <row r="17" spans="1:25" ht="15" customHeight="1" outlineLevel="1" x14ac:dyDescent="0.2">
      <c r="B17" s="308">
        <v>0.26</v>
      </c>
      <c r="C17" s="71">
        <v>25</v>
      </c>
      <c r="E17" s="308">
        <v>0.28000000000000003</v>
      </c>
      <c r="F17" s="69">
        <v>25</v>
      </c>
      <c r="H17" s="308">
        <v>0.31</v>
      </c>
      <c r="I17" s="69">
        <v>25</v>
      </c>
      <c r="K17" s="308">
        <v>100</v>
      </c>
      <c r="L17" s="70">
        <v>32</v>
      </c>
      <c r="Q17" s="69"/>
      <c r="R17" s="69"/>
      <c r="T17" s="175" t="s">
        <v>240</v>
      </c>
      <c r="U17" s="175" t="s">
        <v>244</v>
      </c>
      <c r="V17" s="180">
        <v>173.1</v>
      </c>
      <c r="W17" s="71">
        <v>121.1</v>
      </c>
      <c r="X17" s="69">
        <v>173.099999999999</v>
      </c>
      <c r="Y17" s="181">
        <v>300</v>
      </c>
    </row>
    <row r="18" spans="1:25" ht="15" customHeight="1" outlineLevel="1" x14ac:dyDescent="0.2">
      <c r="B18" s="309">
        <v>0.51</v>
      </c>
      <c r="C18" s="277">
        <v>32</v>
      </c>
      <c r="E18" s="309">
        <v>0.56000000000000005</v>
      </c>
      <c r="F18" s="231">
        <v>32</v>
      </c>
      <c r="H18" s="309">
        <v>0.61</v>
      </c>
      <c r="I18" s="231">
        <v>32</v>
      </c>
      <c r="K18" s="309">
        <v>176</v>
      </c>
      <c r="L18" s="270">
        <v>40</v>
      </c>
      <c r="T18" s="175" t="s">
        <v>240</v>
      </c>
      <c r="U18" s="175" t="s">
        <v>244</v>
      </c>
      <c r="V18" s="180" t="s">
        <v>251</v>
      </c>
      <c r="W18" s="71">
        <v>173.1</v>
      </c>
      <c r="X18" s="69">
        <v>209.099999999999</v>
      </c>
      <c r="Y18" s="181" t="s">
        <v>250</v>
      </c>
    </row>
    <row r="19" spans="1:25" ht="15" customHeight="1" outlineLevel="1" x14ac:dyDescent="0.2">
      <c r="B19" s="308">
        <v>0.81</v>
      </c>
      <c r="C19" s="71">
        <v>40</v>
      </c>
      <c r="E19" s="308">
        <v>0.91</v>
      </c>
      <c r="F19" s="69">
        <v>40</v>
      </c>
      <c r="H19" s="308">
        <v>1.01</v>
      </c>
      <c r="I19" s="69">
        <v>40</v>
      </c>
      <c r="J19" s="64"/>
      <c r="K19" s="308">
        <v>598</v>
      </c>
      <c r="L19" s="310">
        <v>50</v>
      </c>
      <c r="T19" s="175" t="s">
        <v>240</v>
      </c>
      <c r="U19" s="175" t="s">
        <v>244</v>
      </c>
      <c r="V19" s="180">
        <v>273.10000000000002</v>
      </c>
      <c r="W19" s="71">
        <v>209.1</v>
      </c>
      <c r="X19" s="69">
        <v>273.099999999999</v>
      </c>
      <c r="Y19" s="181">
        <v>400</v>
      </c>
    </row>
    <row r="20" spans="1:25" ht="15" customHeight="1" outlineLevel="1" x14ac:dyDescent="0.2">
      <c r="B20" s="309">
        <v>2.0099999999999998</v>
      </c>
      <c r="C20" s="277">
        <v>50</v>
      </c>
      <c r="E20" s="309">
        <v>2.11</v>
      </c>
      <c r="F20" s="231">
        <v>50</v>
      </c>
      <c r="H20" s="309">
        <v>2.2599999999999998</v>
      </c>
      <c r="I20" s="231">
        <v>50</v>
      </c>
      <c r="J20" s="64"/>
      <c r="K20" s="309">
        <v>1055</v>
      </c>
      <c r="L20" s="270">
        <v>80</v>
      </c>
      <c r="T20" s="175" t="s">
        <v>240</v>
      </c>
      <c r="U20" s="175" t="s">
        <v>244</v>
      </c>
      <c r="V20" s="180">
        <v>345.1</v>
      </c>
      <c r="W20" s="71">
        <v>273.10000000000002</v>
      </c>
      <c r="X20" s="69">
        <v>345.099999999999</v>
      </c>
      <c r="Y20" s="181">
        <v>450</v>
      </c>
    </row>
    <row r="21" spans="1:25" ht="15" customHeight="1" outlineLevel="1" x14ac:dyDescent="0.2">
      <c r="A21" s="64"/>
      <c r="B21" s="308">
        <v>3.51</v>
      </c>
      <c r="C21" s="71">
        <v>65</v>
      </c>
      <c r="E21" s="308">
        <v>3.81</v>
      </c>
      <c r="F21" s="69">
        <v>65</v>
      </c>
      <c r="H21" s="308">
        <v>4.41</v>
      </c>
      <c r="I21" s="69">
        <v>65</v>
      </c>
      <c r="J21" s="74"/>
      <c r="K21" s="308">
        <v>1512</v>
      </c>
      <c r="L21" s="310">
        <v>100</v>
      </c>
      <c r="T21" s="175" t="s">
        <v>240</v>
      </c>
      <c r="U21" s="175" t="s">
        <v>244</v>
      </c>
      <c r="V21" s="180">
        <v>430.1</v>
      </c>
      <c r="W21" s="71">
        <v>345.1</v>
      </c>
      <c r="X21" s="69">
        <v>430.099999999999</v>
      </c>
      <c r="Y21" s="181">
        <v>500</v>
      </c>
    </row>
    <row r="22" spans="1:25" ht="15" customHeight="1" outlineLevel="1" x14ac:dyDescent="0.2">
      <c r="A22" s="64"/>
      <c r="B22" s="309">
        <v>5.81</v>
      </c>
      <c r="C22" s="277">
        <v>80</v>
      </c>
      <c r="E22" s="309">
        <v>6.26</v>
      </c>
      <c r="F22" s="231">
        <v>80</v>
      </c>
      <c r="H22" s="309">
        <v>7.01</v>
      </c>
      <c r="I22" s="231">
        <v>80</v>
      </c>
      <c r="J22" s="74"/>
      <c r="K22" s="309">
        <v>12462</v>
      </c>
      <c r="L22" s="270">
        <v>125</v>
      </c>
      <c r="T22" s="175" t="s">
        <v>240</v>
      </c>
      <c r="U22" s="175" t="s">
        <v>244</v>
      </c>
      <c r="V22" s="180">
        <v>523.1</v>
      </c>
      <c r="W22" s="71">
        <v>430.1</v>
      </c>
      <c r="X22" s="69">
        <v>523.099999999999</v>
      </c>
      <c r="Y22" s="181">
        <v>550</v>
      </c>
    </row>
    <row r="23" spans="1:25" ht="15" customHeight="1" outlineLevel="1" x14ac:dyDescent="0.2">
      <c r="A23" s="64"/>
      <c r="B23" s="308">
        <v>12.51</v>
      </c>
      <c r="C23" s="71">
        <v>100</v>
      </c>
      <c r="E23" s="308">
        <v>14.01</v>
      </c>
      <c r="F23" s="69">
        <v>100</v>
      </c>
      <c r="H23" s="308">
        <v>15.01</v>
      </c>
      <c r="I23" s="69">
        <v>100</v>
      </c>
      <c r="J23" s="74"/>
      <c r="K23" s="166"/>
      <c r="L23" s="184"/>
      <c r="T23" s="175" t="s">
        <v>241</v>
      </c>
      <c r="U23" s="175" t="s">
        <v>245</v>
      </c>
      <c r="V23" s="176">
        <v>0</v>
      </c>
      <c r="W23" s="71">
        <v>0</v>
      </c>
      <c r="X23" s="69">
        <v>0</v>
      </c>
      <c r="Y23" s="71">
        <v>0</v>
      </c>
    </row>
    <row r="24" spans="1:25" ht="15" customHeight="1" outlineLevel="1" x14ac:dyDescent="0.2">
      <c r="A24" s="64"/>
      <c r="B24" s="309">
        <v>23.01</v>
      </c>
      <c r="C24" s="277">
        <v>125</v>
      </c>
      <c r="E24" s="309">
        <v>25.01</v>
      </c>
      <c r="F24" s="231">
        <v>125</v>
      </c>
      <c r="H24" s="309">
        <v>27.01</v>
      </c>
      <c r="I24" s="231">
        <v>125</v>
      </c>
      <c r="J24" s="74"/>
      <c r="K24" s="82"/>
      <c r="L24" s="64"/>
      <c r="T24" s="175" t="s">
        <v>241</v>
      </c>
      <c r="U24" s="175" t="s">
        <v>245</v>
      </c>
      <c r="V24" s="185">
        <v>0.04</v>
      </c>
      <c r="W24" s="71">
        <v>9.9999999999999998E-13</v>
      </c>
      <c r="X24" s="69">
        <v>0.39999999999998997</v>
      </c>
      <c r="Y24" s="71">
        <v>15</v>
      </c>
    </row>
    <row r="25" spans="1:25" ht="15" customHeight="1" outlineLevel="1" x14ac:dyDescent="0.2">
      <c r="A25" s="64"/>
      <c r="B25" s="308">
        <v>38.01</v>
      </c>
      <c r="C25" s="71">
        <v>150</v>
      </c>
      <c r="E25" s="308">
        <v>40.01</v>
      </c>
      <c r="F25" s="69">
        <v>150</v>
      </c>
      <c r="H25" s="308">
        <v>43.01</v>
      </c>
      <c r="I25" s="69">
        <v>150</v>
      </c>
      <c r="J25" s="74"/>
      <c r="K25" s="82"/>
      <c r="L25" s="64"/>
      <c r="T25" s="175" t="s">
        <v>241</v>
      </c>
      <c r="U25" s="175" t="s">
        <v>245</v>
      </c>
      <c r="V25" s="176">
        <v>0.12</v>
      </c>
      <c r="W25" s="71">
        <v>0.4</v>
      </c>
      <c r="X25" s="69">
        <v>0.119999999999999</v>
      </c>
      <c r="Y25" s="71">
        <v>20</v>
      </c>
    </row>
    <row r="26" spans="1:25" ht="15" customHeight="1" outlineLevel="1" x14ac:dyDescent="0.2">
      <c r="A26" s="64"/>
      <c r="B26" s="309">
        <v>78.010000000000005</v>
      </c>
      <c r="C26" s="277">
        <v>200</v>
      </c>
      <c r="E26" s="309">
        <v>80.010000000000005</v>
      </c>
      <c r="F26" s="231">
        <v>200</v>
      </c>
      <c r="H26" s="309">
        <v>80.010000000000005</v>
      </c>
      <c r="I26" s="231">
        <v>200</v>
      </c>
      <c r="J26" s="74"/>
      <c r="K26" s="82"/>
      <c r="L26" s="64"/>
      <c r="T26" s="175" t="s">
        <v>241</v>
      </c>
      <c r="U26" s="175" t="s">
        <v>245</v>
      </c>
      <c r="V26" s="185">
        <v>0.31</v>
      </c>
      <c r="W26" s="71">
        <v>0.12</v>
      </c>
      <c r="X26" s="69">
        <v>0.25999999999999002</v>
      </c>
      <c r="Y26" s="71">
        <v>25</v>
      </c>
    </row>
    <row r="27" spans="1:25" ht="15" customHeight="1" outlineLevel="1" x14ac:dyDescent="0.2">
      <c r="A27" s="64"/>
      <c r="B27" s="308">
        <v>121.1</v>
      </c>
      <c r="C27" s="71">
        <v>250</v>
      </c>
      <c r="E27" s="308">
        <v>125.1</v>
      </c>
      <c r="F27" s="69">
        <v>250</v>
      </c>
      <c r="H27" s="308">
        <v>125.1</v>
      </c>
      <c r="I27" s="69">
        <v>250</v>
      </c>
      <c r="J27" s="74"/>
      <c r="K27" s="82"/>
      <c r="L27" s="64"/>
      <c r="T27" s="175" t="s">
        <v>241</v>
      </c>
      <c r="U27" s="175" t="s">
        <v>245</v>
      </c>
      <c r="V27" s="176">
        <v>0.61</v>
      </c>
      <c r="W27" s="71">
        <v>0.26</v>
      </c>
      <c r="X27" s="69">
        <v>0.50999999999999002</v>
      </c>
      <c r="Y27" s="71">
        <v>32</v>
      </c>
    </row>
    <row r="28" spans="1:25" ht="15" customHeight="1" outlineLevel="1" x14ac:dyDescent="0.2">
      <c r="A28" s="64"/>
      <c r="B28" s="309">
        <v>173.1</v>
      </c>
      <c r="C28" s="277">
        <v>300</v>
      </c>
      <c r="E28" s="309">
        <v>173.1</v>
      </c>
      <c r="F28" s="231">
        <v>300</v>
      </c>
      <c r="H28" s="309">
        <v>173.1</v>
      </c>
      <c r="I28" s="231">
        <v>300</v>
      </c>
      <c r="J28" s="74"/>
      <c r="K28" s="82"/>
      <c r="L28" s="64"/>
      <c r="T28" s="175" t="s">
        <v>241</v>
      </c>
      <c r="U28" s="175" t="s">
        <v>245</v>
      </c>
      <c r="V28" s="185">
        <v>1.01</v>
      </c>
      <c r="W28" s="71">
        <v>0.51</v>
      </c>
      <c r="X28" s="69">
        <v>0.80999999999998995</v>
      </c>
      <c r="Y28" s="71">
        <v>40</v>
      </c>
    </row>
    <row r="29" spans="1:25" ht="15" customHeight="1" outlineLevel="1" x14ac:dyDescent="0.25">
      <c r="A29" s="186"/>
      <c r="B29" s="308">
        <v>209.1</v>
      </c>
      <c r="C29" s="71">
        <v>350</v>
      </c>
      <c r="E29" s="308">
        <v>209.1</v>
      </c>
      <c r="F29" s="69">
        <v>350</v>
      </c>
      <c r="H29" s="308">
        <v>209.1</v>
      </c>
      <c r="I29" s="69">
        <v>350</v>
      </c>
      <c r="J29" s="186"/>
      <c r="K29" s="187"/>
      <c r="L29" s="64"/>
      <c r="T29" s="175" t="s">
        <v>241</v>
      </c>
      <c r="U29" s="175" t="s">
        <v>245</v>
      </c>
      <c r="V29" s="176">
        <v>2.2599999999999998</v>
      </c>
      <c r="W29" s="71">
        <v>0.81</v>
      </c>
      <c r="X29" s="69">
        <v>2.00999999999999</v>
      </c>
      <c r="Y29" s="71">
        <v>50</v>
      </c>
    </row>
    <row r="30" spans="1:25" ht="15" customHeight="1" outlineLevel="1" x14ac:dyDescent="0.2">
      <c r="B30" s="309">
        <v>273.10000000000002</v>
      </c>
      <c r="C30" s="277">
        <v>400</v>
      </c>
      <c r="E30" s="309">
        <v>273.10000000000002</v>
      </c>
      <c r="F30" s="231">
        <v>400</v>
      </c>
      <c r="H30" s="309">
        <v>273.10000000000002</v>
      </c>
      <c r="I30" s="231">
        <v>400</v>
      </c>
      <c r="K30" s="64"/>
      <c r="L30" s="64"/>
      <c r="T30" s="175" t="s">
        <v>241</v>
      </c>
      <c r="U30" s="175" t="s">
        <v>245</v>
      </c>
      <c r="V30" s="185">
        <v>4.41</v>
      </c>
      <c r="W30" s="71">
        <v>2.0099999999999998</v>
      </c>
      <c r="X30" s="69">
        <v>3.50999999999999</v>
      </c>
      <c r="Y30" s="71">
        <v>65</v>
      </c>
    </row>
    <row r="31" spans="1:25" ht="15" customHeight="1" outlineLevel="1" x14ac:dyDescent="0.2">
      <c r="B31" s="308">
        <v>345.1</v>
      </c>
      <c r="C31" s="71">
        <v>450</v>
      </c>
      <c r="E31" s="308">
        <v>345.1</v>
      </c>
      <c r="F31" s="69">
        <v>450</v>
      </c>
      <c r="H31" s="308">
        <v>345.1</v>
      </c>
      <c r="I31" s="69">
        <v>450</v>
      </c>
      <c r="K31" s="64"/>
      <c r="L31" s="64"/>
      <c r="T31" s="175" t="s">
        <v>241</v>
      </c>
      <c r="U31" s="175" t="s">
        <v>245</v>
      </c>
      <c r="V31" s="176">
        <v>7.01</v>
      </c>
      <c r="W31" s="71">
        <v>3.51</v>
      </c>
      <c r="X31" s="69">
        <v>5.8099999999999898</v>
      </c>
      <c r="Y31" s="71">
        <v>80</v>
      </c>
    </row>
    <row r="32" spans="1:25" ht="15" customHeight="1" outlineLevel="1" x14ac:dyDescent="0.2">
      <c r="B32" s="309">
        <v>430.1</v>
      </c>
      <c r="C32" s="277">
        <v>500</v>
      </c>
      <c r="E32" s="309">
        <v>430.1</v>
      </c>
      <c r="F32" s="231">
        <v>500</v>
      </c>
      <c r="H32" s="309">
        <v>430.1</v>
      </c>
      <c r="I32" s="231">
        <v>500</v>
      </c>
      <c r="K32" s="64"/>
      <c r="L32" s="64"/>
      <c r="T32" s="175" t="s">
        <v>241</v>
      </c>
      <c r="U32" s="175" t="s">
        <v>245</v>
      </c>
      <c r="V32" s="185">
        <v>15.01</v>
      </c>
      <c r="W32" s="71">
        <v>5.81</v>
      </c>
      <c r="X32" s="69">
        <v>12.5099999999999</v>
      </c>
      <c r="Y32" s="71">
        <v>100</v>
      </c>
    </row>
    <row r="33" spans="2:25" ht="15" customHeight="1" outlineLevel="1" x14ac:dyDescent="0.2">
      <c r="B33" s="308">
        <v>523.1</v>
      </c>
      <c r="C33" s="71">
        <v>550</v>
      </c>
      <c r="E33" s="308">
        <v>523.1</v>
      </c>
      <c r="F33" s="69">
        <v>550</v>
      </c>
      <c r="H33" s="308">
        <v>523.1</v>
      </c>
      <c r="I33" s="69">
        <v>550</v>
      </c>
      <c r="K33" s="64"/>
      <c r="L33" s="64"/>
      <c r="T33" s="175" t="s">
        <v>241</v>
      </c>
      <c r="U33" s="175" t="s">
        <v>245</v>
      </c>
      <c r="V33" s="176">
        <v>27.01</v>
      </c>
      <c r="W33" s="71">
        <v>12.51</v>
      </c>
      <c r="X33" s="69">
        <v>23.009999999999899</v>
      </c>
      <c r="Y33" s="71">
        <v>125</v>
      </c>
    </row>
    <row r="34" spans="2:25" ht="15" customHeight="1" outlineLevel="1" x14ac:dyDescent="0.2">
      <c r="B34" s="309">
        <v>623</v>
      </c>
      <c r="C34" s="277">
        <v>600</v>
      </c>
      <c r="E34" s="309">
        <v>623</v>
      </c>
      <c r="F34" s="231">
        <v>600</v>
      </c>
      <c r="H34" s="309">
        <v>623</v>
      </c>
      <c r="I34" s="231">
        <v>600</v>
      </c>
      <c r="K34" s="64"/>
      <c r="L34" s="64"/>
      <c r="T34" s="175" t="s">
        <v>241</v>
      </c>
      <c r="U34" s="175" t="s">
        <v>245</v>
      </c>
      <c r="V34" s="185">
        <v>43.01</v>
      </c>
      <c r="W34" s="71">
        <v>23.01</v>
      </c>
      <c r="X34" s="69">
        <v>38.009999999999899</v>
      </c>
      <c r="Y34" s="71">
        <v>150</v>
      </c>
    </row>
    <row r="35" spans="2:25" ht="15" customHeight="1" outlineLevel="1" x14ac:dyDescent="0.2">
      <c r="B35" s="71"/>
      <c r="C35" s="71"/>
      <c r="E35" s="69"/>
      <c r="F35" s="69"/>
      <c r="H35" s="69"/>
      <c r="I35" s="69"/>
      <c r="K35" s="64"/>
      <c r="L35" s="64"/>
      <c r="T35" s="175" t="s">
        <v>241</v>
      </c>
      <c r="U35" s="175" t="s">
        <v>245</v>
      </c>
      <c r="V35" s="176">
        <v>80.010000000000005</v>
      </c>
      <c r="W35" s="71">
        <v>38.01</v>
      </c>
      <c r="X35" s="69">
        <v>78.009999999999906</v>
      </c>
      <c r="Y35" s="71">
        <v>200</v>
      </c>
    </row>
    <row r="36" spans="2:25" ht="15" customHeight="1" outlineLevel="1" x14ac:dyDescent="0.2">
      <c r="B36" s="71"/>
      <c r="C36" s="71"/>
      <c r="E36" s="69"/>
      <c r="F36" s="69"/>
      <c r="H36" s="69"/>
      <c r="I36" s="69"/>
      <c r="K36" s="64"/>
      <c r="L36" s="64"/>
      <c r="T36" s="175" t="s">
        <v>241</v>
      </c>
      <c r="U36" s="175" t="s">
        <v>245</v>
      </c>
      <c r="V36" s="185">
        <v>125.1</v>
      </c>
      <c r="W36" s="71">
        <v>78.010000000000005</v>
      </c>
      <c r="X36" s="69">
        <v>121.099999999999</v>
      </c>
      <c r="Y36" s="71">
        <v>250</v>
      </c>
    </row>
    <row r="37" spans="2:25" ht="15" customHeight="1" outlineLevel="1" x14ac:dyDescent="0.2">
      <c r="T37" s="175" t="s">
        <v>241</v>
      </c>
      <c r="U37" s="175" t="s">
        <v>245</v>
      </c>
      <c r="V37" s="176">
        <v>173.1</v>
      </c>
      <c r="W37" s="71">
        <v>121.1</v>
      </c>
      <c r="X37" s="69">
        <v>173.099999999999</v>
      </c>
      <c r="Y37" s="71">
        <v>300</v>
      </c>
    </row>
    <row r="38" spans="2:25" ht="15" customHeight="1" outlineLevel="1" x14ac:dyDescent="0.2">
      <c r="T38" s="175" t="s">
        <v>241</v>
      </c>
      <c r="U38" s="175" t="s">
        <v>245</v>
      </c>
      <c r="V38" s="185">
        <v>209.1</v>
      </c>
      <c r="W38" s="71">
        <v>173.1</v>
      </c>
      <c r="X38" s="69">
        <v>209.099999999999</v>
      </c>
      <c r="Y38" s="71">
        <v>350</v>
      </c>
    </row>
    <row r="39" spans="2:25" ht="15" customHeight="1" x14ac:dyDescent="0.2">
      <c r="T39" s="175" t="s">
        <v>241</v>
      </c>
      <c r="U39" s="175" t="s">
        <v>245</v>
      </c>
      <c r="V39" s="176">
        <v>523.1</v>
      </c>
      <c r="W39" s="71">
        <v>430.1</v>
      </c>
      <c r="X39" s="69">
        <v>523.099999999999</v>
      </c>
      <c r="Y39" s="71">
        <v>550</v>
      </c>
    </row>
    <row r="40" spans="2:25" ht="15" x14ac:dyDescent="0.2">
      <c r="T40" s="175" t="s">
        <v>242</v>
      </c>
      <c r="U40" s="175" t="s">
        <v>246</v>
      </c>
      <c r="V40" s="71">
        <v>523.1</v>
      </c>
      <c r="W40" s="71">
        <v>430.1</v>
      </c>
      <c r="X40" s="69">
        <v>523.099999999999</v>
      </c>
      <c r="Y40" s="71">
        <v>550</v>
      </c>
    </row>
    <row r="41" spans="2:25" ht="15" x14ac:dyDescent="0.2">
      <c r="T41" s="175" t="s">
        <v>242</v>
      </c>
      <c r="U41" s="175" t="s">
        <v>246</v>
      </c>
      <c r="V41" s="71">
        <v>623</v>
      </c>
      <c r="W41" s="71">
        <v>523.1</v>
      </c>
      <c r="X41" s="69">
        <v>623</v>
      </c>
      <c r="Y41" s="71">
        <v>600</v>
      </c>
    </row>
    <row r="43" spans="2:25" ht="15" x14ac:dyDescent="0.25">
      <c r="T43" s="186"/>
    </row>
  </sheetData>
  <mergeCells count="8">
    <mergeCell ref="B13:C13"/>
    <mergeCell ref="E13:F13"/>
    <mergeCell ref="H13:I13"/>
    <mergeCell ref="K13:L13"/>
    <mergeCell ref="B2:C2"/>
    <mergeCell ref="E2:F2"/>
    <mergeCell ref="H2:I2"/>
    <mergeCell ref="K2:L2"/>
  </mergeCells>
  <pageMargins left="0.7" right="0.7" top="0.75" bottom="0.75" header="0.3" footer="0.3"/>
  <pageSetup scale="72"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ECB6C78-D312-48F9-A2E7-1995277B56E8}">
  <dimension ref="B5:S25"/>
  <sheetViews>
    <sheetView zoomScaleNormal="100" workbookViewId="0">
      <selection activeCell="P33" sqref="P33"/>
    </sheetView>
  </sheetViews>
  <sheetFormatPr defaultColWidth="8.85546875" defaultRowHeight="12.75" x14ac:dyDescent="0.2"/>
  <cols>
    <col min="1" max="1" width="8.85546875" style="23"/>
    <col min="2" max="2" width="46" style="22" customWidth="1"/>
    <col min="3" max="3" width="12.7109375" style="23" customWidth="1"/>
    <col min="4" max="17" width="8.85546875" style="23"/>
    <col min="18" max="18" width="5.42578125" style="23" customWidth="1"/>
    <col min="19" max="16384" width="8.85546875" style="23"/>
  </cols>
  <sheetData>
    <row r="5" spans="2:5" x14ac:dyDescent="0.2">
      <c r="B5" s="27"/>
      <c r="C5" s="28"/>
    </row>
    <row r="6" spans="2:5" x14ac:dyDescent="0.2">
      <c r="B6" s="27" t="s">
        <v>102</v>
      </c>
      <c r="C6" s="32">
        <v>6</v>
      </c>
      <c r="D6" s="23" t="s">
        <v>34</v>
      </c>
    </row>
    <row r="7" spans="2:5" x14ac:dyDescent="0.2">
      <c r="B7" s="27" t="s">
        <v>100</v>
      </c>
      <c r="C7" s="32">
        <v>500</v>
      </c>
      <c r="D7" s="23" t="s">
        <v>103</v>
      </c>
    </row>
    <row r="8" spans="2:5" x14ac:dyDescent="0.2">
      <c r="B8" s="27" t="s">
        <v>101</v>
      </c>
      <c r="C8" s="32">
        <v>300</v>
      </c>
      <c r="D8" s="23" t="s">
        <v>103</v>
      </c>
    </row>
    <row r="9" spans="2:5" x14ac:dyDescent="0.2">
      <c r="B9" s="27" t="s">
        <v>111</v>
      </c>
      <c r="C9" s="33">
        <f>4*(C7*C8)/(2*(C7+C8))</f>
        <v>375</v>
      </c>
      <c r="D9" s="23" t="s">
        <v>103</v>
      </c>
    </row>
    <row r="10" spans="2:5" x14ac:dyDescent="0.2">
      <c r="B10" s="27" t="s">
        <v>112</v>
      </c>
      <c r="C10" s="33">
        <f>1.3*POWER(C7*C8,0.625)/POWER((C7+C8),0.25)</f>
        <v>419.97930687756292</v>
      </c>
      <c r="D10" s="23" t="s">
        <v>103</v>
      </c>
    </row>
    <row r="11" spans="2:5" x14ac:dyDescent="0.2">
      <c r="B11" s="27" t="s">
        <v>105</v>
      </c>
      <c r="C11" s="34">
        <v>735</v>
      </c>
      <c r="D11" s="23" t="s">
        <v>107</v>
      </c>
    </row>
    <row r="12" spans="2:5" x14ac:dyDescent="0.2">
      <c r="B12" s="27" t="s">
        <v>106</v>
      </c>
      <c r="C12" s="32">
        <f>C11/1000</f>
        <v>0.73499999999999999</v>
      </c>
      <c r="D12" s="23" t="s">
        <v>104</v>
      </c>
    </row>
    <row r="13" spans="2:5" x14ac:dyDescent="0.2">
      <c r="B13" s="27" t="s">
        <v>110</v>
      </c>
      <c r="C13" s="35">
        <f>C12/(C7/1000*C8/1000)</f>
        <v>4.9000000000000004</v>
      </c>
      <c r="D13" s="23" t="s">
        <v>35</v>
      </c>
    </row>
    <row r="14" spans="2:5" x14ac:dyDescent="0.2">
      <c r="B14" s="30" t="s">
        <v>115</v>
      </c>
      <c r="C14" s="36">
        <v>1.204</v>
      </c>
      <c r="D14" s="23" t="s">
        <v>114</v>
      </c>
    </row>
    <row r="15" spans="2:5" ht="15.75" x14ac:dyDescent="0.2">
      <c r="B15" s="30" t="s">
        <v>113</v>
      </c>
      <c r="C15" s="32">
        <v>0.15</v>
      </c>
      <c r="D15" s="23" t="s">
        <v>103</v>
      </c>
      <c r="E15" s="23" t="s">
        <v>129</v>
      </c>
    </row>
    <row r="16" spans="2:5" x14ac:dyDescent="0.2">
      <c r="B16" s="23"/>
      <c r="C16" s="32"/>
    </row>
    <row r="17" spans="2:19" x14ac:dyDescent="0.2">
      <c r="B17" s="37" t="s">
        <v>127</v>
      </c>
      <c r="C17" s="34">
        <f>66.4*C9*C13</f>
        <v>122010.00000000003</v>
      </c>
      <c r="E17" s="23" t="s">
        <v>116</v>
      </c>
    </row>
    <row r="18" spans="2:19" x14ac:dyDescent="0.2">
      <c r="B18" s="37" t="s">
        <v>121</v>
      </c>
      <c r="C18" s="38">
        <f>0.25/(LOG(C15/C9/3.7+5.74/C17^0.9,10))^2</f>
        <v>1.9449196202501386E-2</v>
      </c>
      <c r="E18" s="23" t="s">
        <v>117</v>
      </c>
    </row>
    <row r="19" spans="2:19" x14ac:dyDescent="0.2">
      <c r="B19" s="37" t="s">
        <v>122</v>
      </c>
      <c r="C19" s="38">
        <f>1/(-1.8*LOG((C15/C9/3.7)^1.11+6.9/C17,10))^2</f>
        <v>1.9126390585868534E-2</v>
      </c>
      <c r="F19" s="23" t="s">
        <v>118</v>
      </c>
      <c r="M19" s="23" t="s">
        <v>120</v>
      </c>
      <c r="S19" s="23" t="s">
        <v>133</v>
      </c>
    </row>
    <row r="20" spans="2:19" x14ac:dyDescent="0.2">
      <c r="B20" s="37" t="s">
        <v>135</v>
      </c>
      <c r="C20" s="38">
        <f>IF(0.11*POWER(C15/C9+68/C17,0.25)&gt;=0.018,0.11*POWER(C15/C9+68/C17,0.25),0.85*(0.11*POWER(C15/C9+68/C17,0.25))+0.0028)</f>
        <v>1.9348988089572829E-2</v>
      </c>
      <c r="D20" s="38"/>
    </row>
    <row r="21" spans="2:19" x14ac:dyDescent="0.2">
      <c r="B21" s="37" t="s">
        <v>128</v>
      </c>
      <c r="C21" s="31">
        <f>0.109136*(POWER(C12*2118.9,1.9)/POWER(C10*39.37/1000,5.02))*3.2808*248.8/100</f>
        <v>0.79253706482812458</v>
      </c>
      <c r="D21" s="23" t="s">
        <v>108</v>
      </c>
      <c r="E21"/>
    </row>
    <row r="22" spans="2:19" x14ac:dyDescent="0.2">
      <c r="B22" s="37" t="s">
        <v>123</v>
      </c>
      <c r="C22" s="40" t="s">
        <v>134</v>
      </c>
      <c r="E22" s="23" t="s">
        <v>124</v>
      </c>
    </row>
    <row r="23" spans="2:19" x14ac:dyDescent="0.2">
      <c r="B23" s="39" t="s">
        <v>99</v>
      </c>
      <c r="C23" s="41" cm="1">
        <f t="array" ref="C23">_xlfn.IFS(C22="Swamee Jain",C18*C14/2*C13^2/(C9/1000), C22="Haaland",C19*C14/2*C13^2/(C9/1000),C22="Tsai",C20*C14/2*C13^2/(C9/1000),C22="Imperical",C21)</f>
        <v>0.74578842887052665</v>
      </c>
      <c r="D23" s="23" t="s">
        <v>108</v>
      </c>
      <c r="E23" s="23" t="s">
        <v>125</v>
      </c>
    </row>
    <row r="24" spans="2:19" x14ac:dyDescent="0.2">
      <c r="B24" s="39" t="s">
        <v>126</v>
      </c>
      <c r="C24" s="40">
        <f>C6*C23</f>
        <v>4.4747305732231597</v>
      </c>
      <c r="D24" s="23" t="s">
        <v>109</v>
      </c>
      <c r="E24" s="23" t="s">
        <v>119</v>
      </c>
      <c r="S24" s="23" t="s">
        <v>124</v>
      </c>
    </row>
    <row r="25" spans="2:19" x14ac:dyDescent="0.2">
      <c r="B25" s="23"/>
      <c r="C25" s="29"/>
      <c r="E25" s="23" t="s">
        <v>134</v>
      </c>
    </row>
  </sheetData>
  <dataValidations count="1">
    <dataValidation type="list" allowBlank="1" showInputMessage="1" showErrorMessage="1" sqref="C22" xr:uid="{8CEF3C43-6B9B-4A2D-A01D-3A1B39CF4988}">
      <formula1>$E$22:$E$25</formula1>
    </dataValidation>
  </dataValidations>
  <pageMargins left="0.7" right="0.7" top="0.75" bottom="0.75" header="0.3" footer="0.3"/>
  <drawing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D0E7234-799C-4AE6-ACDA-849D78799F3D}">
  <dimension ref="B1:I47"/>
  <sheetViews>
    <sheetView workbookViewId="0">
      <selection activeCell="K26" sqref="K26"/>
    </sheetView>
  </sheetViews>
  <sheetFormatPr defaultRowHeight="12.75" x14ac:dyDescent="0.2"/>
  <cols>
    <col min="2" max="2" width="7.7109375" bestFit="1" customWidth="1"/>
    <col min="3" max="3" width="20.42578125" bestFit="1" customWidth="1"/>
    <col min="4" max="4" width="8.28515625" bestFit="1" customWidth="1"/>
    <col min="5" max="5" width="15.5703125" bestFit="1" customWidth="1"/>
    <col min="6" max="6" width="30.5703125" bestFit="1" customWidth="1"/>
    <col min="7" max="7" width="30.7109375" bestFit="1" customWidth="1"/>
    <col min="8" max="8" width="22.140625" bestFit="1" customWidth="1"/>
    <col min="9" max="9" width="21.140625" bestFit="1" customWidth="1"/>
  </cols>
  <sheetData>
    <row r="1" spans="2:9" ht="15.75" x14ac:dyDescent="0.25">
      <c r="B1" s="279" t="s">
        <v>237</v>
      </c>
      <c r="C1" s="279" t="s">
        <v>171</v>
      </c>
      <c r="D1" s="279" t="s">
        <v>233</v>
      </c>
      <c r="E1" s="279" t="s">
        <v>229</v>
      </c>
      <c r="F1" s="279" t="s">
        <v>231</v>
      </c>
      <c r="G1" s="279" t="s">
        <v>232</v>
      </c>
      <c r="H1" s="280" t="s">
        <v>230</v>
      </c>
      <c r="I1" s="280" t="s">
        <v>288</v>
      </c>
    </row>
    <row r="2" spans="2:9" x14ac:dyDescent="0.2">
      <c r="B2" s="281" t="s">
        <v>238</v>
      </c>
      <c r="C2" s="282" t="s">
        <v>228</v>
      </c>
      <c r="D2" s="281" t="s">
        <v>60</v>
      </c>
      <c r="E2" s="282" t="s">
        <v>185</v>
      </c>
      <c r="F2" s="283">
        <v>5</v>
      </c>
      <c r="G2" s="284">
        <v>6</v>
      </c>
      <c r="H2" s="285">
        <v>370</v>
      </c>
      <c r="I2" s="285">
        <v>370</v>
      </c>
    </row>
    <row r="3" spans="2:9" x14ac:dyDescent="0.2">
      <c r="B3" s="65" t="s">
        <v>238</v>
      </c>
      <c r="C3" s="66" t="s">
        <v>228</v>
      </c>
      <c r="D3" s="65" t="s">
        <v>60</v>
      </c>
      <c r="E3" s="66" t="s">
        <v>187</v>
      </c>
      <c r="F3" s="87">
        <v>6</v>
      </c>
      <c r="G3" s="76">
        <v>7</v>
      </c>
      <c r="H3" s="93">
        <v>400</v>
      </c>
      <c r="I3" s="93">
        <v>400</v>
      </c>
    </row>
    <row r="4" spans="2:9" x14ac:dyDescent="0.2">
      <c r="B4" s="281" t="s">
        <v>238</v>
      </c>
      <c r="C4" s="282" t="s">
        <v>228</v>
      </c>
      <c r="D4" s="281" t="s">
        <v>60</v>
      </c>
      <c r="E4" s="282" t="s">
        <v>189</v>
      </c>
      <c r="F4" s="283">
        <v>7.1</v>
      </c>
      <c r="G4" s="284">
        <v>7.5</v>
      </c>
      <c r="H4" s="285">
        <v>566</v>
      </c>
      <c r="I4" s="285">
        <v>566</v>
      </c>
    </row>
    <row r="5" spans="2:9" x14ac:dyDescent="0.2">
      <c r="B5" s="65" t="s">
        <v>238</v>
      </c>
      <c r="C5" s="66" t="s">
        <v>228</v>
      </c>
      <c r="D5" s="65" t="s">
        <v>60</v>
      </c>
      <c r="E5" s="66" t="s">
        <v>191</v>
      </c>
      <c r="F5" s="87">
        <v>8.5</v>
      </c>
      <c r="G5" s="76">
        <v>10</v>
      </c>
      <c r="H5" s="93">
        <v>600</v>
      </c>
      <c r="I5" s="93">
        <v>600</v>
      </c>
    </row>
    <row r="6" spans="2:9" x14ac:dyDescent="0.2">
      <c r="B6" s="281" t="s">
        <v>238</v>
      </c>
      <c r="C6" s="282" t="s">
        <v>228</v>
      </c>
      <c r="D6" s="281" t="s">
        <v>60</v>
      </c>
      <c r="E6" s="282" t="s">
        <v>193</v>
      </c>
      <c r="F6" s="283">
        <v>10</v>
      </c>
      <c r="G6" s="284">
        <v>12.5</v>
      </c>
      <c r="H6" s="285">
        <v>800</v>
      </c>
      <c r="I6" s="285">
        <v>800</v>
      </c>
    </row>
    <row r="7" spans="2:9" x14ac:dyDescent="0.2">
      <c r="B7" s="65" t="s">
        <v>238</v>
      </c>
      <c r="C7" s="66" t="s">
        <v>228</v>
      </c>
      <c r="D7" s="65" t="s">
        <v>60</v>
      </c>
      <c r="E7" s="66" t="s">
        <v>195</v>
      </c>
      <c r="F7" s="87">
        <v>12.5</v>
      </c>
      <c r="G7" s="76">
        <v>15</v>
      </c>
      <c r="H7" s="93">
        <v>840</v>
      </c>
      <c r="I7" s="93">
        <v>840</v>
      </c>
    </row>
    <row r="8" spans="2:9" x14ac:dyDescent="0.2">
      <c r="B8" s="281" t="s">
        <v>238</v>
      </c>
      <c r="C8" s="282" t="s">
        <v>228</v>
      </c>
      <c r="D8" s="281" t="s">
        <v>60</v>
      </c>
      <c r="E8" s="282" t="s">
        <v>197</v>
      </c>
      <c r="F8" s="283">
        <v>14</v>
      </c>
      <c r="G8" s="284">
        <v>16.5</v>
      </c>
      <c r="H8" s="285">
        <v>1000</v>
      </c>
      <c r="I8" s="285">
        <v>1000</v>
      </c>
    </row>
    <row r="9" spans="2:9" x14ac:dyDescent="0.2">
      <c r="B9" s="65" t="s">
        <v>238</v>
      </c>
      <c r="C9" s="66" t="s">
        <v>228</v>
      </c>
      <c r="D9" s="65" t="s">
        <v>60</v>
      </c>
      <c r="E9" s="66" t="s">
        <v>334</v>
      </c>
      <c r="F9" s="87">
        <v>15.5</v>
      </c>
      <c r="G9" s="76">
        <v>18</v>
      </c>
      <c r="H9" s="93">
        <v>1120</v>
      </c>
      <c r="I9" s="93">
        <v>1120</v>
      </c>
    </row>
    <row r="10" spans="2:9" x14ac:dyDescent="0.2">
      <c r="B10" s="281" t="s">
        <v>238</v>
      </c>
      <c r="C10" s="282" t="s">
        <v>228</v>
      </c>
      <c r="D10" s="281" t="s">
        <v>60</v>
      </c>
      <c r="E10" s="282" t="s">
        <v>199</v>
      </c>
      <c r="F10" s="283">
        <v>18</v>
      </c>
      <c r="G10" s="284">
        <v>20</v>
      </c>
      <c r="H10" s="285">
        <v>1200</v>
      </c>
      <c r="I10" s="285">
        <v>1200</v>
      </c>
    </row>
    <row r="11" spans="2:9" x14ac:dyDescent="0.2">
      <c r="B11" s="65" t="s">
        <v>238</v>
      </c>
      <c r="C11" s="66" t="s">
        <v>228</v>
      </c>
      <c r="D11" s="65" t="s">
        <v>60</v>
      </c>
      <c r="E11" s="66" t="s">
        <v>200</v>
      </c>
      <c r="F11" s="87">
        <v>19.5</v>
      </c>
      <c r="G11" s="76">
        <v>22.4</v>
      </c>
      <c r="H11" s="93">
        <v>1600</v>
      </c>
      <c r="I11" s="93">
        <v>1600</v>
      </c>
    </row>
    <row r="12" spans="2:9" x14ac:dyDescent="0.2">
      <c r="B12" s="281" t="s">
        <v>238</v>
      </c>
      <c r="C12" s="282" t="s">
        <v>228</v>
      </c>
      <c r="D12" s="281" t="s">
        <v>60</v>
      </c>
      <c r="E12" s="282" t="s">
        <v>201</v>
      </c>
      <c r="F12" s="283">
        <v>23.5</v>
      </c>
      <c r="G12" s="284">
        <v>26.8</v>
      </c>
      <c r="H12" s="285">
        <v>1600</v>
      </c>
      <c r="I12" s="285">
        <v>1600</v>
      </c>
    </row>
    <row r="13" spans="2:9" x14ac:dyDescent="0.2">
      <c r="B13" s="65" t="s">
        <v>238</v>
      </c>
      <c r="C13" s="66" t="s">
        <v>234</v>
      </c>
      <c r="D13" s="65" t="s">
        <v>60</v>
      </c>
      <c r="E13" s="66" t="s">
        <v>186</v>
      </c>
      <c r="F13" s="87">
        <v>5</v>
      </c>
      <c r="G13" s="76">
        <v>6</v>
      </c>
      <c r="H13" s="255">
        <v>300</v>
      </c>
      <c r="I13" s="255">
        <v>300</v>
      </c>
    </row>
    <row r="14" spans="2:9" x14ac:dyDescent="0.2">
      <c r="B14" s="281" t="s">
        <v>238</v>
      </c>
      <c r="C14" s="282" t="s">
        <v>234</v>
      </c>
      <c r="D14" s="281" t="s">
        <v>60</v>
      </c>
      <c r="E14" s="282" t="s">
        <v>188</v>
      </c>
      <c r="F14" s="283">
        <v>6</v>
      </c>
      <c r="G14" s="284">
        <v>7.1</v>
      </c>
      <c r="H14" s="286">
        <v>300</v>
      </c>
      <c r="I14" s="286">
        <v>300</v>
      </c>
    </row>
    <row r="15" spans="2:9" x14ac:dyDescent="0.2">
      <c r="B15" s="65" t="s">
        <v>238</v>
      </c>
      <c r="C15" s="66" t="s">
        <v>234</v>
      </c>
      <c r="D15" s="65" t="s">
        <v>60</v>
      </c>
      <c r="E15" s="66" t="s">
        <v>190</v>
      </c>
      <c r="F15" s="87">
        <v>7.1</v>
      </c>
      <c r="G15" s="76">
        <v>8</v>
      </c>
      <c r="H15" s="255">
        <v>383</v>
      </c>
      <c r="I15" s="255">
        <v>383</v>
      </c>
    </row>
    <row r="16" spans="2:9" x14ac:dyDescent="0.2">
      <c r="B16" s="281" t="s">
        <v>238</v>
      </c>
      <c r="C16" s="282" t="s">
        <v>234</v>
      </c>
      <c r="D16" s="281" t="s">
        <v>60</v>
      </c>
      <c r="E16" s="282" t="s">
        <v>192</v>
      </c>
      <c r="F16" s="283">
        <v>8.5</v>
      </c>
      <c r="G16" s="284">
        <v>10</v>
      </c>
      <c r="H16" s="286">
        <v>533</v>
      </c>
      <c r="I16" s="286">
        <v>533</v>
      </c>
    </row>
    <row r="17" spans="2:9" x14ac:dyDescent="0.2">
      <c r="B17" s="65" t="s">
        <v>238</v>
      </c>
      <c r="C17" s="66" t="s">
        <v>234</v>
      </c>
      <c r="D17" s="65" t="s">
        <v>60</v>
      </c>
      <c r="E17" s="66" t="s">
        <v>194</v>
      </c>
      <c r="F17" s="87">
        <v>10</v>
      </c>
      <c r="G17" s="76">
        <v>11.2</v>
      </c>
      <c r="H17" s="255">
        <v>533</v>
      </c>
      <c r="I17" s="255">
        <v>533</v>
      </c>
    </row>
    <row r="18" spans="2:9" x14ac:dyDescent="0.2">
      <c r="B18" s="281" t="s">
        <v>238</v>
      </c>
      <c r="C18" s="282" t="s">
        <v>234</v>
      </c>
      <c r="D18" s="281" t="s">
        <v>60</v>
      </c>
      <c r="E18" s="282" t="s">
        <v>196</v>
      </c>
      <c r="F18" s="283">
        <v>12.5</v>
      </c>
      <c r="G18" s="284">
        <v>14</v>
      </c>
      <c r="H18" s="286">
        <v>600</v>
      </c>
      <c r="I18" s="286">
        <v>600</v>
      </c>
    </row>
    <row r="19" spans="2:9" x14ac:dyDescent="0.2">
      <c r="B19" s="65" t="s">
        <v>238</v>
      </c>
      <c r="C19" s="66" t="s">
        <v>234</v>
      </c>
      <c r="D19" s="65" t="s">
        <v>60</v>
      </c>
      <c r="E19" s="66" t="s">
        <v>198</v>
      </c>
      <c r="F19" s="87">
        <v>14</v>
      </c>
      <c r="G19" s="76">
        <v>16</v>
      </c>
      <c r="H19" s="255">
        <v>600</v>
      </c>
      <c r="I19" s="255">
        <v>600</v>
      </c>
    </row>
    <row r="20" spans="2:9" x14ac:dyDescent="0.2">
      <c r="B20" s="281" t="s">
        <v>235</v>
      </c>
      <c r="C20" s="282" t="s">
        <v>236</v>
      </c>
      <c r="D20" s="281" t="s">
        <v>60</v>
      </c>
      <c r="E20" s="282" t="s">
        <v>206</v>
      </c>
      <c r="F20" s="283">
        <v>2.2000000000000002</v>
      </c>
      <c r="G20" s="284">
        <v>2.5</v>
      </c>
      <c r="H20" s="287">
        <v>150</v>
      </c>
      <c r="I20" s="287">
        <v>150</v>
      </c>
    </row>
    <row r="21" spans="2:9" x14ac:dyDescent="0.2">
      <c r="B21" s="65" t="s">
        <v>235</v>
      </c>
      <c r="C21" s="66" t="s">
        <v>236</v>
      </c>
      <c r="D21" s="65" t="s">
        <v>60</v>
      </c>
      <c r="E21" s="66" t="s">
        <v>207</v>
      </c>
      <c r="F21" s="87">
        <v>2.8</v>
      </c>
      <c r="G21" s="76">
        <v>3.2</v>
      </c>
      <c r="H21" s="78">
        <v>150</v>
      </c>
      <c r="I21" s="78">
        <v>150</v>
      </c>
    </row>
    <row r="22" spans="2:9" x14ac:dyDescent="0.2">
      <c r="B22" s="281" t="s">
        <v>235</v>
      </c>
      <c r="C22" s="282" t="s">
        <v>236</v>
      </c>
      <c r="D22" s="281" t="s">
        <v>60</v>
      </c>
      <c r="E22" s="282" t="s">
        <v>208</v>
      </c>
      <c r="F22" s="283">
        <v>3.6</v>
      </c>
      <c r="G22" s="284">
        <v>4</v>
      </c>
      <c r="H22" s="287">
        <v>158</v>
      </c>
      <c r="I22" s="287">
        <v>158</v>
      </c>
    </row>
    <row r="23" spans="2:9" x14ac:dyDescent="0.2">
      <c r="B23" s="65" t="s">
        <v>235</v>
      </c>
      <c r="C23" s="66" t="s">
        <v>236</v>
      </c>
      <c r="D23" s="65" t="s">
        <v>60</v>
      </c>
      <c r="E23" s="66" t="s">
        <v>209</v>
      </c>
      <c r="F23" s="87">
        <v>4.5</v>
      </c>
      <c r="G23" s="76">
        <v>5</v>
      </c>
      <c r="H23" s="78">
        <v>267</v>
      </c>
      <c r="I23" s="78">
        <v>267</v>
      </c>
    </row>
    <row r="24" spans="2:9" x14ac:dyDescent="0.2">
      <c r="B24" s="281" t="s">
        <v>235</v>
      </c>
      <c r="C24" s="282" t="s">
        <v>236</v>
      </c>
      <c r="D24" s="281" t="s">
        <v>60</v>
      </c>
      <c r="E24" s="282" t="s">
        <v>210</v>
      </c>
      <c r="F24" s="283">
        <v>5.6</v>
      </c>
      <c r="G24" s="284">
        <v>6.3</v>
      </c>
      <c r="H24" s="287">
        <v>300</v>
      </c>
      <c r="I24" s="287">
        <v>300</v>
      </c>
    </row>
    <row r="25" spans="2:9" x14ac:dyDescent="0.2">
      <c r="B25" s="65" t="s">
        <v>235</v>
      </c>
      <c r="C25" s="66" t="s">
        <v>236</v>
      </c>
      <c r="D25" s="65" t="s">
        <v>60</v>
      </c>
      <c r="E25" s="66" t="s">
        <v>211</v>
      </c>
      <c r="F25" s="87">
        <v>7.1</v>
      </c>
      <c r="G25" s="76">
        <v>8</v>
      </c>
      <c r="H25" s="79">
        <v>325</v>
      </c>
      <c r="I25" s="79">
        <v>325</v>
      </c>
    </row>
    <row r="26" spans="2:9" x14ac:dyDescent="0.2">
      <c r="B26" s="281" t="s">
        <v>235</v>
      </c>
      <c r="C26" s="282" t="s">
        <v>236</v>
      </c>
      <c r="D26" s="281" t="s">
        <v>60</v>
      </c>
      <c r="E26" s="282" t="s">
        <v>212</v>
      </c>
      <c r="F26" s="283">
        <v>9</v>
      </c>
      <c r="G26" s="284">
        <v>10</v>
      </c>
      <c r="H26" s="287">
        <v>417</v>
      </c>
      <c r="I26" s="287">
        <v>417</v>
      </c>
    </row>
    <row r="27" spans="2:9" x14ac:dyDescent="0.2">
      <c r="B27" s="65" t="s">
        <v>235</v>
      </c>
      <c r="C27" s="66" t="s">
        <v>236</v>
      </c>
      <c r="D27" s="65" t="s">
        <v>60</v>
      </c>
      <c r="E27" s="66" t="s">
        <v>213</v>
      </c>
      <c r="F27" s="87">
        <v>11.2</v>
      </c>
      <c r="G27" s="76">
        <v>12.5</v>
      </c>
      <c r="H27" s="79">
        <v>533</v>
      </c>
      <c r="I27" s="79">
        <v>533</v>
      </c>
    </row>
    <row r="28" spans="2:9" x14ac:dyDescent="0.2">
      <c r="B28" s="281" t="s">
        <v>235</v>
      </c>
      <c r="C28" s="282" t="s">
        <v>236</v>
      </c>
      <c r="D28" s="281" t="s">
        <v>60</v>
      </c>
      <c r="E28" s="282" t="s">
        <v>214</v>
      </c>
      <c r="F28" s="283">
        <v>14</v>
      </c>
      <c r="G28" s="284">
        <v>16</v>
      </c>
      <c r="H28" s="287">
        <v>650</v>
      </c>
      <c r="I28" s="287">
        <v>650</v>
      </c>
    </row>
    <row r="29" spans="2:9" x14ac:dyDescent="0.2">
      <c r="B29" s="65" t="s">
        <v>235</v>
      </c>
      <c r="C29" s="66" t="s">
        <v>236</v>
      </c>
      <c r="D29" s="65" t="s">
        <v>60</v>
      </c>
      <c r="E29" s="66" t="s">
        <v>215</v>
      </c>
      <c r="F29" s="87">
        <v>16</v>
      </c>
      <c r="G29" s="76">
        <v>18</v>
      </c>
      <c r="H29" s="79">
        <v>767</v>
      </c>
      <c r="I29" s="79">
        <v>767</v>
      </c>
    </row>
    <row r="30" spans="2:9" x14ac:dyDescent="0.2">
      <c r="B30" s="281" t="s">
        <v>235</v>
      </c>
      <c r="C30" s="282" t="s">
        <v>236</v>
      </c>
      <c r="D30" s="281" t="s">
        <v>60</v>
      </c>
      <c r="E30" s="282" t="s">
        <v>216</v>
      </c>
      <c r="F30" s="283">
        <v>18</v>
      </c>
      <c r="G30" s="284">
        <v>20</v>
      </c>
      <c r="H30" s="287">
        <v>1120</v>
      </c>
      <c r="I30" s="287">
        <v>1120</v>
      </c>
    </row>
    <row r="31" spans="2:9" x14ac:dyDescent="0.2">
      <c r="B31" s="65" t="s">
        <v>235</v>
      </c>
      <c r="C31" s="66" t="s">
        <v>236</v>
      </c>
      <c r="D31" s="65" t="s">
        <v>60</v>
      </c>
      <c r="E31" s="66" t="s">
        <v>217</v>
      </c>
      <c r="F31" s="87">
        <v>20</v>
      </c>
      <c r="G31" s="76">
        <v>22.4</v>
      </c>
      <c r="H31" s="78">
        <v>1160</v>
      </c>
      <c r="I31" s="78">
        <v>1160</v>
      </c>
    </row>
    <row r="32" spans="2:9" x14ac:dyDescent="0.2">
      <c r="B32" s="281" t="s">
        <v>235</v>
      </c>
      <c r="C32" s="282" t="s">
        <v>236</v>
      </c>
      <c r="D32" s="281" t="s">
        <v>60</v>
      </c>
      <c r="E32" s="282" t="s">
        <v>218</v>
      </c>
      <c r="F32" s="283">
        <v>22.4</v>
      </c>
      <c r="G32" s="284">
        <v>25</v>
      </c>
      <c r="H32" s="287">
        <v>1200</v>
      </c>
      <c r="I32" s="287">
        <v>1200</v>
      </c>
    </row>
    <row r="33" spans="2:9" x14ac:dyDescent="0.2">
      <c r="B33" s="65" t="s">
        <v>235</v>
      </c>
      <c r="C33" s="66" t="s">
        <v>236</v>
      </c>
      <c r="D33" s="65" t="s">
        <v>60</v>
      </c>
      <c r="E33" s="66" t="s">
        <v>219</v>
      </c>
      <c r="F33" s="87">
        <v>28</v>
      </c>
      <c r="G33" s="76">
        <v>31.5</v>
      </c>
      <c r="H33" s="78">
        <v>1400</v>
      </c>
      <c r="I33" s="78">
        <v>1400</v>
      </c>
    </row>
    <row r="34" spans="2:9" x14ac:dyDescent="0.2">
      <c r="B34" s="281" t="s">
        <v>235</v>
      </c>
      <c r="C34" s="282" t="s">
        <v>325</v>
      </c>
      <c r="D34" s="288" t="s">
        <v>60</v>
      </c>
      <c r="E34" s="282" t="s">
        <v>326</v>
      </c>
      <c r="F34" s="283">
        <v>2.2000000000000002</v>
      </c>
      <c r="G34" s="284">
        <v>2.5</v>
      </c>
      <c r="H34" s="285">
        <v>135</v>
      </c>
      <c r="I34" s="285">
        <v>135</v>
      </c>
    </row>
    <row r="35" spans="2:9" x14ac:dyDescent="0.2">
      <c r="B35" s="65" t="s">
        <v>235</v>
      </c>
      <c r="C35" s="66" t="s">
        <v>325</v>
      </c>
      <c r="D35" s="71" t="s">
        <v>60</v>
      </c>
      <c r="E35" s="66" t="s">
        <v>327</v>
      </c>
      <c r="F35" s="87">
        <v>2.8</v>
      </c>
      <c r="G35" s="76">
        <v>3.2</v>
      </c>
      <c r="H35" s="93">
        <v>150</v>
      </c>
      <c r="I35" s="93">
        <v>150</v>
      </c>
    </row>
    <row r="36" spans="2:9" x14ac:dyDescent="0.2">
      <c r="B36" s="281" t="s">
        <v>235</v>
      </c>
      <c r="C36" s="282" t="s">
        <v>325</v>
      </c>
      <c r="D36" s="288" t="s">
        <v>60</v>
      </c>
      <c r="E36" s="282" t="s">
        <v>328</v>
      </c>
      <c r="F36" s="283">
        <v>3.6</v>
      </c>
      <c r="G36" s="284">
        <v>4</v>
      </c>
      <c r="H36" s="285">
        <v>150</v>
      </c>
      <c r="I36" s="285">
        <v>150</v>
      </c>
    </row>
    <row r="37" spans="2:9" x14ac:dyDescent="0.2">
      <c r="B37" s="65" t="s">
        <v>235</v>
      </c>
      <c r="C37" s="66" t="s">
        <v>325</v>
      </c>
      <c r="D37" s="71" t="s">
        <v>60</v>
      </c>
      <c r="E37" s="66" t="s">
        <v>329</v>
      </c>
      <c r="F37" s="87">
        <v>4.5</v>
      </c>
      <c r="G37" s="76">
        <v>5</v>
      </c>
      <c r="H37" s="93">
        <v>210</v>
      </c>
      <c r="I37" s="93">
        <v>210</v>
      </c>
    </row>
    <row r="38" spans="2:9" x14ac:dyDescent="0.2">
      <c r="B38" s="281" t="s">
        <v>235</v>
      </c>
      <c r="C38" s="282" t="s">
        <v>325</v>
      </c>
      <c r="D38" s="288" t="s">
        <v>60</v>
      </c>
      <c r="E38" s="282" t="s">
        <v>330</v>
      </c>
      <c r="F38" s="283">
        <v>5.6</v>
      </c>
      <c r="G38" s="284">
        <v>6.3</v>
      </c>
      <c r="H38" s="285">
        <v>250</v>
      </c>
      <c r="I38" s="285">
        <v>250</v>
      </c>
    </row>
    <row r="39" spans="2:9" x14ac:dyDescent="0.2">
      <c r="B39" s="65" t="s">
        <v>235</v>
      </c>
      <c r="C39" s="66" t="s">
        <v>325</v>
      </c>
      <c r="D39" s="71" t="s">
        <v>60</v>
      </c>
      <c r="E39" s="66" t="s">
        <v>331</v>
      </c>
      <c r="F39" s="87">
        <v>7.1</v>
      </c>
      <c r="G39" s="76">
        <v>8</v>
      </c>
      <c r="H39" s="93">
        <v>333</v>
      </c>
      <c r="I39" s="93">
        <v>333</v>
      </c>
    </row>
    <row r="40" spans="2:9" x14ac:dyDescent="0.2">
      <c r="B40" s="69"/>
      <c r="C40" s="69"/>
      <c r="D40" s="71"/>
      <c r="E40" s="98" t="s">
        <v>320</v>
      </c>
      <c r="F40" s="87"/>
      <c r="G40" s="76"/>
      <c r="H40" s="69"/>
      <c r="I40" s="69"/>
    </row>
    <row r="41" spans="2:9" x14ac:dyDescent="0.2">
      <c r="B41" s="281" t="s">
        <v>235</v>
      </c>
      <c r="C41" s="282" t="s">
        <v>252</v>
      </c>
      <c r="D41" s="281" t="s">
        <v>184</v>
      </c>
      <c r="E41" s="282" t="s">
        <v>202</v>
      </c>
      <c r="F41" s="283">
        <v>9</v>
      </c>
      <c r="G41" s="284">
        <v>10</v>
      </c>
      <c r="H41" s="289"/>
      <c r="I41" s="289"/>
    </row>
    <row r="42" spans="2:9" x14ac:dyDescent="0.2">
      <c r="B42" s="65" t="s">
        <v>235</v>
      </c>
      <c r="C42" s="66" t="s">
        <v>252</v>
      </c>
      <c r="D42" s="65" t="s">
        <v>184</v>
      </c>
      <c r="E42" s="66" t="s">
        <v>203</v>
      </c>
      <c r="F42" s="87">
        <v>11.2</v>
      </c>
      <c r="G42" s="76">
        <v>12.5</v>
      </c>
      <c r="H42" s="80"/>
      <c r="I42" s="80"/>
    </row>
    <row r="43" spans="2:9" x14ac:dyDescent="0.2">
      <c r="B43" s="281" t="s">
        <v>235</v>
      </c>
      <c r="C43" s="282" t="s">
        <v>252</v>
      </c>
      <c r="D43" s="281" t="s">
        <v>184</v>
      </c>
      <c r="E43" s="282" t="s">
        <v>204</v>
      </c>
      <c r="F43" s="283">
        <v>14</v>
      </c>
      <c r="G43" s="284">
        <v>14</v>
      </c>
      <c r="H43" s="289"/>
      <c r="I43" s="289"/>
    </row>
    <row r="44" spans="2:9" x14ac:dyDescent="0.2">
      <c r="B44" s="65" t="s">
        <v>235</v>
      </c>
      <c r="C44" s="66" t="s">
        <v>252</v>
      </c>
      <c r="D44" s="65" t="s">
        <v>184</v>
      </c>
      <c r="E44" s="66" t="s">
        <v>205</v>
      </c>
      <c r="F44" s="87">
        <v>16</v>
      </c>
      <c r="G44" s="278">
        <v>16</v>
      </c>
      <c r="H44" s="80"/>
      <c r="I44" s="80"/>
    </row>
    <row r="45" spans="2:9" x14ac:dyDescent="0.2">
      <c r="B45" s="281" t="s">
        <v>235</v>
      </c>
      <c r="C45" s="282" t="s">
        <v>252</v>
      </c>
      <c r="D45" s="281" t="s">
        <v>184</v>
      </c>
      <c r="E45" s="282" t="s">
        <v>332</v>
      </c>
      <c r="F45" s="283">
        <v>22.4</v>
      </c>
      <c r="G45" s="290">
        <v>22.4</v>
      </c>
      <c r="H45" s="289"/>
      <c r="I45" s="289"/>
    </row>
    <row r="46" spans="2:9" x14ac:dyDescent="0.2">
      <c r="B46" s="65" t="s">
        <v>235</v>
      </c>
      <c r="C46" s="66" t="s">
        <v>252</v>
      </c>
      <c r="D46" s="65" t="s">
        <v>184</v>
      </c>
      <c r="E46" s="66" t="s">
        <v>333</v>
      </c>
      <c r="F46" s="87">
        <v>24</v>
      </c>
      <c r="G46" s="278">
        <v>24</v>
      </c>
      <c r="H46" s="80"/>
      <c r="I46" s="80"/>
    </row>
    <row r="47" spans="2:9" x14ac:dyDescent="0.2">
      <c r="B47" s="69"/>
      <c r="C47" s="69"/>
      <c r="D47" s="71"/>
      <c r="E47" s="98" t="s">
        <v>320</v>
      </c>
      <c r="F47" s="87"/>
      <c r="G47" s="278"/>
      <c r="H47" s="69"/>
      <c r="I47" s="69"/>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D3F43F4-A2AA-4712-803B-820198942B89}">
  <dimension ref="B2:F28"/>
  <sheetViews>
    <sheetView topLeftCell="A7" zoomScale="85" zoomScaleNormal="85" workbookViewId="0">
      <selection activeCell="F21" sqref="F21"/>
    </sheetView>
  </sheetViews>
  <sheetFormatPr defaultColWidth="8.85546875" defaultRowHeight="15" x14ac:dyDescent="0.25"/>
  <cols>
    <col min="1" max="1" width="3.28515625" style="44" customWidth="1"/>
    <col min="2" max="2" width="10.5703125" style="44" customWidth="1"/>
    <col min="3" max="3" width="11.7109375" style="46" customWidth="1"/>
    <col min="4" max="4" width="11.5703125" style="46" customWidth="1"/>
    <col min="5" max="5" width="14.28515625" style="46" customWidth="1"/>
    <col min="6" max="6" width="72" style="44" customWidth="1"/>
    <col min="7" max="16384" width="8.85546875" style="44"/>
  </cols>
  <sheetData>
    <row r="2" spans="2:6" x14ac:dyDescent="0.25">
      <c r="B2" s="42" t="s">
        <v>152</v>
      </c>
      <c r="C2" s="43" t="s">
        <v>153</v>
      </c>
      <c r="D2" s="43" t="s">
        <v>154</v>
      </c>
      <c r="E2" s="43" t="s">
        <v>155</v>
      </c>
      <c r="F2" s="43" t="s">
        <v>156</v>
      </c>
    </row>
    <row r="3" spans="2:6" x14ac:dyDescent="0.25">
      <c r="B3" s="45" t="s">
        <v>157</v>
      </c>
      <c r="C3" s="46" t="s">
        <v>158</v>
      </c>
      <c r="D3" s="46" t="s">
        <v>159</v>
      </c>
      <c r="F3" s="44" t="s">
        <v>160</v>
      </c>
    </row>
    <row r="4" spans="2:6" x14ac:dyDescent="0.25">
      <c r="B4" s="45" t="s">
        <v>161</v>
      </c>
      <c r="C4" s="47">
        <v>44567</v>
      </c>
      <c r="D4" s="46" t="s">
        <v>162</v>
      </c>
      <c r="E4" s="46" t="s">
        <v>159</v>
      </c>
      <c r="F4" s="48" t="s">
        <v>164</v>
      </c>
    </row>
    <row r="5" spans="2:6" x14ac:dyDescent="0.25">
      <c r="B5" s="45" t="s">
        <v>163</v>
      </c>
      <c r="C5" s="47">
        <v>44567</v>
      </c>
      <c r="D5" s="46" t="s">
        <v>162</v>
      </c>
      <c r="F5" s="48" t="s">
        <v>165</v>
      </c>
    </row>
    <row r="6" spans="2:6" x14ac:dyDescent="0.25">
      <c r="B6" s="45">
        <v>1.3</v>
      </c>
      <c r="C6" s="47">
        <v>44588</v>
      </c>
      <c r="D6" s="46" t="s">
        <v>159</v>
      </c>
    </row>
    <row r="7" spans="2:6" ht="180" x14ac:dyDescent="0.25">
      <c r="B7" s="50">
        <v>1.4</v>
      </c>
      <c r="C7" s="51">
        <v>44595</v>
      </c>
      <c r="D7" s="53" t="s">
        <v>254</v>
      </c>
      <c r="E7" s="53" t="s">
        <v>162</v>
      </c>
      <c r="F7" s="52" t="s">
        <v>248</v>
      </c>
    </row>
    <row r="8" spans="2:6" ht="60" x14ac:dyDescent="0.25">
      <c r="B8" s="50">
        <v>1.5</v>
      </c>
      <c r="C8" s="51">
        <v>44606</v>
      </c>
      <c r="D8" s="53" t="s">
        <v>162</v>
      </c>
      <c r="E8" s="58" t="s">
        <v>159</v>
      </c>
      <c r="F8" s="55" t="s">
        <v>269</v>
      </c>
    </row>
    <row r="9" spans="2:6" ht="60" x14ac:dyDescent="0.25">
      <c r="B9" s="50">
        <v>1.6</v>
      </c>
      <c r="C9" s="51">
        <v>44608</v>
      </c>
      <c r="D9" s="53" t="s">
        <v>162</v>
      </c>
      <c r="F9" s="57" t="s">
        <v>286</v>
      </c>
    </row>
    <row r="10" spans="2:6" ht="105" x14ac:dyDescent="0.25">
      <c r="B10" s="50">
        <v>1.7</v>
      </c>
      <c r="C10" s="51">
        <v>44623</v>
      </c>
      <c r="D10" s="194" t="s">
        <v>298</v>
      </c>
      <c r="E10" s="53" t="s">
        <v>162</v>
      </c>
      <c r="F10" s="193" t="s">
        <v>299</v>
      </c>
    </row>
    <row r="11" spans="2:6" x14ac:dyDescent="0.25">
      <c r="B11" s="50">
        <v>1.8</v>
      </c>
      <c r="C11" s="51">
        <v>44629</v>
      </c>
      <c r="D11" s="53" t="s">
        <v>162</v>
      </c>
      <c r="E11" s="246" t="s">
        <v>159</v>
      </c>
      <c r="F11" s="197" t="s">
        <v>313</v>
      </c>
    </row>
    <row r="12" spans="2:6" ht="30" x14ac:dyDescent="0.25">
      <c r="B12" s="50">
        <v>1.9</v>
      </c>
      <c r="C12" s="51">
        <v>44631</v>
      </c>
      <c r="D12" s="53" t="s">
        <v>162</v>
      </c>
      <c r="F12" s="291" t="s">
        <v>335</v>
      </c>
    </row>
    <row r="13" spans="2:6" x14ac:dyDescent="0.25">
      <c r="B13" s="306" t="s">
        <v>337</v>
      </c>
      <c r="C13" s="51">
        <v>44659</v>
      </c>
      <c r="D13" s="53" t="s">
        <v>162</v>
      </c>
      <c r="E13" s="246" t="s">
        <v>159</v>
      </c>
      <c r="F13" s="307" t="s">
        <v>338</v>
      </c>
    </row>
    <row r="14" spans="2:6" x14ac:dyDescent="0.25">
      <c r="B14" s="46">
        <v>2.1</v>
      </c>
      <c r="C14" s="51">
        <v>44721</v>
      </c>
      <c r="D14" s="53" t="s">
        <v>162</v>
      </c>
      <c r="F14" s="307" t="s">
        <v>339</v>
      </c>
    </row>
    <row r="15" spans="2:6" x14ac:dyDescent="0.25">
      <c r="B15" s="46">
        <v>2.6</v>
      </c>
      <c r="C15" s="51">
        <v>45348</v>
      </c>
      <c r="D15" s="347" t="s">
        <v>159</v>
      </c>
      <c r="F15" s="348" t="s">
        <v>424</v>
      </c>
    </row>
    <row r="19" spans="2:4" ht="18.75" x14ac:dyDescent="0.3">
      <c r="B19" s="26" t="s">
        <v>98</v>
      </c>
      <c r="C19" s="24"/>
      <c r="D19" s="24"/>
    </row>
    <row r="20" spans="2:4" x14ac:dyDescent="0.25">
      <c r="B20" s="25" t="s">
        <v>88</v>
      </c>
      <c r="C20" s="24" t="s">
        <v>94</v>
      </c>
      <c r="D20" s="24"/>
    </row>
    <row r="21" spans="2:4" x14ac:dyDescent="0.25">
      <c r="B21" s="25" t="s">
        <v>89</v>
      </c>
      <c r="C21" s="49" t="s">
        <v>166</v>
      </c>
      <c r="D21" s="24"/>
    </row>
    <row r="22" spans="2:4" x14ac:dyDescent="0.25">
      <c r="B22" s="25" t="s">
        <v>90</v>
      </c>
      <c r="C22" s="49" t="s">
        <v>167</v>
      </c>
      <c r="D22" s="24"/>
    </row>
    <row r="23" spans="2:4" x14ac:dyDescent="0.25">
      <c r="B23" s="25" t="s">
        <v>91</v>
      </c>
      <c r="C23" s="49" t="s">
        <v>97</v>
      </c>
      <c r="D23" s="24"/>
    </row>
    <row r="24" spans="2:4" x14ac:dyDescent="0.25">
      <c r="B24" s="25" t="s">
        <v>92</v>
      </c>
      <c r="C24" s="56" t="s">
        <v>267</v>
      </c>
      <c r="D24" s="24"/>
    </row>
    <row r="25" spans="2:4" x14ac:dyDescent="0.25">
      <c r="B25" s="25" t="s">
        <v>93</v>
      </c>
      <c r="C25" s="56" t="s">
        <v>264</v>
      </c>
      <c r="D25" s="24"/>
    </row>
    <row r="26" spans="2:4" x14ac:dyDescent="0.25">
      <c r="B26" s="25" t="s">
        <v>95</v>
      </c>
      <c r="C26" s="56" t="s">
        <v>265</v>
      </c>
      <c r="D26" s="24"/>
    </row>
    <row r="27" spans="2:4" x14ac:dyDescent="0.25">
      <c r="B27" s="25" t="s">
        <v>96</v>
      </c>
      <c r="C27" s="56" t="s">
        <v>266</v>
      </c>
      <c r="D27" s="24"/>
    </row>
    <row r="28" spans="2:4" x14ac:dyDescent="0.25">
      <c r="B28" s="25" t="s">
        <v>96</v>
      </c>
      <c r="C28" s="292" t="s">
        <v>336</v>
      </c>
      <c r="D28" s="24"/>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D21:AL33"/>
  <sheetViews>
    <sheetView zoomScale="70" zoomScaleNormal="70" workbookViewId="0">
      <selection activeCell="G15" sqref="G15"/>
    </sheetView>
  </sheetViews>
  <sheetFormatPr defaultRowHeight="12.75" x14ac:dyDescent="0.2"/>
  <cols>
    <col min="1" max="1" width="10.28515625" customWidth="1"/>
  </cols>
  <sheetData>
    <row r="21" spans="4:38" ht="13.5" thickBot="1" x14ac:dyDescent="0.25"/>
    <row r="22" spans="4:38" ht="15.75" thickBot="1" x14ac:dyDescent="0.3">
      <c r="D22" s="390" t="s">
        <v>16</v>
      </c>
      <c r="E22" s="392" t="s">
        <v>17</v>
      </c>
      <c r="F22" s="392"/>
      <c r="G22" s="392"/>
      <c r="H22" s="392"/>
      <c r="I22" s="392" t="s">
        <v>18</v>
      </c>
      <c r="J22" s="392"/>
      <c r="K22" s="392"/>
      <c r="L22" s="392"/>
      <c r="M22" s="392" t="s">
        <v>19</v>
      </c>
      <c r="N22" s="392"/>
      <c r="O22" s="392"/>
      <c r="P22" s="392"/>
      <c r="Q22" s="392" t="s">
        <v>20</v>
      </c>
      <c r="R22" s="392"/>
      <c r="S22" s="392"/>
      <c r="T22" s="392"/>
      <c r="U22" s="392" t="s">
        <v>21</v>
      </c>
      <c r="V22" s="392"/>
      <c r="W22" s="392"/>
      <c r="X22" s="392"/>
      <c r="Y22" s="392" t="s">
        <v>22</v>
      </c>
      <c r="Z22" s="392"/>
      <c r="AA22" s="392"/>
      <c r="AB22" s="392"/>
      <c r="AC22" s="392" t="s">
        <v>23</v>
      </c>
      <c r="AD22" s="392"/>
      <c r="AE22" s="392"/>
      <c r="AF22" s="392"/>
      <c r="AG22" s="392" t="s">
        <v>24</v>
      </c>
      <c r="AH22" s="392"/>
      <c r="AI22" s="392"/>
      <c r="AJ22" s="392"/>
    </row>
    <row r="23" spans="4:38" ht="15" x14ac:dyDescent="0.25">
      <c r="D23" s="381"/>
      <c r="E23" s="3" t="s">
        <v>13</v>
      </c>
      <c r="F23" s="3" t="s">
        <v>27</v>
      </c>
      <c r="G23" s="3" t="s">
        <v>28</v>
      </c>
      <c r="H23" s="3" t="s">
        <v>29</v>
      </c>
      <c r="I23" s="3" t="s">
        <v>13</v>
      </c>
      <c r="J23" s="3" t="s">
        <v>27</v>
      </c>
      <c r="K23" s="3" t="s">
        <v>28</v>
      </c>
      <c r="L23" s="3" t="s">
        <v>29</v>
      </c>
      <c r="M23" s="3" t="s">
        <v>13</v>
      </c>
      <c r="N23" s="3" t="s">
        <v>27</v>
      </c>
      <c r="O23" s="3" t="s">
        <v>28</v>
      </c>
      <c r="P23" s="3" t="s">
        <v>29</v>
      </c>
      <c r="Q23" s="3" t="s">
        <v>13</v>
      </c>
      <c r="R23" s="3" t="s">
        <v>27</v>
      </c>
      <c r="S23" s="3" t="s">
        <v>28</v>
      </c>
      <c r="T23" s="3" t="s">
        <v>29</v>
      </c>
      <c r="U23" s="3" t="s">
        <v>13</v>
      </c>
      <c r="V23" s="3" t="s">
        <v>27</v>
      </c>
      <c r="W23" s="3" t="s">
        <v>28</v>
      </c>
      <c r="X23" s="3" t="s">
        <v>29</v>
      </c>
      <c r="Y23" s="3" t="s">
        <v>13</v>
      </c>
      <c r="Z23" s="3" t="s">
        <v>27</v>
      </c>
      <c r="AA23" s="3" t="s">
        <v>28</v>
      </c>
      <c r="AB23" s="3" t="s">
        <v>29</v>
      </c>
      <c r="AC23" s="3" t="s">
        <v>13</v>
      </c>
      <c r="AD23" s="3" t="s">
        <v>27</v>
      </c>
      <c r="AE23" s="3" t="s">
        <v>28</v>
      </c>
      <c r="AF23" s="3" t="s">
        <v>29</v>
      </c>
      <c r="AG23" s="3" t="s">
        <v>13</v>
      </c>
      <c r="AH23" s="3" t="s">
        <v>27</v>
      </c>
      <c r="AI23" s="3" t="s">
        <v>28</v>
      </c>
      <c r="AJ23" s="3" t="s">
        <v>29</v>
      </c>
      <c r="AK23" s="18"/>
      <c r="AL23" s="18"/>
    </row>
    <row r="24" spans="4:38" ht="15.75" thickBot="1" x14ac:dyDescent="0.3">
      <c r="D24" s="391"/>
      <c r="E24" s="6"/>
      <c r="F24" s="6"/>
      <c r="G24" s="6" t="s">
        <v>33</v>
      </c>
      <c r="H24" s="6" t="s">
        <v>33</v>
      </c>
      <c r="I24" s="6"/>
      <c r="J24" s="6"/>
      <c r="K24" s="6" t="s">
        <v>33</v>
      </c>
      <c r="L24" s="6" t="s">
        <v>33</v>
      </c>
      <c r="M24" s="6"/>
      <c r="N24" s="6"/>
      <c r="O24" s="6" t="s">
        <v>33</v>
      </c>
      <c r="P24" s="6" t="s">
        <v>33</v>
      </c>
      <c r="Q24" s="6"/>
      <c r="R24" s="6"/>
      <c r="S24" s="6" t="s">
        <v>33</v>
      </c>
      <c r="T24" s="6" t="s">
        <v>33</v>
      </c>
      <c r="U24" s="6"/>
      <c r="V24" s="6"/>
      <c r="W24" s="6" t="s">
        <v>33</v>
      </c>
      <c r="X24" s="6" t="s">
        <v>33</v>
      </c>
      <c r="Y24" s="6"/>
      <c r="Z24" s="6"/>
      <c r="AA24" s="6" t="s">
        <v>33</v>
      </c>
      <c r="AB24" s="6" t="s">
        <v>33</v>
      </c>
      <c r="AC24" s="6"/>
      <c r="AD24" s="6"/>
      <c r="AE24" s="6" t="s">
        <v>33</v>
      </c>
      <c r="AF24" s="6" t="s">
        <v>33</v>
      </c>
      <c r="AG24" s="6"/>
      <c r="AH24" s="6"/>
      <c r="AI24" s="6" t="s">
        <v>33</v>
      </c>
      <c r="AJ24" s="6" t="s">
        <v>33</v>
      </c>
      <c r="AK24" s="3" t="s">
        <v>28</v>
      </c>
      <c r="AL24" s="3" t="s">
        <v>29</v>
      </c>
    </row>
    <row r="25" spans="4:38" ht="16.5" thickTop="1" thickBot="1" x14ac:dyDescent="0.3">
      <c r="D25" s="389" t="s">
        <v>36</v>
      </c>
      <c r="E25" s="3">
        <v>1</v>
      </c>
      <c r="F25" s="3" t="s">
        <v>40</v>
      </c>
      <c r="G25" s="3">
        <v>50</v>
      </c>
      <c r="H25" s="8"/>
      <c r="I25" s="8">
        <v>1</v>
      </c>
      <c r="J25" s="8" t="s">
        <v>41</v>
      </c>
      <c r="K25" s="8">
        <v>40</v>
      </c>
      <c r="L25" s="8"/>
      <c r="M25" s="8"/>
      <c r="N25" s="8"/>
      <c r="O25" s="8"/>
      <c r="P25" s="8"/>
      <c r="Q25" s="8"/>
      <c r="R25" s="8"/>
      <c r="S25" s="8"/>
      <c r="T25" s="8"/>
      <c r="U25" s="8"/>
      <c r="V25" s="8"/>
      <c r="W25" s="8"/>
      <c r="X25" s="8"/>
      <c r="Y25" s="8"/>
      <c r="Z25" s="8"/>
      <c r="AA25" s="8"/>
      <c r="AB25" s="8"/>
      <c r="AC25" s="8"/>
      <c r="AD25" s="8"/>
      <c r="AE25" s="8"/>
      <c r="AF25" s="8"/>
      <c r="AG25" s="8"/>
      <c r="AH25" s="8"/>
      <c r="AI25" s="8"/>
      <c r="AJ25" s="8"/>
      <c r="AK25" s="6" t="s">
        <v>33</v>
      </c>
      <c r="AL25" s="6" t="s">
        <v>33</v>
      </c>
    </row>
    <row r="26" spans="4:38" ht="15.75" thickTop="1" x14ac:dyDescent="0.25">
      <c r="D26" s="381"/>
      <c r="E26" s="10"/>
      <c r="F26" s="10"/>
      <c r="G26" s="10"/>
      <c r="H26" s="10">
        <f>E25*G25</f>
        <v>50</v>
      </c>
      <c r="I26" s="10"/>
      <c r="J26" s="10"/>
      <c r="K26" s="10"/>
      <c r="L26" s="10">
        <f>I25*K25</f>
        <v>40</v>
      </c>
      <c r="M26" s="10"/>
      <c r="N26" s="10"/>
      <c r="O26" s="10"/>
      <c r="P26" s="10">
        <f>M25*O25</f>
        <v>0</v>
      </c>
      <c r="Q26" s="10"/>
      <c r="R26" s="10"/>
      <c r="S26" s="10"/>
      <c r="T26" s="10">
        <f>Q25*S25</f>
        <v>0</v>
      </c>
      <c r="U26" s="10"/>
      <c r="V26" s="10"/>
      <c r="W26" s="10"/>
      <c r="X26" s="10">
        <f>U25*W25</f>
        <v>0</v>
      </c>
      <c r="Y26" s="10"/>
      <c r="Z26" s="10"/>
      <c r="AA26" s="10"/>
      <c r="AB26" s="10">
        <f>Y25*AA25</f>
        <v>0</v>
      </c>
      <c r="AC26" s="10"/>
      <c r="AD26" s="10"/>
      <c r="AE26" s="10"/>
      <c r="AF26" s="10">
        <f>AC25*AE25</f>
        <v>0</v>
      </c>
      <c r="AG26" s="10"/>
      <c r="AH26" s="10"/>
      <c r="AI26" s="10"/>
      <c r="AJ26" s="10">
        <f>AG25*AI25</f>
        <v>0</v>
      </c>
      <c r="AK26" s="8"/>
      <c r="AL26" s="8"/>
    </row>
    <row r="27" spans="4:38" ht="15" x14ac:dyDescent="0.25">
      <c r="D27" s="381" t="s">
        <v>10</v>
      </c>
      <c r="E27" s="3">
        <v>1</v>
      </c>
      <c r="F27" s="3" t="s">
        <v>40</v>
      </c>
      <c r="G27" s="3">
        <v>30</v>
      </c>
      <c r="H27" s="3"/>
      <c r="I27" s="8">
        <v>1</v>
      </c>
      <c r="J27" s="8" t="s">
        <v>41</v>
      </c>
      <c r="K27" s="8">
        <v>40</v>
      </c>
      <c r="L27" s="3"/>
      <c r="M27" s="3"/>
      <c r="N27" s="3"/>
      <c r="O27" s="3"/>
      <c r="P27" s="3"/>
      <c r="Q27" s="3"/>
      <c r="R27" s="3"/>
      <c r="S27" s="3"/>
      <c r="T27" s="3"/>
      <c r="U27" s="3"/>
      <c r="V27" s="3"/>
      <c r="W27" s="3"/>
      <c r="X27" s="3"/>
      <c r="Y27" s="3"/>
      <c r="Z27" s="3"/>
      <c r="AA27" s="3"/>
      <c r="AB27" s="3"/>
      <c r="AC27" s="3"/>
      <c r="AD27" s="3"/>
      <c r="AE27" s="3"/>
      <c r="AF27" s="3"/>
      <c r="AG27" s="3"/>
      <c r="AH27" s="3"/>
      <c r="AI27" s="3"/>
      <c r="AJ27" s="3"/>
      <c r="AK27" s="10"/>
      <c r="AL27" s="10" t="e">
        <f>#REF!*AK26</f>
        <v>#REF!</v>
      </c>
    </row>
    <row r="28" spans="4:38" ht="15" x14ac:dyDescent="0.25">
      <c r="D28" s="381"/>
      <c r="E28" s="10"/>
      <c r="F28" s="10"/>
      <c r="G28" s="10"/>
      <c r="H28" s="10">
        <f>E27*G27</f>
        <v>30</v>
      </c>
      <c r="I28" s="10"/>
      <c r="J28" s="10"/>
      <c r="K28" s="10"/>
      <c r="L28" s="10">
        <f>I27*K27</f>
        <v>40</v>
      </c>
      <c r="M28" s="10"/>
      <c r="N28" s="10"/>
      <c r="O28" s="10"/>
      <c r="P28" s="10">
        <f>M27*O27</f>
        <v>0</v>
      </c>
      <c r="Q28" s="10"/>
      <c r="R28" s="10"/>
      <c r="S28" s="10"/>
      <c r="T28" s="10">
        <f>Q27*S27</f>
        <v>0</v>
      </c>
      <c r="U28" s="10"/>
      <c r="V28" s="10"/>
      <c r="W28" s="10"/>
      <c r="X28" s="10">
        <f>U27*W27</f>
        <v>0</v>
      </c>
      <c r="Y28" s="10"/>
      <c r="Z28" s="10"/>
      <c r="AA28" s="10"/>
      <c r="AB28" s="10">
        <f>Y27*AA27</f>
        <v>0</v>
      </c>
      <c r="AC28" s="10"/>
      <c r="AD28" s="10"/>
      <c r="AE28" s="10"/>
      <c r="AF28" s="10">
        <f>AC27*AE27</f>
        <v>0</v>
      </c>
      <c r="AG28" s="10"/>
      <c r="AH28" s="10"/>
      <c r="AI28" s="10"/>
      <c r="AJ28" s="10">
        <f>AG27*AI27</f>
        <v>0</v>
      </c>
      <c r="AK28" s="3"/>
      <c r="AL28" s="3"/>
    </row>
    <row r="29" spans="4:38" ht="15" x14ac:dyDescent="0.25">
      <c r="D29" s="381" t="s">
        <v>38</v>
      </c>
      <c r="E29" s="3">
        <v>1</v>
      </c>
      <c r="F29" s="3" t="s">
        <v>40</v>
      </c>
      <c r="G29" s="3">
        <v>30</v>
      </c>
      <c r="H29" s="3"/>
      <c r="I29" s="8">
        <v>1</v>
      </c>
      <c r="J29" s="8" t="s">
        <v>41</v>
      </c>
      <c r="K29" s="8">
        <v>40</v>
      </c>
      <c r="L29" s="3"/>
      <c r="M29" s="3"/>
      <c r="N29" s="3"/>
      <c r="O29" s="3"/>
      <c r="P29" s="3"/>
      <c r="Q29" s="3"/>
      <c r="R29" s="3"/>
      <c r="S29" s="3"/>
      <c r="T29" s="3"/>
      <c r="U29" s="3"/>
      <c r="V29" s="3"/>
      <c r="W29" s="3"/>
      <c r="X29" s="3"/>
      <c r="Y29" s="3"/>
      <c r="Z29" s="3"/>
      <c r="AA29" s="3"/>
      <c r="AB29" s="3"/>
      <c r="AC29" s="3"/>
      <c r="AD29" s="3"/>
      <c r="AE29" s="3"/>
      <c r="AF29" s="3"/>
      <c r="AG29" s="3"/>
      <c r="AH29" s="3"/>
      <c r="AI29" s="3"/>
      <c r="AJ29" s="3"/>
      <c r="AK29" s="10"/>
      <c r="AL29" s="10" t="e">
        <f>#REF!*AK28</f>
        <v>#REF!</v>
      </c>
    </row>
    <row r="30" spans="4:38" ht="15" x14ac:dyDescent="0.25">
      <c r="D30" s="381"/>
      <c r="E30" s="10"/>
      <c r="F30" s="10"/>
      <c r="G30" s="10"/>
      <c r="H30" s="10">
        <f>E29*G29</f>
        <v>30</v>
      </c>
      <c r="I30" s="10"/>
      <c r="J30" s="10"/>
      <c r="K30" s="10"/>
      <c r="L30" s="10">
        <f>I29*K29</f>
        <v>40</v>
      </c>
      <c r="M30" s="10"/>
      <c r="N30" s="10"/>
      <c r="O30" s="10"/>
      <c r="P30" s="10">
        <f>M29*O29</f>
        <v>0</v>
      </c>
      <c r="Q30" s="10"/>
      <c r="R30" s="10"/>
      <c r="S30" s="10"/>
      <c r="T30" s="10">
        <f>Q29*S29</f>
        <v>0</v>
      </c>
      <c r="U30" s="10"/>
      <c r="V30" s="10"/>
      <c r="W30" s="10"/>
      <c r="X30" s="10">
        <f>U29*W29</f>
        <v>0</v>
      </c>
      <c r="Y30" s="10"/>
      <c r="Z30" s="10"/>
      <c r="AA30" s="10"/>
      <c r="AB30" s="10">
        <f>Y29*AA29</f>
        <v>0</v>
      </c>
      <c r="AC30" s="10"/>
      <c r="AD30" s="10"/>
      <c r="AE30" s="10"/>
      <c r="AF30" s="10">
        <f>AC29*AE29</f>
        <v>0</v>
      </c>
      <c r="AG30" s="10"/>
      <c r="AH30" s="10"/>
      <c r="AI30" s="10"/>
      <c r="AJ30" s="10">
        <f>AG29*AI29</f>
        <v>0</v>
      </c>
      <c r="AK30" s="3"/>
      <c r="AL30" s="3"/>
    </row>
    <row r="31" spans="4:38" ht="15" x14ac:dyDescent="0.25">
      <c r="D31" s="381" t="s">
        <v>39</v>
      </c>
      <c r="E31" s="3">
        <v>1</v>
      </c>
      <c r="F31" s="3" t="s">
        <v>40</v>
      </c>
      <c r="G31" s="3">
        <v>30</v>
      </c>
      <c r="H31" s="3"/>
      <c r="I31" s="8">
        <v>1</v>
      </c>
      <c r="J31" s="8" t="s">
        <v>41</v>
      </c>
      <c r="K31" s="8">
        <v>40</v>
      </c>
      <c r="L31" s="3"/>
      <c r="M31" s="3"/>
      <c r="N31" s="3"/>
      <c r="O31" s="3"/>
      <c r="P31" s="3"/>
      <c r="Q31" s="3"/>
      <c r="R31" s="3"/>
      <c r="S31" s="3"/>
      <c r="T31" s="3"/>
      <c r="U31" s="3"/>
      <c r="V31" s="3"/>
      <c r="W31" s="3"/>
      <c r="X31" s="3"/>
      <c r="Y31" s="3"/>
      <c r="Z31" s="3"/>
      <c r="AA31" s="3"/>
      <c r="AB31" s="3"/>
      <c r="AC31" s="3"/>
      <c r="AD31" s="3"/>
      <c r="AE31" s="3"/>
      <c r="AF31" s="3"/>
      <c r="AG31" s="3"/>
      <c r="AH31" s="3"/>
      <c r="AI31" s="3"/>
      <c r="AJ31" s="3"/>
      <c r="AK31" s="10"/>
      <c r="AL31" s="10" t="e">
        <f>#REF!*AK30</f>
        <v>#REF!</v>
      </c>
    </row>
    <row r="32" spans="4:38" ht="15.75" thickBot="1" x14ac:dyDescent="0.3">
      <c r="D32" s="394"/>
      <c r="E32" s="13"/>
      <c r="F32" s="13"/>
      <c r="G32" s="13"/>
      <c r="H32" s="13">
        <f>E31*G31</f>
        <v>30</v>
      </c>
      <c r="I32" s="13"/>
      <c r="J32" s="13"/>
      <c r="K32" s="13"/>
      <c r="L32" s="13">
        <f>I31*K31</f>
        <v>40</v>
      </c>
      <c r="M32" s="13"/>
      <c r="N32" s="13"/>
      <c r="O32" s="13"/>
      <c r="P32" s="13">
        <f>M31*O31</f>
        <v>0</v>
      </c>
      <c r="Q32" s="13"/>
      <c r="R32" s="13"/>
      <c r="S32" s="13"/>
      <c r="T32" s="13">
        <f>Q31*S31</f>
        <v>0</v>
      </c>
      <c r="U32" s="13"/>
      <c r="V32" s="13"/>
      <c r="W32" s="13"/>
      <c r="X32" s="13">
        <f>U31*W31</f>
        <v>0</v>
      </c>
      <c r="Y32" s="13"/>
      <c r="Z32" s="13"/>
      <c r="AA32" s="13"/>
      <c r="AB32" s="13">
        <f>Y31*AA31</f>
        <v>0</v>
      </c>
      <c r="AC32" s="13"/>
      <c r="AD32" s="13"/>
      <c r="AE32" s="13"/>
      <c r="AF32" s="13">
        <f>AC31*AE31</f>
        <v>0</v>
      </c>
      <c r="AG32" s="13"/>
      <c r="AH32" s="13"/>
      <c r="AI32" s="13"/>
      <c r="AJ32" s="13">
        <f>AG31*AI31</f>
        <v>0</v>
      </c>
      <c r="AK32" s="3"/>
      <c r="AL32" s="3"/>
    </row>
    <row r="33" spans="6:38" ht="15.75" thickBot="1" x14ac:dyDescent="0.3">
      <c r="F33" s="19"/>
      <c r="G33" s="13"/>
      <c r="H33" s="13"/>
      <c r="I33" s="13"/>
      <c r="J33" s="13" t="e">
        <f>#REF!*#REF!</f>
        <v>#REF!</v>
      </c>
      <c r="K33" s="13"/>
      <c r="L33" s="13"/>
      <c r="M33" s="13"/>
      <c r="N33" s="13" t="e">
        <f>#REF!*#REF!</f>
        <v>#REF!</v>
      </c>
      <c r="O33" s="13"/>
      <c r="P33" s="13"/>
      <c r="Q33" s="13"/>
      <c r="R33" s="13" t="e">
        <f>#REF!*#REF!</f>
        <v>#REF!</v>
      </c>
      <c r="S33" s="13"/>
      <c r="T33" s="13"/>
      <c r="U33" s="13"/>
      <c r="V33" s="13" t="e">
        <f>#REF!*#REF!</f>
        <v>#REF!</v>
      </c>
      <c r="W33" s="13"/>
      <c r="X33" s="13"/>
      <c r="Y33" s="13"/>
      <c r="Z33" s="13" t="e">
        <f>#REF!*#REF!</f>
        <v>#REF!</v>
      </c>
      <c r="AA33" s="13"/>
      <c r="AB33" s="13"/>
      <c r="AC33" s="13"/>
      <c r="AD33" s="13" t="e">
        <f>#REF!*#REF!</f>
        <v>#REF!</v>
      </c>
      <c r="AE33" s="13"/>
      <c r="AF33" s="13"/>
      <c r="AG33" s="13"/>
      <c r="AH33" s="13" t="e">
        <f>#REF!*#REF!</f>
        <v>#REF!</v>
      </c>
      <c r="AI33" s="13"/>
      <c r="AJ33" s="13"/>
      <c r="AK33" s="13"/>
      <c r="AL33" s="13" t="e">
        <f>#REF!*AK32</f>
        <v>#REF!</v>
      </c>
    </row>
  </sheetData>
  <mergeCells count="13">
    <mergeCell ref="Y22:AB22"/>
    <mergeCell ref="D29:D30"/>
    <mergeCell ref="D31:D32"/>
    <mergeCell ref="AC22:AF22"/>
    <mergeCell ref="AG22:AJ22"/>
    <mergeCell ref="D25:D26"/>
    <mergeCell ref="D27:D28"/>
    <mergeCell ref="D22:D24"/>
    <mergeCell ref="E22:H22"/>
    <mergeCell ref="I22:L22"/>
    <mergeCell ref="M22:P22"/>
    <mergeCell ref="Q22:T22"/>
    <mergeCell ref="U22:X22"/>
  </mergeCells>
  <phoneticPr fontId="20" type="noConversion"/>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8D2A2BB2-7821-42FE-934F-048EBB6555F1}">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14</vt:i4>
      </vt:variant>
      <vt:variant>
        <vt:lpstr>Named Ranges</vt:lpstr>
      </vt:variant>
      <vt:variant>
        <vt:i4>11</vt:i4>
      </vt:variant>
    </vt:vector>
  </HeadingPairs>
  <TitlesOfParts>
    <vt:vector size="25" baseType="lpstr">
      <vt:lpstr>Duct System Sizer</vt:lpstr>
      <vt:lpstr>Mechanical Design Certificate</vt:lpstr>
      <vt:lpstr>Mech Design Compliance Cert</vt:lpstr>
      <vt:lpstr>01-AC Load</vt:lpstr>
      <vt:lpstr>02-Air System Sizer</vt:lpstr>
      <vt:lpstr>03-Ventilation Rate</vt:lpstr>
      <vt:lpstr>04-Exhaust Hood</vt:lpstr>
      <vt:lpstr>05-Design Checklist</vt:lpstr>
      <vt:lpstr>Casual Duct Sizer</vt:lpstr>
      <vt:lpstr>Casual Pipe Sizer</vt:lpstr>
      <vt:lpstr>REF</vt:lpstr>
      <vt:lpstr>REF-AC Data</vt:lpstr>
      <vt:lpstr>Ver.</vt:lpstr>
      <vt:lpstr>Sheet2</vt:lpstr>
      <vt:lpstr>Diameter</vt:lpstr>
      <vt:lpstr>Highest_In_Range</vt:lpstr>
      <vt:lpstr>Lowest_In_Range</vt:lpstr>
      <vt:lpstr>'01-AC Load'!Print_Area</vt:lpstr>
      <vt:lpstr>'Casual Pipe Sizer'!Print_Area</vt:lpstr>
      <vt:lpstr>'Mech Design Compliance Cert'!Print_Area</vt:lpstr>
      <vt:lpstr>'Mechanical Design Certificate'!Print_Area</vt:lpstr>
      <vt:lpstr>'01-AC Load'!Table_AC_Daikin</vt:lpstr>
      <vt:lpstr>Table_CDW_PIPE</vt:lpstr>
      <vt:lpstr>Table_CHW_PIPE</vt:lpstr>
      <vt:lpstr>Table_HWW_PIPE</vt:lpstr>
    </vt:vector>
  </TitlesOfParts>
  <Company>Wood &amp; Grieve Engineers</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Keith Ryan</dc:creator>
  <cp:lastModifiedBy>No.1936</cp:lastModifiedBy>
  <dcterms:created xsi:type="dcterms:W3CDTF">2013-06-21T01:26:39Z</dcterms:created>
  <dcterms:modified xsi:type="dcterms:W3CDTF">2024-03-25T06:33:19Z</dcterms:modified>
</cp:coreProperties>
</file>